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upietz/Dropbox/Documents/Freelance current/Trading &amp; Crypto/"/>
    </mc:Choice>
  </mc:AlternateContent>
  <xr:revisionPtr revIDLastSave="0" documentId="13_ncr:1_{5767246E-AE31-ED4D-902B-178CC0CA61AD}" xr6:coauthVersionLast="45" xr6:coauthVersionMax="45" xr10:uidLastSave="{00000000-0000-0000-0000-000000000000}"/>
  <bookViews>
    <workbookView xWindow="980" yWindow="460" windowWidth="24640" windowHeight="15540" xr2:uid="{E8E1BED9-5DAA-1B40-9A5E-8D817B6A94A5}"/>
  </bookViews>
  <sheets>
    <sheet name="Analysis" sheetId="2" r:id="rId1"/>
    <sheet name="Raw Data from MF (filter this!)" sheetId="1" r:id="rId2"/>
    <sheet name="Top Returns By Company" sheetId="5" r:id="rId3"/>
    <sheet name="Scratchpad" sheetId="4" r:id="rId4"/>
  </sheets>
  <definedNames>
    <definedName name="_xlnm._FilterDatabase" localSheetId="1" hidden="1">'Raw Data from MF (filter this!)'!$A$1:$W$435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4" l="1"/>
  <c r="J13" i="4"/>
  <c r="J16" i="4"/>
  <c r="J19" i="4"/>
  <c r="J22" i="4"/>
  <c r="G13" i="4"/>
  <c r="H13" i="4"/>
  <c r="I13" i="4"/>
  <c r="I14" i="4"/>
  <c r="I16" i="4"/>
  <c r="I17" i="4"/>
  <c r="I22" i="4"/>
  <c r="I23" i="4"/>
  <c r="H14" i="4"/>
  <c r="H16" i="4"/>
  <c r="H17" i="4"/>
  <c r="H19" i="4"/>
  <c r="I19" i="4" s="1"/>
  <c r="H20" i="4"/>
  <c r="I20" i="4" s="1"/>
  <c r="H23" i="4"/>
  <c r="G14" i="4"/>
  <c r="G16" i="4"/>
  <c r="G17" i="4"/>
  <c r="G19" i="4"/>
  <c r="G20" i="4"/>
  <c r="G22" i="4"/>
  <c r="G23" i="4"/>
  <c r="U2" i="1"/>
  <c r="V2" i="1" s="1"/>
  <c r="U3" i="1"/>
  <c r="V3" i="1" s="1"/>
  <c r="U4" i="1"/>
  <c r="U5" i="1"/>
  <c r="U6" i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W13" i="1" s="1"/>
  <c r="U14" i="1"/>
  <c r="U15" i="1"/>
  <c r="V15" i="1" s="1"/>
  <c r="U16" i="1"/>
  <c r="V16" i="1" s="1"/>
  <c r="U17" i="1"/>
  <c r="V17" i="1" s="1"/>
  <c r="U18" i="1"/>
  <c r="W18" i="1" s="1"/>
  <c r="U19" i="1"/>
  <c r="V19" i="1" s="1"/>
  <c r="U20" i="1"/>
  <c r="W20" i="1" s="1"/>
  <c r="U21" i="1"/>
  <c r="V21" i="1" s="1"/>
  <c r="U22" i="1"/>
  <c r="U23" i="1"/>
  <c r="V23" i="1" s="1"/>
  <c r="U24" i="1"/>
  <c r="V24" i="1" s="1"/>
  <c r="U25" i="1"/>
  <c r="V25" i="1" s="1"/>
  <c r="U26" i="1"/>
  <c r="W26" i="1" s="1"/>
  <c r="U27" i="1"/>
  <c r="W27" i="1" s="1"/>
  <c r="U28" i="1"/>
  <c r="V28" i="1" s="1"/>
  <c r="U29" i="1"/>
  <c r="V29" i="1" s="1"/>
  <c r="U30" i="1"/>
  <c r="W30" i="1" s="1"/>
  <c r="U31" i="1"/>
  <c r="V31" i="1" s="1"/>
  <c r="U32" i="1"/>
  <c r="V32" i="1" s="1"/>
  <c r="U33" i="1"/>
  <c r="W33" i="1" s="1"/>
  <c r="U34" i="1"/>
  <c r="U35" i="1"/>
  <c r="V35" i="1" s="1"/>
  <c r="U36" i="1"/>
  <c r="V36" i="1" s="1"/>
  <c r="U37" i="1"/>
  <c r="V37" i="1" s="1"/>
  <c r="U38" i="1"/>
  <c r="W38" i="1" s="1"/>
  <c r="U39" i="1"/>
  <c r="V39" i="1" s="1"/>
  <c r="U40" i="1"/>
  <c r="V40" i="1" s="1"/>
  <c r="U41" i="1"/>
  <c r="V41" i="1" s="1"/>
  <c r="U42" i="1"/>
  <c r="U43" i="1"/>
  <c r="V43" i="1" s="1"/>
  <c r="U44" i="1"/>
  <c r="W44" i="1" s="1"/>
  <c r="U45" i="1"/>
  <c r="W45" i="1" s="1"/>
  <c r="U46" i="1"/>
  <c r="U47" i="1"/>
  <c r="W47" i="1" s="1"/>
  <c r="U48" i="1"/>
  <c r="V48" i="1" s="1"/>
  <c r="U49" i="1"/>
  <c r="V49" i="1" s="1"/>
  <c r="U50" i="1"/>
  <c r="W50" i="1" s="1"/>
  <c r="U51" i="1"/>
  <c r="V51" i="1" s="1"/>
  <c r="U52" i="1"/>
  <c r="W52" i="1" s="1"/>
  <c r="U53" i="1"/>
  <c r="W53" i="1" s="1"/>
  <c r="U54" i="1"/>
  <c r="W54" i="1" s="1"/>
  <c r="U55" i="1"/>
  <c r="V55" i="1" s="1"/>
  <c r="U56" i="1"/>
  <c r="W56" i="1" s="1"/>
  <c r="U57" i="1"/>
  <c r="W57" i="1" s="1"/>
  <c r="U58" i="1"/>
  <c r="W58" i="1" s="1"/>
  <c r="U59" i="1"/>
  <c r="V59" i="1" s="1"/>
  <c r="U60" i="1"/>
  <c r="V60" i="1" s="1"/>
  <c r="U61" i="1"/>
  <c r="V61" i="1" s="1"/>
  <c r="U62" i="1"/>
  <c r="U63" i="1"/>
  <c r="V63" i="1" s="1"/>
  <c r="U64" i="1"/>
  <c r="V64" i="1" s="1"/>
  <c r="U65" i="1"/>
  <c r="V65" i="1" s="1"/>
  <c r="U66" i="1"/>
  <c r="W66" i="1" s="1"/>
  <c r="U67" i="1"/>
  <c r="W67" i="1" s="1"/>
  <c r="U68" i="1"/>
  <c r="W68" i="1" s="1"/>
  <c r="U69" i="1"/>
  <c r="W69" i="1" s="1"/>
  <c r="U70" i="1"/>
  <c r="U71" i="1"/>
  <c r="W71" i="1" s="1"/>
  <c r="U72" i="1"/>
  <c r="V72" i="1" s="1"/>
  <c r="U73" i="1"/>
  <c r="V73" i="1" s="1"/>
  <c r="U74" i="1"/>
  <c r="V74" i="1" s="1"/>
  <c r="U75" i="1"/>
  <c r="W75" i="1" s="1"/>
  <c r="U76" i="1"/>
  <c r="W76" i="1" s="1"/>
  <c r="U77" i="1"/>
  <c r="W77" i="1" s="1"/>
  <c r="U78" i="1"/>
  <c r="U79" i="1"/>
  <c r="V79" i="1" s="1"/>
  <c r="U80" i="1"/>
  <c r="V80" i="1" s="1"/>
  <c r="U81" i="1"/>
  <c r="V81" i="1" s="1"/>
  <c r="U82" i="1"/>
  <c r="W82" i="1" s="1"/>
  <c r="U83" i="1"/>
  <c r="V83" i="1" s="1"/>
  <c r="U84" i="1"/>
  <c r="W84" i="1" s="1"/>
  <c r="U85" i="1"/>
  <c r="V85" i="1" s="1"/>
  <c r="U86" i="1"/>
  <c r="U87" i="1"/>
  <c r="W87" i="1" s="1"/>
  <c r="U88" i="1"/>
  <c r="U89" i="1"/>
  <c r="W89" i="1" s="1"/>
  <c r="U90" i="1"/>
  <c r="V90" i="1" s="1"/>
  <c r="U91" i="1"/>
  <c r="V91" i="1" s="1"/>
  <c r="U92" i="1"/>
  <c r="V92" i="1" s="1"/>
  <c r="U93" i="1"/>
  <c r="W93" i="1" s="1"/>
  <c r="U94" i="1"/>
  <c r="U95" i="1"/>
  <c r="W95" i="1" s="1"/>
  <c r="U96" i="1"/>
  <c r="W96" i="1" s="1"/>
  <c r="U97" i="1"/>
  <c r="W97" i="1" s="1"/>
  <c r="U98" i="1"/>
  <c r="V98" i="1" s="1"/>
  <c r="U99" i="1"/>
  <c r="V99" i="1" s="1"/>
  <c r="U100" i="1"/>
  <c r="V100" i="1" s="1"/>
  <c r="U101" i="1"/>
  <c r="V101" i="1" s="1"/>
  <c r="U102" i="1"/>
  <c r="W102" i="1" s="1"/>
  <c r="U103" i="1"/>
  <c r="V103" i="1" s="1"/>
  <c r="U104" i="1"/>
  <c r="W104" i="1" s="1"/>
  <c r="U105" i="1"/>
  <c r="W105" i="1" s="1"/>
  <c r="U106" i="1"/>
  <c r="V106" i="1" s="1"/>
  <c r="U107" i="1"/>
  <c r="W107" i="1" s="1"/>
  <c r="U108" i="1"/>
  <c r="W108" i="1" s="1"/>
  <c r="U109" i="1"/>
  <c r="V109" i="1" s="1"/>
  <c r="U110" i="1"/>
  <c r="V110" i="1" s="1"/>
  <c r="U111" i="1"/>
  <c r="W111" i="1" s="1"/>
  <c r="U112" i="1"/>
  <c r="W112" i="1" s="1"/>
  <c r="U113" i="1"/>
  <c r="V113" i="1" s="1"/>
  <c r="U114" i="1"/>
  <c r="U115" i="1"/>
  <c r="V115" i="1" s="1"/>
  <c r="U116" i="1"/>
  <c r="V116" i="1" s="1"/>
  <c r="U117" i="1"/>
  <c r="V117" i="1" s="1"/>
  <c r="U118" i="1"/>
  <c r="V118" i="1" s="1"/>
  <c r="U119" i="1"/>
  <c r="W119" i="1" s="1"/>
  <c r="U120" i="1"/>
  <c r="W120" i="1" s="1"/>
  <c r="U121" i="1"/>
  <c r="W121" i="1" s="1"/>
  <c r="U122" i="1"/>
  <c r="U123" i="1"/>
  <c r="W123" i="1" s="1"/>
  <c r="U124" i="1"/>
  <c r="W124" i="1" s="1"/>
  <c r="U125" i="1"/>
  <c r="W125" i="1" s="1"/>
  <c r="U126" i="1"/>
  <c r="U127" i="1"/>
  <c r="V127" i="1" s="1"/>
  <c r="U128" i="1"/>
  <c r="V128" i="1" s="1"/>
  <c r="U129" i="1"/>
  <c r="W129" i="1" s="1"/>
  <c r="U130" i="1"/>
  <c r="W130" i="1" s="1"/>
  <c r="U131" i="1"/>
  <c r="W131" i="1" s="1"/>
  <c r="U132" i="1"/>
  <c r="V132" i="1" s="1"/>
  <c r="U133" i="1"/>
  <c r="V133" i="1" s="1"/>
  <c r="U134" i="1"/>
  <c r="W134" i="1" s="1"/>
  <c r="U135" i="1"/>
  <c r="V135" i="1" s="1"/>
  <c r="U136" i="1"/>
  <c r="W136" i="1" s="1"/>
  <c r="U137" i="1"/>
  <c r="W137" i="1" s="1"/>
  <c r="U138" i="1"/>
  <c r="W138" i="1" s="1"/>
  <c r="U139" i="1"/>
  <c r="W139" i="1" s="1"/>
  <c r="U140" i="1"/>
  <c r="V140" i="1" s="1"/>
  <c r="U141" i="1"/>
  <c r="V141" i="1" s="1"/>
  <c r="U142" i="1"/>
  <c r="U143" i="1"/>
  <c r="V143" i="1" s="1"/>
  <c r="U144" i="1"/>
  <c r="W144" i="1" s="1"/>
  <c r="U145" i="1"/>
  <c r="V145" i="1" s="1"/>
  <c r="U146" i="1"/>
  <c r="U147" i="1"/>
  <c r="W147" i="1" s="1"/>
  <c r="U148" i="1"/>
  <c r="W148" i="1" s="1"/>
  <c r="U149" i="1"/>
  <c r="W149" i="1" s="1"/>
  <c r="U150" i="1"/>
  <c r="U151" i="1"/>
  <c r="V151" i="1" s="1"/>
  <c r="U152" i="1"/>
  <c r="V152" i="1" s="1"/>
  <c r="U153" i="1"/>
  <c r="W153" i="1" s="1"/>
  <c r="U154" i="1"/>
  <c r="V154" i="1" s="1"/>
  <c r="U155" i="1"/>
  <c r="W155" i="1" s="1"/>
  <c r="U156" i="1"/>
  <c r="W156" i="1" s="1"/>
  <c r="U157" i="1"/>
  <c r="W157" i="1" s="1"/>
  <c r="U158" i="1"/>
  <c r="U159" i="1"/>
  <c r="W159" i="1" s="1"/>
  <c r="U160" i="1"/>
  <c r="U161" i="1"/>
  <c r="W161" i="1" s="1"/>
  <c r="U162" i="1"/>
  <c r="V162" i="1" s="1"/>
  <c r="U163" i="1"/>
  <c r="V163" i="1" s="1"/>
  <c r="U164" i="1"/>
  <c r="V164" i="1" s="1"/>
  <c r="U165" i="1"/>
  <c r="W165" i="1" s="1"/>
  <c r="U166" i="1"/>
  <c r="U167" i="1"/>
  <c r="W167" i="1" s="1"/>
  <c r="U168" i="1"/>
  <c r="V168" i="1" s="1"/>
  <c r="U169" i="1"/>
  <c r="W169" i="1" s="1"/>
  <c r="U170" i="1"/>
  <c r="U171" i="1"/>
  <c r="W171" i="1" s="1"/>
  <c r="U172" i="1"/>
  <c r="V172" i="1" s="1"/>
  <c r="U173" i="1"/>
  <c r="V173" i="1" s="1"/>
  <c r="U174" i="1"/>
  <c r="W174" i="1" s="1"/>
  <c r="U175" i="1"/>
  <c r="W175" i="1" s="1"/>
  <c r="U176" i="1"/>
  <c r="V176" i="1" s="1"/>
  <c r="U177" i="1"/>
  <c r="W177" i="1" s="1"/>
  <c r="U178" i="1"/>
  <c r="W178" i="1" s="1"/>
  <c r="U179" i="1"/>
  <c r="V179" i="1" s="1"/>
  <c r="U180" i="1"/>
  <c r="W180" i="1" s="1"/>
  <c r="U181" i="1"/>
  <c r="W181" i="1" s="1"/>
  <c r="U182" i="1"/>
  <c r="V182" i="1" s="1"/>
  <c r="U183" i="1"/>
  <c r="W183" i="1" s="1"/>
  <c r="U184" i="1"/>
  <c r="V184" i="1" s="1"/>
  <c r="U185" i="1"/>
  <c r="V185" i="1" s="1"/>
  <c r="U186" i="1"/>
  <c r="U187" i="1"/>
  <c r="V187" i="1" s="1"/>
  <c r="U188" i="1"/>
  <c r="W188" i="1" s="1"/>
  <c r="U189" i="1"/>
  <c r="V189" i="1" s="1"/>
  <c r="U190" i="1"/>
  <c r="W190" i="1" s="1"/>
  <c r="U191" i="1"/>
  <c r="W191" i="1" s="1"/>
  <c r="U192" i="1"/>
  <c r="V192" i="1" s="1"/>
  <c r="U193" i="1"/>
  <c r="V193" i="1" s="1"/>
  <c r="U194" i="1"/>
  <c r="U195" i="1"/>
  <c r="W195" i="1" s="1"/>
  <c r="U196" i="1"/>
  <c r="V196" i="1" s="1"/>
  <c r="U197" i="1"/>
  <c r="W197" i="1" s="1"/>
  <c r="U198" i="1"/>
  <c r="U199" i="1"/>
  <c r="W199" i="1" s="1"/>
  <c r="U200" i="1"/>
  <c r="V200" i="1" s="1"/>
  <c r="U201" i="1"/>
  <c r="V201" i="1" s="1"/>
  <c r="U202" i="1"/>
  <c r="U203" i="1"/>
  <c r="W203" i="1" s="1"/>
  <c r="U204" i="1"/>
  <c r="W204" i="1" s="1"/>
  <c r="U205" i="1"/>
  <c r="W205" i="1" s="1"/>
  <c r="U206" i="1"/>
  <c r="U207" i="1"/>
  <c r="V207" i="1" s="1"/>
  <c r="U208" i="1"/>
  <c r="W208" i="1" s="1"/>
  <c r="U209" i="1"/>
  <c r="V209" i="1" s="1"/>
  <c r="U210" i="1"/>
  <c r="U211" i="1"/>
  <c r="V211" i="1" s="1"/>
  <c r="U212" i="1"/>
  <c r="V212" i="1" s="1"/>
  <c r="U213" i="1"/>
  <c r="V213" i="1" s="1"/>
  <c r="U214" i="1"/>
  <c r="W214" i="1" s="1"/>
  <c r="U215" i="1"/>
  <c r="W215" i="1" s="1"/>
  <c r="U216" i="1"/>
  <c r="W216" i="1" s="1"/>
  <c r="U217" i="1"/>
  <c r="W217" i="1" s="1"/>
  <c r="U218" i="1"/>
  <c r="W218" i="1" s="1"/>
  <c r="U219" i="1"/>
  <c r="W219" i="1" s="1"/>
  <c r="U220" i="1"/>
  <c r="W220" i="1" s="1"/>
  <c r="U221" i="1"/>
  <c r="W221" i="1" s="1"/>
  <c r="U222" i="1"/>
  <c r="U223" i="1"/>
  <c r="W223" i="1" s="1"/>
  <c r="U224" i="1"/>
  <c r="V224" i="1" s="1"/>
  <c r="U225" i="1"/>
  <c r="V225" i="1" s="1"/>
  <c r="U226" i="1"/>
  <c r="W226" i="1" s="1"/>
  <c r="U227" i="1"/>
  <c r="W227" i="1" s="1"/>
  <c r="U228" i="1"/>
  <c r="V228" i="1" s="1"/>
  <c r="U229" i="1"/>
  <c r="V229" i="1" s="1"/>
  <c r="U230" i="1"/>
  <c r="W230" i="1" s="1"/>
  <c r="U231" i="1"/>
  <c r="W231" i="1" s="1"/>
  <c r="U232" i="1"/>
  <c r="W232" i="1" s="1"/>
  <c r="U233" i="1"/>
  <c r="W233" i="1" s="1"/>
  <c r="U234" i="1"/>
  <c r="W234" i="1" s="1"/>
  <c r="U235" i="1"/>
  <c r="W235" i="1" s="1"/>
  <c r="U236" i="1"/>
  <c r="V236" i="1" s="1"/>
  <c r="U237" i="1"/>
  <c r="V237" i="1" s="1"/>
  <c r="U238" i="1"/>
  <c r="V238" i="1" s="1"/>
  <c r="U239" i="1"/>
  <c r="V239" i="1" s="1"/>
  <c r="U240" i="1"/>
  <c r="W240" i="1" s="1"/>
  <c r="U241" i="1"/>
  <c r="V241" i="1" s="1"/>
  <c r="U242" i="1"/>
  <c r="U243" i="1"/>
  <c r="V243" i="1" s="1"/>
  <c r="U244" i="1"/>
  <c r="W244" i="1" s="1"/>
  <c r="U245" i="1"/>
  <c r="V245" i="1" s="1"/>
  <c r="U246" i="1"/>
  <c r="W246" i="1" s="1"/>
  <c r="U247" i="1"/>
  <c r="W247" i="1" s="1"/>
  <c r="U248" i="1"/>
  <c r="V248" i="1" s="1"/>
  <c r="U249" i="1"/>
  <c r="V249" i="1" s="1"/>
  <c r="U250" i="1"/>
  <c r="W250" i="1" s="1"/>
  <c r="U251" i="1"/>
  <c r="W251" i="1" s="1"/>
  <c r="U252" i="1"/>
  <c r="W252" i="1" s="1"/>
  <c r="U253" i="1"/>
  <c r="W253" i="1" s="1"/>
  <c r="U254" i="1"/>
  <c r="W254" i="1" s="1"/>
  <c r="U255" i="1"/>
  <c r="W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W261" i="1" s="1"/>
  <c r="U262" i="1"/>
  <c r="U263" i="1"/>
  <c r="W263" i="1" s="1"/>
  <c r="U264" i="1"/>
  <c r="W264" i="1" s="1"/>
  <c r="U265" i="1"/>
  <c r="V265" i="1" s="1"/>
  <c r="U266" i="1"/>
  <c r="V266" i="1" s="1"/>
  <c r="U267" i="1"/>
  <c r="V267" i="1" s="1"/>
  <c r="U268" i="1"/>
  <c r="W268" i="1" s="1"/>
  <c r="U269" i="1"/>
  <c r="V269" i="1" s="1"/>
  <c r="U270" i="1"/>
  <c r="U271" i="1"/>
  <c r="W271" i="1" s="1"/>
  <c r="U272" i="1"/>
  <c r="W272" i="1" s="1"/>
  <c r="U273" i="1"/>
  <c r="V273" i="1" s="1"/>
  <c r="U274" i="1"/>
  <c r="U275" i="1"/>
  <c r="V275" i="1" s="1"/>
  <c r="U276" i="1"/>
  <c r="W276" i="1" s="1"/>
  <c r="U277" i="1"/>
  <c r="V277" i="1" s="1"/>
  <c r="U278" i="1"/>
  <c r="V278" i="1" s="1"/>
  <c r="U279" i="1"/>
  <c r="W279" i="1" s="1"/>
  <c r="U280" i="1"/>
  <c r="V280" i="1" s="1"/>
  <c r="U281" i="1"/>
  <c r="W281" i="1" s="1"/>
  <c r="U282" i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W288" i="1" s="1"/>
  <c r="U289" i="1"/>
  <c r="W289" i="1" s="1"/>
  <c r="U290" i="1"/>
  <c r="U291" i="1"/>
  <c r="W291" i="1" s="1"/>
  <c r="U292" i="1"/>
  <c r="V292" i="1" s="1"/>
  <c r="U293" i="1"/>
  <c r="W293" i="1" s="1"/>
  <c r="U294" i="1"/>
  <c r="U295" i="1"/>
  <c r="W295" i="1" s="1"/>
  <c r="U296" i="1"/>
  <c r="W296" i="1" s="1"/>
  <c r="U297" i="1"/>
  <c r="V297" i="1" s="1"/>
  <c r="U298" i="1"/>
  <c r="U299" i="1"/>
  <c r="V299" i="1" s="1"/>
  <c r="U300" i="1"/>
  <c r="W300" i="1" s="1"/>
  <c r="U301" i="1"/>
  <c r="V301" i="1" s="1"/>
  <c r="U302" i="1"/>
  <c r="V302" i="1" s="1"/>
  <c r="U303" i="1"/>
  <c r="W303" i="1" s="1"/>
  <c r="U304" i="1"/>
  <c r="W304" i="1" s="1"/>
  <c r="U305" i="1"/>
  <c r="W305" i="1" s="1"/>
  <c r="U306" i="1"/>
  <c r="V306" i="1" s="1"/>
  <c r="U307" i="1"/>
  <c r="V307" i="1" s="1"/>
  <c r="U308" i="1"/>
  <c r="U309" i="1"/>
  <c r="V309" i="1" s="1"/>
  <c r="U310" i="1"/>
  <c r="U311" i="1"/>
  <c r="V311" i="1" s="1"/>
  <c r="U312" i="1"/>
  <c r="U313" i="1"/>
  <c r="W313" i="1" s="1"/>
  <c r="U314" i="1"/>
  <c r="U315" i="1"/>
  <c r="W315" i="1" s="1"/>
  <c r="U316" i="1"/>
  <c r="V316" i="1" s="1"/>
  <c r="U317" i="1"/>
  <c r="W317" i="1" s="1"/>
  <c r="U318" i="1"/>
  <c r="U319" i="1"/>
  <c r="W319" i="1" s="1"/>
  <c r="U320" i="1"/>
  <c r="W320" i="1" s="1"/>
  <c r="U321" i="1"/>
  <c r="W321" i="1" s="1"/>
  <c r="U322" i="1"/>
  <c r="U323" i="1"/>
  <c r="W323" i="1" s="1"/>
  <c r="U324" i="1"/>
  <c r="W324" i="1" s="1"/>
  <c r="U325" i="1"/>
  <c r="W325" i="1" s="1"/>
  <c r="U326" i="1"/>
  <c r="V326" i="1" s="1"/>
  <c r="U327" i="1"/>
  <c r="V327" i="1" s="1"/>
  <c r="U328" i="1"/>
  <c r="V328" i="1" s="1"/>
  <c r="U329" i="1"/>
  <c r="V329" i="1" s="1"/>
  <c r="U330" i="1"/>
  <c r="W330" i="1" s="1"/>
  <c r="U331" i="1"/>
  <c r="W331" i="1" s="1"/>
  <c r="U332" i="1"/>
  <c r="W332" i="1" s="1"/>
  <c r="U333" i="1"/>
  <c r="W333" i="1" s="1"/>
  <c r="U334" i="1"/>
  <c r="U335" i="1"/>
  <c r="V335" i="1" s="1"/>
  <c r="U336" i="1"/>
  <c r="W336" i="1" s="1"/>
  <c r="U337" i="1"/>
  <c r="W337" i="1" s="1"/>
  <c r="U338" i="1"/>
  <c r="V338" i="1" s="1"/>
  <c r="U339" i="1"/>
  <c r="W339" i="1" s="1"/>
  <c r="U340" i="1"/>
  <c r="V340" i="1" s="1"/>
  <c r="U341" i="1"/>
  <c r="V341" i="1" s="1"/>
  <c r="U342" i="1"/>
  <c r="U343" i="1"/>
  <c r="V343" i="1" s="1"/>
  <c r="U344" i="1"/>
  <c r="W344" i="1" s="1"/>
  <c r="U345" i="1"/>
  <c r="V345" i="1" s="1"/>
  <c r="U346" i="1"/>
  <c r="U347" i="1"/>
  <c r="W347" i="1" s="1"/>
  <c r="U348" i="1"/>
  <c r="W348" i="1" s="1"/>
  <c r="U349" i="1"/>
  <c r="W349" i="1" s="1"/>
  <c r="U350" i="1"/>
  <c r="U351" i="1"/>
  <c r="W351" i="1" s="1"/>
  <c r="U352" i="1"/>
  <c r="V352" i="1" s="1"/>
  <c r="U353" i="1"/>
  <c r="W353" i="1" s="1"/>
  <c r="U354" i="1"/>
  <c r="U355" i="1"/>
  <c r="V355" i="1" s="1"/>
  <c r="U356" i="1"/>
  <c r="V356" i="1" s="1"/>
  <c r="U357" i="1"/>
  <c r="W357" i="1" s="1"/>
  <c r="U358" i="1"/>
  <c r="V358" i="1" s="1"/>
  <c r="U359" i="1"/>
  <c r="W359" i="1" s="1"/>
  <c r="U360" i="1"/>
  <c r="V360" i="1" s="1"/>
  <c r="U361" i="1"/>
  <c r="W361" i="1" s="1"/>
  <c r="U362" i="1"/>
  <c r="U363" i="1"/>
  <c r="W363" i="1" s="1"/>
  <c r="U364" i="1"/>
  <c r="V364" i="1" s="1"/>
  <c r="U365" i="1"/>
  <c r="V365" i="1" s="1"/>
  <c r="U366" i="1"/>
  <c r="W366" i="1" s="1"/>
  <c r="U367" i="1"/>
  <c r="V367" i="1" s="1"/>
  <c r="U368" i="1"/>
  <c r="V368" i="1" s="1"/>
  <c r="U369" i="1"/>
  <c r="W369" i="1" s="1"/>
  <c r="U370" i="1"/>
  <c r="V370" i="1" s="1"/>
  <c r="U371" i="1"/>
  <c r="W371" i="1" s="1"/>
  <c r="U372" i="1"/>
  <c r="V372" i="1" s="1"/>
  <c r="U373" i="1"/>
  <c r="W373" i="1" s="1"/>
  <c r="U374" i="1"/>
  <c r="U375" i="1"/>
  <c r="V375" i="1" s="1"/>
  <c r="U376" i="1"/>
  <c r="W376" i="1" s="1"/>
  <c r="U377" i="1"/>
  <c r="W377" i="1" s="1"/>
  <c r="U378" i="1"/>
  <c r="U379" i="1"/>
  <c r="W379" i="1" s="1"/>
  <c r="U380" i="1"/>
  <c r="V380" i="1" s="1"/>
  <c r="U381" i="1"/>
  <c r="V381" i="1" s="1"/>
  <c r="U382" i="1"/>
  <c r="V382" i="1" s="1"/>
  <c r="U383" i="1"/>
  <c r="W383" i="1" s="1"/>
  <c r="U384" i="1"/>
  <c r="V384" i="1" s="1"/>
  <c r="U385" i="1"/>
  <c r="W385" i="1" s="1"/>
  <c r="U386" i="1"/>
  <c r="V386" i="1" s="1"/>
  <c r="U387" i="1"/>
  <c r="W387" i="1" s="1"/>
  <c r="U388" i="1"/>
  <c r="W388" i="1" s="1"/>
  <c r="U389" i="1"/>
  <c r="W389" i="1" s="1"/>
  <c r="U390" i="1"/>
  <c r="V390" i="1" s="1"/>
  <c r="U391" i="1"/>
  <c r="V391" i="1" s="1"/>
  <c r="U392" i="1"/>
  <c r="W392" i="1" s="1"/>
  <c r="U393" i="1"/>
  <c r="V393" i="1" s="1"/>
  <c r="U394" i="1"/>
  <c r="U395" i="1"/>
  <c r="V395" i="1" s="1"/>
  <c r="U396" i="1"/>
  <c r="V396" i="1" s="1"/>
  <c r="U397" i="1"/>
  <c r="V397" i="1" s="1"/>
  <c r="U398" i="1"/>
  <c r="V398" i="1" s="1"/>
  <c r="U399" i="1"/>
  <c r="W399" i="1" s="1"/>
  <c r="U400" i="1"/>
  <c r="W400" i="1" s="1"/>
  <c r="U401" i="1"/>
  <c r="V401" i="1" s="1"/>
  <c r="U402" i="1"/>
  <c r="U403" i="1"/>
  <c r="W403" i="1" s="1"/>
  <c r="U404" i="1"/>
  <c r="U405" i="1"/>
  <c r="W405" i="1" s="1"/>
  <c r="U406" i="1"/>
  <c r="U407" i="1"/>
  <c r="V407" i="1" s="1"/>
  <c r="U408" i="1"/>
  <c r="U409" i="1"/>
  <c r="W409" i="1" s="1"/>
  <c r="U410" i="1"/>
  <c r="U411" i="1"/>
  <c r="V411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W417" i="1" s="1"/>
  <c r="U418" i="1"/>
  <c r="U419" i="1"/>
  <c r="V419" i="1" s="1"/>
  <c r="U420" i="1"/>
  <c r="W420" i="1" s="1"/>
  <c r="U421" i="1"/>
  <c r="W421" i="1" s="1"/>
  <c r="U422" i="1"/>
  <c r="U423" i="1"/>
  <c r="V423" i="1" s="1"/>
  <c r="U424" i="1"/>
  <c r="W424" i="1" s="1"/>
  <c r="U425" i="1"/>
  <c r="V425" i="1" s="1"/>
  <c r="U426" i="1"/>
  <c r="W426" i="1" s="1"/>
  <c r="U427" i="1"/>
  <c r="V427" i="1" s="1"/>
  <c r="U428" i="1"/>
  <c r="W428" i="1" s="1"/>
  <c r="U429" i="1"/>
  <c r="V429" i="1" s="1"/>
  <c r="U430" i="1"/>
  <c r="W430" i="1" s="1"/>
  <c r="U431" i="1"/>
  <c r="V431" i="1" s="1"/>
  <c r="U432" i="1"/>
  <c r="V432" i="1" s="1"/>
  <c r="U433" i="1"/>
  <c r="W433" i="1" s="1"/>
  <c r="U434" i="1"/>
  <c r="U435" i="1"/>
  <c r="W435" i="1" s="1"/>
  <c r="W4" i="1"/>
  <c r="V5" i="1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J8" i="2"/>
  <c r="J7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D8" i="2"/>
  <c r="D7" i="2"/>
  <c r="C8" i="2"/>
  <c r="C7" i="2"/>
  <c r="F7" i="2" s="1"/>
  <c r="B7" i="2"/>
  <c r="B8" i="2"/>
  <c r="S6" i="1"/>
  <c r="S10" i="1"/>
  <c r="T14" i="1"/>
  <c r="T18" i="1"/>
  <c r="T22" i="1"/>
  <c r="T26" i="1"/>
  <c r="T30" i="1"/>
  <c r="S34" i="1"/>
  <c r="T38" i="1"/>
  <c r="S42" i="1"/>
  <c r="S46" i="1"/>
  <c r="T50" i="1"/>
  <c r="T54" i="1"/>
  <c r="T58" i="1"/>
  <c r="S62" i="1"/>
  <c r="T66" i="1"/>
  <c r="T70" i="1"/>
  <c r="S74" i="1"/>
  <c r="T78" i="1"/>
  <c r="T82" i="1"/>
  <c r="T86" i="1"/>
  <c r="S90" i="1"/>
  <c r="T94" i="1"/>
  <c r="S98" i="1"/>
  <c r="T102" i="1"/>
  <c r="S106" i="1"/>
  <c r="S110" i="1"/>
  <c r="T114" i="1"/>
  <c r="S118" i="1"/>
  <c r="T122" i="1"/>
  <c r="S126" i="1"/>
  <c r="T130" i="1"/>
  <c r="T134" i="1"/>
  <c r="T138" i="1"/>
  <c r="T142" i="1"/>
  <c r="S146" i="1"/>
  <c r="T150" i="1"/>
  <c r="S154" i="1"/>
  <c r="T158" i="1"/>
  <c r="S162" i="1"/>
  <c r="T166" i="1"/>
  <c r="S170" i="1"/>
  <c r="T174" i="1"/>
  <c r="T178" i="1"/>
  <c r="S182" i="1"/>
  <c r="S186" i="1"/>
  <c r="T190" i="1"/>
  <c r="T194" i="1"/>
  <c r="T198" i="1"/>
  <c r="T202" i="1"/>
  <c r="T206" i="1"/>
  <c r="T210" i="1"/>
  <c r="T214" i="1"/>
  <c r="T218" i="1"/>
  <c r="T222" i="1"/>
  <c r="T226" i="1"/>
  <c r="T230" i="1"/>
  <c r="T234" i="1"/>
  <c r="S238" i="1"/>
  <c r="T242" i="1"/>
  <c r="T246" i="1"/>
  <c r="T250" i="1"/>
  <c r="T254" i="1"/>
  <c r="S258" i="1"/>
  <c r="S262" i="1"/>
  <c r="S266" i="1"/>
  <c r="S270" i="1"/>
  <c r="S274" i="1"/>
  <c r="S278" i="1"/>
  <c r="S282" i="1"/>
  <c r="S286" i="1"/>
  <c r="T290" i="1"/>
  <c r="S294" i="1"/>
  <c r="S298" i="1"/>
  <c r="S302" i="1"/>
  <c r="S306" i="1"/>
  <c r="T310" i="1"/>
  <c r="T314" i="1"/>
  <c r="T318" i="1"/>
  <c r="T322" i="1"/>
  <c r="S326" i="1"/>
  <c r="T330" i="1"/>
  <c r="S334" i="1"/>
  <c r="S338" i="1"/>
  <c r="T342" i="1"/>
  <c r="S346" i="1"/>
  <c r="T350" i="1"/>
  <c r="S354" i="1"/>
  <c r="S358" i="1"/>
  <c r="S362" i="1"/>
  <c r="T366" i="1"/>
  <c r="S370" i="1"/>
  <c r="S374" i="1"/>
  <c r="T378" i="1"/>
  <c r="S382" i="1"/>
  <c r="S386" i="1"/>
  <c r="S390" i="1"/>
  <c r="T394" i="1"/>
  <c r="S398" i="1"/>
  <c r="S402" i="1"/>
  <c r="S406" i="1"/>
  <c r="T410" i="1"/>
  <c r="S414" i="1"/>
  <c r="S418" i="1"/>
  <c r="T422" i="1"/>
  <c r="T426" i="1"/>
  <c r="T430" i="1"/>
  <c r="S434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N2" i="1"/>
  <c r="M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2" i="1"/>
  <c r="Q2" i="1"/>
  <c r="S3" i="1"/>
  <c r="T3" i="1"/>
  <c r="S4" i="1"/>
  <c r="T4" i="1"/>
  <c r="S5" i="1"/>
  <c r="T5" i="1"/>
  <c r="T6" i="1"/>
  <c r="S7" i="1"/>
  <c r="T7" i="1"/>
  <c r="S8" i="1"/>
  <c r="T8" i="1"/>
  <c r="S9" i="1"/>
  <c r="T9" i="1"/>
  <c r="T10" i="1"/>
  <c r="S11" i="1"/>
  <c r="T11" i="1"/>
  <c r="S12" i="1"/>
  <c r="T12" i="1"/>
  <c r="S13" i="1"/>
  <c r="T13" i="1"/>
  <c r="S14" i="1"/>
  <c r="S15" i="1"/>
  <c r="T15" i="1"/>
  <c r="S16" i="1"/>
  <c r="T16" i="1"/>
  <c r="S17" i="1"/>
  <c r="T17" i="1"/>
  <c r="S18" i="1"/>
  <c r="S19" i="1"/>
  <c r="T19" i="1"/>
  <c r="S20" i="1"/>
  <c r="T20" i="1"/>
  <c r="S21" i="1"/>
  <c r="T21" i="1"/>
  <c r="S22" i="1"/>
  <c r="S23" i="1"/>
  <c r="T23" i="1"/>
  <c r="S24" i="1"/>
  <c r="T24" i="1"/>
  <c r="S25" i="1"/>
  <c r="T25" i="1"/>
  <c r="S26" i="1"/>
  <c r="S27" i="1"/>
  <c r="T27" i="1"/>
  <c r="S28" i="1"/>
  <c r="T28" i="1"/>
  <c r="S29" i="1"/>
  <c r="T29" i="1"/>
  <c r="S30" i="1"/>
  <c r="S31" i="1"/>
  <c r="T31" i="1"/>
  <c r="S32" i="1"/>
  <c r="T32" i="1"/>
  <c r="S33" i="1"/>
  <c r="T33" i="1"/>
  <c r="T34" i="1"/>
  <c r="S35" i="1"/>
  <c r="T35" i="1"/>
  <c r="S36" i="1"/>
  <c r="T36" i="1"/>
  <c r="S37" i="1"/>
  <c r="T37" i="1"/>
  <c r="S38" i="1"/>
  <c r="S39" i="1"/>
  <c r="T39" i="1"/>
  <c r="S40" i="1"/>
  <c r="T40" i="1"/>
  <c r="S41" i="1"/>
  <c r="T41" i="1"/>
  <c r="T42" i="1"/>
  <c r="S43" i="1"/>
  <c r="T43" i="1"/>
  <c r="S44" i="1"/>
  <c r="T44" i="1"/>
  <c r="S45" i="1"/>
  <c r="T45" i="1"/>
  <c r="T46" i="1"/>
  <c r="S47" i="1"/>
  <c r="T47" i="1"/>
  <c r="S48" i="1"/>
  <c r="T48" i="1"/>
  <c r="S49" i="1"/>
  <c r="T49" i="1"/>
  <c r="S50" i="1"/>
  <c r="S51" i="1"/>
  <c r="T51" i="1"/>
  <c r="S52" i="1"/>
  <c r="T52" i="1"/>
  <c r="S53" i="1"/>
  <c r="T53" i="1"/>
  <c r="S54" i="1"/>
  <c r="S55" i="1"/>
  <c r="T55" i="1"/>
  <c r="S56" i="1"/>
  <c r="T56" i="1"/>
  <c r="S57" i="1"/>
  <c r="T57" i="1"/>
  <c r="S58" i="1"/>
  <c r="S59" i="1"/>
  <c r="T59" i="1"/>
  <c r="S60" i="1"/>
  <c r="T60" i="1"/>
  <c r="S61" i="1"/>
  <c r="T61" i="1"/>
  <c r="T62" i="1"/>
  <c r="S63" i="1"/>
  <c r="T63" i="1"/>
  <c r="S64" i="1"/>
  <c r="T64" i="1"/>
  <c r="S65" i="1"/>
  <c r="T65" i="1"/>
  <c r="S66" i="1"/>
  <c r="S67" i="1"/>
  <c r="T67" i="1"/>
  <c r="S68" i="1"/>
  <c r="T68" i="1"/>
  <c r="S69" i="1"/>
  <c r="T69" i="1"/>
  <c r="S70" i="1"/>
  <c r="S71" i="1"/>
  <c r="T71" i="1"/>
  <c r="S72" i="1"/>
  <c r="T72" i="1"/>
  <c r="S73" i="1"/>
  <c r="T73" i="1"/>
  <c r="T74" i="1"/>
  <c r="S75" i="1"/>
  <c r="T75" i="1"/>
  <c r="S76" i="1"/>
  <c r="T76" i="1"/>
  <c r="S77" i="1"/>
  <c r="T77" i="1"/>
  <c r="S78" i="1"/>
  <c r="S79" i="1"/>
  <c r="T79" i="1"/>
  <c r="S80" i="1"/>
  <c r="T80" i="1"/>
  <c r="S81" i="1"/>
  <c r="T81" i="1"/>
  <c r="S82" i="1"/>
  <c r="S83" i="1"/>
  <c r="T83" i="1"/>
  <c r="S84" i="1"/>
  <c r="T84" i="1"/>
  <c r="S85" i="1"/>
  <c r="T85" i="1"/>
  <c r="S86" i="1"/>
  <c r="S87" i="1"/>
  <c r="T87" i="1"/>
  <c r="S88" i="1"/>
  <c r="T88" i="1"/>
  <c r="S89" i="1"/>
  <c r="T89" i="1"/>
  <c r="T90" i="1"/>
  <c r="S91" i="1"/>
  <c r="T91" i="1"/>
  <c r="S92" i="1"/>
  <c r="T92" i="1"/>
  <c r="S93" i="1"/>
  <c r="T93" i="1"/>
  <c r="S94" i="1"/>
  <c r="S95" i="1"/>
  <c r="T95" i="1"/>
  <c r="S96" i="1"/>
  <c r="T96" i="1"/>
  <c r="S97" i="1"/>
  <c r="T97" i="1"/>
  <c r="T98" i="1"/>
  <c r="S99" i="1"/>
  <c r="T99" i="1"/>
  <c r="S100" i="1"/>
  <c r="T100" i="1"/>
  <c r="S101" i="1"/>
  <c r="T101" i="1"/>
  <c r="S102" i="1"/>
  <c r="S103" i="1"/>
  <c r="T103" i="1"/>
  <c r="S104" i="1"/>
  <c r="T104" i="1"/>
  <c r="S105" i="1"/>
  <c r="T105" i="1"/>
  <c r="T106" i="1"/>
  <c r="S107" i="1"/>
  <c r="T107" i="1"/>
  <c r="S108" i="1"/>
  <c r="T108" i="1"/>
  <c r="S109" i="1"/>
  <c r="T109" i="1"/>
  <c r="T110" i="1"/>
  <c r="S111" i="1"/>
  <c r="T111" i="1"/>
  <c r="S112" i="1"/>
  <c r="T112" i="1"/>
  <c r="S113" i="1"/>
  <c r="T113" i="1"/>
  <c r="S114" i="1"/>
  <c r="S115" i="1"/>
  <c r="T115" i="1"/>
  <c r="S116" i="1"/>
  <c r="T116" i="1"/>
  <c r="S117" i="1"/>
  <c r="T117" i="1"/>
  <c r="T118" i="1"/>
  <c r="S119" i="1"/>
  <c r="T119" i="1"/>
  <c r="S120" i="1"/>
  <c r="T120" i="1"/>
  <c r="S121" i="1"/>
  <c r="T121" i="1"/>
  <c r="S122" i="1"/>
  <c r="S123" i="1"/>
  <c r="T123" i="1"/>
  <c r="S124" i="1"/>
  <c r="T124" i="1"/>
  <c r="S125" i="1"/>
  <c r="T125" i="1"/>
  <c r="T126" i="1"/>
  <c r="S127" i="1"/>
  <c r="T127" i="1"/>
  <c r="S128" i="1"/>
  <c r="T128" i="1"/>
  <c r="S129" i="1"/>
  <c r="T129" i="1"/>
  <c r="S130" i="1"/>
  <c r="S131" i="1"/>
  <c r="T131" i="1"/>
  <c r="S132" i="1"/>
  <c r="T132" i="1"/>
  <c r="S133" i="1"/>
  <c r="T133" i="1"/>
  <c r="S134" i="1"/>
  <c r="S135" i="1"/>
  <c r="T135" i="1"/>
  <c r="S136" i="1"/>
  <c r="T136" i="1"/>
  <c r="S137" i="1"/>
  <c r="T137" i="1"/>
  <c r="S138" i="1"/>
  <c r="S139" i="1"/>
  <c r="T139" i="1"/>
  <c r="S140" i="1"/>
  <c r="T140" i="1"/>
  <c r="S141" i="1"/>
  <c r="T141" i="1"/>
  <c r="S142" i="1"/>
  <c r="S143" i="1"/>
  <c r="T143" i="1"/>
  <c r="S144" i="1"/>
  <c r="T144" i="1"/>
  <c r="S145" i="1"/>
  <c r="T145" i="1"/>
  <c r="T146" i="1"/>
  <c r="S147" i="1"/>
  <c r="T147" i="1"/>
  <c r="S148" i="1"/>
  <c r="T148" i="1"/>
  <c r="S149" i="1"/>
  <c r="T149" i="1"/>
  <c r="S150" i="1"/>
  <c r="S151" i="1"/>
  <c r="T151" i="1"/>
  <c r="S152" i="1"/>
  <c r="T152" i="1"/>
  <c r="S153" i="1"/>
  <c r="T153" i="1"/>
  <c r="T154" i="1"/>
  <c r="S155" i="1"/>
  <c r="T155" i="1"/>
  <c r="S156" i="1"/>
  <c r="T156" i="1"/>
  <c r="S157" i="1"/>
  <c r="T157" i="1"/>
  <c r="S158" i="1"/>
  <c r="S159" i="1"/>
  <c r="T159" i="1"/>
  <c r="S160" i="1"/>
  <c r="T160" i="1"/>
  <c r="S161" i="1"/>
  <c r="T161" i="1"/>
  <c r="T162" i="1"/>
  <c r="S163" i="1"/>
  <c r="T163" i="1"/>
  <c r="S164" i="1"/>
  <c r="T164" i="1"/>
  <c r="S165" i="1"/>
  <c r="T165" i="1"/>
  <c r="S166" i="1"/>
  <c r="S167" i="1"/>
  <c r="T167" i="1"/>
  <c r="S168" i="1"/>
  <c r="T168" i="1"/>
  <c r="S169" i="1"/>
  <c r="T169" i="1"/>
  <c r="T170" i="1"/>
  <c r="S171" i="1"/>
  <c r="T171" i="1"/>
  <c r="S172" i="1"/>
  <c r="T172" i="1"/>
  <c r="S173" i="1"/>
  <c r="T173" i="1"/>
  <c r="S174" i="1"/>
  <c r="S175" i="1"/>
  <c r="T175" i="1"/>
  <c r="S176" i="1"/>
  <c r="T176" i="1"/>
  <c r="S177" i="1"/>
  <c r="T177" i="1"/>
  <c r="S178" i="1"/>
  <c r="S179" i="1"/>
  <c r="T179" i="1"/>
  <c r="S180" i="1"/>
  <c r="T180" i="1"/>
  <c r="S181" i="1"/>
  <c r="T181" i="1"/>
  <c r="T182" i="1"/>
  <c r="S183" i="1"/>
  <c r="T183" i="1"/>
  <c r="S184" i="1"/>
  <c r="T184" i="1"/>
  <c r="S185" i="1"/>
  <c r="T185" i="1"/>
  <c r="T186" i="1"/>
  <c r="S187" i="1"/>
  <c r="T187" i="1"/>
  <c r="S188" i="1"/>
  <c r="T188" i="1"/>
  <c r="S189" i="1"/>
  <c r="T189" i="1"/>
  <c r="S190" i="1"/>
  <c r="S191" i="1"/>
  <c r="T191" i="1"/>
  <c r="S192" i="1"/>
  <c r="T192" i="1"/>
  <c r="S193" i="1"/>
  <c r="T193" i="1"/>
  <c r="S194" i="1"/>
  <c r="S195" i="1"/>
  <c r="T195" i="1"/>
  <c r="S196" i="1"/>
  <c r="T196" i="1"/>
  <c r="S197" i="1"/>
  <c r="T197" i="1"/>
  <c r="S198" i="1"/>
  <c r="S199" i="1"/>
  <c r="T199" i="1"/>
  <c r="S200" i="1"/>
  <c r="T200" i="1"/>
  <c r="S201" i="1"/>
  <c r="T201" i="1"/>
  <c r="S202" i="1"/>
  <c r="S203" i="1"/>
  <c r="T203" i="1"/>
  <c r="S204" i="1"/>
  <c r="T204" i="1"/>
  <c r="S205" i="1"/>
  <c r="T205" i="1"/>
  <c r="S206" i="1"/>
  <c r="S207" i="1"/>
  <c r="T207" i="1"/>
  <c r="S208" i="1"/>
  <c r="T208" i="1"/>
  <c r="S209" i="1"/>
  <c r="T209" i="1"/>
  <c r="S210" i="1"/>
  <c r="S211" i="1"/>
  <c r="T211" i="1"/>
  <c r="S212" i="1"/>
  <c r="T212" i="1"/>
  <c r="S213" i="1"/>
  <c r="T213" i="1"/>
  <c r="S214" i="1"/>
  <c r="S215" i="1"/>
  <c r="T215" i="1"/>
  <c r="S216" i="1"/>
  <c r="T216" i="1"/>
  <c r="S217" i="1"/>
  <c r="T217" i="1"/>
  <c r="S218" i="1"/>
  <c r="S219" i="1"/>
  <c r="T219" i="1"/>
  <c r="S220" i="1"/>
  <c r="T220" i="1"/>
  <c r="S221" i="1"/>
  <c r="T221" i="1"/>
  <c r="S222" i="1"/>
  <c r="S223" i="1"/>
  <c r="T223" i="1"/>
  <c r="S224" i="1"/>
  <c r="T224" i="1"/>
  <c r="S225" i="1"/>
  <c r="T225" i="1"/>
  <c r="S226" i="1"/>
  <c r="S227" i="1"/>
  <c r="T227" i="1"/>
  <c r="S228" i="1"/>
  <c r="T228" i="1"/>
  <c r="S229" i="1"/>
  <c r="T229" i="1"/>
  <c r="S230" i="1"/>
  <c r="S231" i="1"/>
  <c r="T231" i="1"/>
  <c r="S232" i="1"/>
  <c r="T232" i="1"/>
  <c r="S233" i="1"/>
  <c r="T233" i="1"/>
  <c r="S234" i="1"/>
  <c r="S235" i="1"/>
  <c r="T235" i="1"/>
  <c r="S236" i="1"/>
  <c r="T236" i="1"/>
  <c r="S237" i="1"/>
  <c r="T237" i="1"/>
  <c r="T238" i="1"/>
  <c r="S239" i="1"/>
  <c r="T239" i="1"/>
  <c r="S240" i="1"/>
  <c r="T240" i="1"/>
  <c r="S241" i="1"/>
  <c r="T241" i="1"/>
  <c r="S242" i="1"/>
  <c r="S243" i="1"/>
  <c r="T243" i="1"/>
  <c r="S244" i="1"/>
  <c r="T244" i="1"/>
  <c r="S245" i="1"/>
  <c r="T245" i="1"/>
  <c r="S246" i="1"/>
  <c r="S247" i="1"/>
  <c r="T247" i="1"/>
  <c r="S248" i="1"/>
  <c r="T248" i="1"/>
  <c r="S249" i="1"/>
  <c r="T249" i="1"/>
  <c r="S250" i="1"/>
  <c r="S251" i="1"/>
  <c r="T251" i="1"/>
  <c r="S252" i="1"/>
  <c r="T252" i="1"/>
  <c r="S253" i="1"/>
  <c r="T253" i="1"/>
  <c r="S254" i="1"/>
  <c r="S255" i="1"/>
  <c r="T255" i="1"/>
  <c r="S256" i="1"/>
  <c r="T256" i="1"/>
  <c r="S257" i="1"/>
  <c r="T257" i="1"/>
  <c r="T258" i="1"/>
  <c r="S259" i="1"/>
  <c r="T259" i="1"/>
  <c r="S260" i="1"/>
  <c r="T260" i="1"/>
  <c r="S261" i="1"/>
  <c r="T261" i="1"/>
  <c r="T262" i="1"/>
  <c r="S263" i="1"/>
  <c r="T263" i="1"/>
  <c r="S264" i="1"/>
  <c r="T264" i="1"/>
  <c r="S265" i="1"/>
  <c r="T265" i="1"/>
  <c r="T266" i="1"/>
  <c r="S267" i="1"/>
  <c r="T267" i="1"/>
  <c r="S268" i="1"/>
  <c r="T268" i="1"/>
  <c r="S269" i="1"/>
  <c r="T269" i="1"/>
  <c r="T270" i="1"/>
  <c r="S271" i="1"/>
  <c r="T271" i="1"/>
  <c r="S272" i="1"/>
  <c r="T272" i="1"/>
  <c r="S273" i="1"/>
  <c r="T273" i="1"/>
  <c r="T274" i="1"/>
  <c r="S275" i="1"/>
  <c r="T275" i="1"/>
  <c r="S276" i="1"/>
  <c r="T276" i="1"/>
  <c r="S277" i="1"/>
  <c r="T277" i="1"/>
  <c r="T278" i="1"/>
  <c r="S279" i="1"/>
  <c r="T279" i="1"/>
  <c r="S280" i="1"/>
  <c r="T280" i="1"/>
  <c r="S281" i="1"/>
  <c r="T281" i="1"/>
  <c r="T282" i="1"/>
  <c r="S283" i="1"/>
  <c r="T283" i="1"/>
  <c r="S284" i="1"/>
  <c r="T284" i="1"/>
  <c r="S285" i="1"/>
  <c r="T285" i="1"/>
  <c r="T286" i="1"/>
  <c r="S287" i="1"/>
  <c r="T287" i="1"/>
  <c r="S288" i="1"/>
  <c r="T288" i="1"/>
  <c r="S289" i="1"/>
  <c r="T289" i="1"/>
  <c r="S290" i="1"/>
  <c r="S291" i="1"/>
  <c r="T291" i="1"/>
  <c r="S292" i="1"/>
  <c r="T292" i="1"/>
  <c r="S293" i="1"/>
  <c r="T293" i="1"/>
  <c r="T294" i="1"/>
  <c r="S295" i="1"/>
  <c r="T295" i="1"/>
  <c r="S296" i="1"/>
  <c r="T296" i="1"/>
  <c r="S297" i="1"/>
  <c r="T297" i="1"/>
  <c r="T298" i="1"/>
  <c r="S299" i="1"/>
  <c r="T299" i="1"/>
  <c r="S300" i="1"/>
  <c r="T300" i="1"/>
  <c r="S301" i="1"/>
  <c r="T301" i="1"/>
  <c r="T302" i="1"/>
  <c r="S303" i="1"/>
  <c r="T303" i="1"/>
  <c r="S304" i="1"/>
  <c r="T304" i="1"/>
  <c r="S305" i="1"/>
  <c r="T305" i="1"/>
  <c r="T306" i="1"/>
  <c r="S307" i="1"/>
  <c r="T307" i="1"/>
  <c r="S308" i="1"/>
  <c r="T308" i="1"/>
  <c r="S309" i="1"/>
  <c r="T309" i="1"/>
  <c r="S310" i="1"/>
  <c r="S311" i="1"/>
  <c r="T311" i="1"/>
  <c r="S312" i="1"/>
  <c r="T312" i="1"/>
  <c r="S313" i="1"/>
  <c r="T313" i="1"/>
  <c r="S314" i="1"/>
  <c r="S315" i="1"/>
  <c r="T315" i="1"/>
  <c r="S316" i="1"/>
  <c r="T316" i="1"/>
  <c r="S317" i="1"/>
  <c r="T317" i="1"/>
  <c r="S318" i="1"/>
  <c r="S319" i="1"/>
  <c r="T319" i="1"/>
  <c r="S320" i="1"/>
  <c r="T320" i="1"/>
  <c r="S321" i="1"/>
  <c r="T321" i="1"/>
  <c r="S322" i="1"/>
  <c r="S323" i="1"/>
  <c r="T323" i="1"/>
  <c r="S324" i="1"/>
  <c r="T324" i="1"/>
  <c r="S325" i="1"/>
  <c r="T325" i="1"/>
  <c r="T326" i="1"/>
  <c r="S327" i="1"/>
  <c r="T327" i="1"/>
  <c r="S328" i="1"/>
  <c r="T328" i="1"/>
  <c r="S329" i="1"/>
  <c r="T329" i="1"/>
  <c r="S330" i="1"/>
  <c r="S331" i="1"/>
  <c r="T331" i="1"/>
  <c r="S332" i="1"/>
  <c r="T332" i="1"/>
  <c r="S333" i="1"/>
  <c r="T333" i="1"/>
  <c r="T334" i="1"/>
  <c r="S335" i="1"/>
  <c r="T335" i="1"/>
  <c r="S336" i="1"/>
  <c r="T336" i="1"/>
  <c r="S337" i="1"/>
  <c r="T337" i="1"/>
  <c r="T338" i="1"/>
  <c r="S339" i="1"/>
  <c r="T339" i="1"/>
  <c r="S340" i="1"/>
  <c r="T340" i="1"/>
  <c r="S341" i="1"/>
  <c r="T341" i="1"/>
  <c r="S342" i="1"/>
  <c r="S343" i="1"/>
  <c r="T343" i="1"/>
  <c r="S344" i="1"/>
  <c r="T344" i="1"/>
  <c r="S345" i="1"/>
  <c r="T345" i="1"/>
  <c r="T346" i="1"/>
  <c r="S347" i="1"/>
  <c r="T347" i="1"/>
  <c r="S348" i="1"/>
  <c r="T348" i="1"/>
  <c r="S349" i="1"/>
  <c r="T349" i="1"/>
  <c r="S350" i="1"/>
  <c r="S351" i="1"/>
  <c r="T351" i="1"/>
  <c r="S352" i="1"/>
  <c r="T352" i="1"/>
  <c r="S353" i="1"/>
  <c r="T353" i="1"/>
  <c r="T354" i="1"/>
  <c r="S355" i="1"/>
  <c r="T355" i="1"/>
  <c r="S356" i="1"/>
  <c r="T356" i="1"/>
  <c r="S357" i="1"/>
  <c r="T357" i="1"/>
  <c r="T358" i="1"/>
  <c r="S359" i="1"/>
  <c r="T359" i="1"/>
  <c r="S360" i="1"/>
  <c r="T360" i="1"/>
  <c r="S361" i="1"/>
  <c r="T361" i="1"/>
  <c r="T362" i="1"/>
  <c r="S363" i="1"/>
  <c r="T363" i="1"/>
  <c r="S364" i="1"/>
  <c r="T364" i="1"/>
  <c r="S365" i="1"/>
  <c r="T365" i="1"/>
  <c r="S366" i="1"/>
  <c r="S367" i="1"/>
  <c r="T367" i="1"/>
  <c r="S368" i="1"/>
  <c r="T368" i="1"/>
  <c r="S369" i="1"/>
  <c r="T369" i="1"/>
  <c r="T370" i="1"/>
  <c r="S371" i="1"/>
  <c r="T371" i="1"/>
  <c r="S372" i="1"/>
  <c r="T372" i="1"/>
  <c r="S373" i="1"/>
  <c r="T373" i="1"/>
  <c r="T374" i="1"/>
  <c r="S375" i="1"/>
  <c r="T375" i="1"/>
  <c r="S376" i="1"/>
  <c r="T376" i="1"/>
  <c r="S377" i="1"/>
  <c r="T377" i="1"/>
  <c r="S378" i="1"/>
  <c r="S379" i="1"/>
  <c r="T379" i="1"/>
  <c r="S380" i="1"/>
  <c r="T380" i="1"/>
  <c r="S381" i="1"/>
  <c r="T381" i="1"/>
  <c r="T382" i="1"/>
  <c r="S383" i="1"/>
  <c r="T383" i="1"/>
  <c r="S384" i="1"/>
  <c r="T384" i="1"/>
  <c r="S385" i="1"/>
  <c r="T385" i="1"/>
  <c r="T386" i="1"/>
  <c r="S387" i="1"/>
  <c r="T387" i="1"/>
  <c r="S388" i="1"/>
  <c r="T388" i="1"/>
  <c r="S389" i="1"/>
  <c r="T389" i="1"/>
  <c r="T390" i="1"/>
  <c r="S391" i="1"/>
  <c r="T391" i="1"/>
  <c r="S392" i="1"/>
  <c r="T392" i="1"/>
  <c r="S393" i="1"/>
  <c r="T393" i="1"/>
  <c r="S394" i="1"/>
  <c r="S395" i="1"/>
  <c r="T395" i="1"/>
  <c r="S396" i="1"/>
  <c r="T396" i="1"/>
  <c r="S397" i="1"/>
  <c r="T397" i="1"/>
  <c r="T398" i="1"/>
  <c r="S399" i="1"/>
  <c r="T399" i="1"/>
  <c r="S400" i="1"/>
  <c r="T400" i="1"/>
  <c r="S401" i="1"/>
  <c r="T401" i="1"/>
  <c r="T402" i="1"/>
  <c r="S403" i="1"/>
  <c r="T403" i="1"/>
  <c r="S404" i="1"/>
  <c r="T404" i="1"/>
  <c r="S405" i="1"/>
  <c r="T405" i="1"/>
  <c r="T406" i="1"/>
  <c r="S407" i="1"/>
  <c r="T407" i="1"/>
  <c r="S408" i="1"/>
  <c r="T408" i="1"/>
  <c r="S409" i="1"/>
  <c r="T409" i="1"/>
  <c r="S410" i="1"/>
  <c r="S411" i="1"/>
  <c r="T411" i="1"/>
  <c r="S412" i="1"/>
  <c r="T412" i="1"/>
  <c r="S413" i="1"/>
  <c r="T413" i="1"/>
  <c r="T414" i="1"/>
  <c r="S415" i="1"/>
  <c r="T415" i="1"/>
  <c r="S416" i="1"/>
  <c r="T416" i="1"/>
  <c r="S417" i="1"/>
  <c r="T417" i="1"/>
  <c r="T418" i="1"/>
  <c r="S419" i="1"/>
  <c r="T419" i="1"/>
  <c r="S420" i="1"/>
  <c r="T420" i="1"/>
  <c r="S421" i="1"/>
  <c r="T421" i="1"/>
  <c r="S422" i="1"/>
  <c r="S423" i="1"/>
  <c r="T423" i="1"/>
  <c r="S424" i="1"/>
  <c r="T424" i="1"/>
  <c r="S425" i="1"/>
  <c r="T425" i="1"/>
  <c r="S426" i="1"/>
  <c r="S427" i="1"/>
  <c r="T427" i="1"/>
  <c r="S428" i="1"/>
  <c r="T428" i="1"/>
  <c r="S429" i="1"/>
  <c r="T429" i="1"/>
  <c r="S430" i="1"/>
  <c r="S431" i="1"/>
  <c r="T431" i="1"/>
  <c r="S432" i="1"/>
  <c r="T432" i="1"/>
  <c r="S433" i="1"/>
  <c r="T433" i="1"/>
  <c r="T434" i="1"/>
  <c r="S435" i="1"/>
  <c r="T435" i="1"/>
  <c r="S2" i="1"/>
  <c r="T2" i="1"/>
  <c r="W3" i="1"/>
  <c r="W5" i="1"/>
  <c r="W6" i="1"/>
  <c r="W7" i="1"/>
  <c r="W8" i="1"/>
  <c r="W9" i="1"/>
  <c r="W10" i="1"/>
  <c r="W11" i="1"/>
  <c r="W12" i="1"/>
  <c r="W15" i="1"/>
  <c r="W16" i="1"/>
  <c r="W17" i="1"/>
  <c r="W19" i="1"/>
  <c r="W21" i="1"/>
  <c r="W23" i="1"/>
  <c r="W24" i="1"/>
  <c r="W25" i="1"/>
  <c r="W28" i="1"/>
  <c r="W29" i="1"/>
  <c r="W31" i="1"/>
  <c r="W32" i="1"/>
  <c r="W34" i="1"/>
  <c r="W35" i="1"/>
  <c r="W36" i="1"/>
  <c r="W37" i="1"/>
  <c r="W39" i="1"/>
  <c r="W40" i="1"/>
  <c r="W41" i="1"/>
  <c r="W42" i="1"/>
  <c r="W43" i="1"/>
  <c r="W46" i="1"/>
  <c r="W48" i="1"/>
  <c r="W49" i="1"/>
  <c r="W51" i="1"/>
  <c r="W55" i="1"/>
  <c r="W59" i="1"/>
  <c r="W60" i="1"/>
  <c r="W61" i="1"/>
  <c r="W62" i="1"/>
  <c r="W63" i="1"/>
  <c r="W64" i="1"/>
  <c r="W65" i="1"/>
  <c r="W72" i="1"/>
  <c r="W73" i="1"/>
  <c r="W74" i="1"/>
  <c r="W79" i="1"/>
  <c r="W80" i="1"/>
  <c r="W81" i="1"/>
  <c r="W83" i="1"/>
  <c r="W85" i="1"/>
  <c r="W90" i="1"/>
  <c r="W91" i="1"/>
  <c r="W92" i="1"/>
  <c r="W98" i="1"/>
  <c r="W99" i="1"/>
  <c r="W100" i="1"/>
  <c r="W101" i="1"/>
  <c r="W103" i="1"/>
  <c r="W106" i="1"/>
  <c r="W109" i="1"/>
  <c r="W110" i="1"/>
  <c r="W113" i="1"/>
  <c r="W115" i="1"/>
  <c r="W116" i="1"/>
  <c r="W117" i="1"/>
  <c r="W118" i="1"/>
  <c r="W126" i="1"/>
  <c r="W127" i="1"/>
  <c r="W128" i="1"/>
  <c r="W132" i="1"/>
  <c r="W133" i="1"/>
  <c r="W135" i="1"/>
  <c r="W140" i="1"/>
  <c r="W141" i="1"/>
  <c r="W143" i="1"/>
  <c r="W145" i="1"/>
  <c r="W146" i="1"/>
  <c r="W151" i="1"/>
  <c r="W152" i="1"/>
  <c r="W154" i="1"/>
  <c r="W162" i="1"/>
  <c r="W163" i="1"/>
  <c r="W164" i="1"/>
  <c r="W168" i="1"/>
  <c r="W170" i="1"/>
  <c r="W172" i="1"/>
  <c r="W173" i="1"/>
  <c r="W176" i="1"/>
  <c r="W179" i="1"/>
  <c r="W182" i="1"/>
  <c r="W184" i="1"/>
  <c r="W185" i="1"/>
  <c r="W186" i="1"/>
  <c r="W187" i="1"/>
  <c r="W189" i="1"/>
  <c r="W192" i="1"/>
  <c r="W193" i="1"/>
  <c r="W196" i="1"/>
  <c r="W200" i="1"/>
  <c r="W201" i="1"/>
  <c r="W207" i="1"/>
  <c r="W209" i="1"/>
  <c r="W211" i="1"/>
  <c r="W212" i="1"/>
  <c r="W213" i="1"/>
  <c r="W224" i="1"/>
  <c r="W225" i="1"/>
  <c r="W228" i="1"/>
  <c r="W229" i="1"/>
  <c r="W236" i="1"/>
  <c r="W237" i="1"/>
  <c r="W238" i="1"/>
  <c r="W239" i="1"/>
  <c r="W241" i="1"/>
  <c r="W243" i="1"/>
  <c r="W245" i="1"/>
  <c r="W248" i="1"/>
  <c r="W249" i="1"/>
  <c r="W256" i="1"/>
  <c r="W257" i="1"/>
  <c r="W258" i="1"/>
  <c r="W259" i="1"/>
  <c r="W260" i="1"/>
  <c r="W262" i="1"/>
  <c r="W265" i="1"/>
  <c r="W266" i="1"/>
  <c r="W267" i="1"/>
  <c r="W269" i="1"/>
  <c r="W270" i="1"/>
  <c r="W273" i="1"/>
  <c r="W274" i="1"/>
  <c r="W275" i="1"/>
  <c r="W277" i="1"/>
  <c r="W278" i="1"/>
  <c r="W280" i="1"/>
  <c r="W282" i="1"/>
  <c r="W283" i="1"/>
  <c r="W284" i="1"/>
  <c r="W285" i="1"/>
  <c r="W286" i="1"/>
  <c r="W287" i="1"/>
  <c r="W292" i="1"/>
  <c r="W294" i="1"/>
  <c r="W297" i="1"/>
  <c r="W298" i="1"/>
  <c r="W299" i="1"/>
  <c r="W301" i="1"/>
  <c r="W302" i="1"/>
  <c r="W306" i="1"/>
  <c r="W307" i="1"/>
  <c r="W308" i="1"/>
  <c r="W309" i="1"/>
  <c r="W311" i="1"/>
  <c r="W312" i="1"/>
  <c r="W316" i="1"/>
  <c r="W326" i="1"/>
  <c r="W327" i="1"/>
  <c r="W328" i="1"/>
  <c r="W329" i="1"/>
  <c r="W334" i="1"/>
  <c r="W335" i="1"/>
  <c r="W338" i="1"/>
  <c r="W340" i="1"/>
  <c r="W341" i="1"/>
  <c r="W343" i="1"/>
  <c r="W345" i="1"/>
  <c r="W346" i="1"/>
  <c r="W352" i="1"/>
  <c r="W354" i="1"/>
  <c r="W355" i="1"/>
  <c r="W356" i="1"/>
  <c r="W358" i="1"/>
  <c r="W360" i="1"/>
  <c r="W362" i="1"/>
  <c r="W364" i="1"/>
  <c r="W365" i="1"/>
  <c r="W367" i="1"/>
  <c r="W368" i="1"/>
  <c r="W370" i="1"/>
  <c r="W372" i="1"/>
  <c r="W374" i="1"/>
  <c r="W375" i="1"/>
  <c r="W380" i="1"/>
  <c r="W381" i="1"/>
  <c r="W382" i="1"/>
  <c r="W384" i="1"/>
  <c r="W386" i="1"/>
  <c r="W390" i="1"/>
  <c r="W391" i="1"/>
  <c r="W393" i="1"/>
  <c r="W395" i="1"/>
  <c r="W396" i="1"/>
  <c r="W397" i="1"/>
  <c r="W398" i="1"/>
  <c r="W401" i="1"/>
  <c r="W402" i="1"/>
  <c r="W404" i="1"/>
  <c r="W406" i="1"/>
  <c r="W407" i="1"/>
  <c r="W408" i="1"/>
  <c r="W411" i="1"/>
  <c r="W412" i="1"/>
  <c r="W413" i="1"/>
  <c r="W414" i="1"/>
  <c r="W415" i="1"/>
  <c r="W416" i="1"/>
  <c r="W418" i="1"/>
  <c r="W419" i="1"/>
  <c r="W423" i="1"/>
  <c r="W425" i="1"/>
  <c r="W427" i="1"/>
  <c r="W429" i="1"/>
  <c r="W431" i="1"/>
  <c r="W432" i="1"/>
  <c r="W434" i="1"/>
  <c r="W2" i="1"/>
  <c r="V4" i="1"/>
  <c r="V6" i="1"/>
  <c r="V13" i="1"/>
  <c r="W14" i="1"/>
  <c r="V14" i="1"/>
  <c r="V18" i="1"/>
  <c r="V20" i="1"/>
  <c r="W22" i="1"/>
  <c r="V22" i="1"/>
  <c r="V26" i="1"/>
  <c r="V27" i="1"/>
  <c r="V30" i="1"/>
  <c r="V33" i="1"/>
  <c r="V34" i="1"/>
  <c r="V38" i="1"/>
  <c r="V42" i="1"/>
  <c r="V44" i="1"/>
  <c r="V45" i="1"/>
  <c r="V46" i="1"/>
  <c r="V47" i="1"/>
  <c r="V50" i="1"/>
  <c r="V52" i="1"/>
  <c r="V53" i="1"/>
  <c r="V54" i="1"/>
  <c r="V56" i="1"/>
  <c r="V57" i="1"/>
  <c r="V58" i="1"/>
  <c r="V62" i="1"/>
  <c r="V66" i="1"/>
  <c r="V67" i="1"/>
  <c r="V68" i="1"/>
  <c r="V69" i="1"/>
  <c r="W70" i="1"/>
  <c r="V70" i="1"/>
  <c r="V71" i="1"/>
  <c r="V75" i="1"/>
  <c r="V76" i="1"/>
  <c r="V77" i="1"/>
  <c r="W78" i="1"/>
  <c r="V78" i="1"/>
  <c r="V82" i="1"/>
  <c r="V84" i="1"/>
  <c r="W86" i="1"/>
  <c r="V86" i="1"/>
  <c r="V87" i="1"/>
  <c r="W88" i="1"/>
  <c r="V88" i="1"/>
  <c r="V89" i="1"/>
  <c r="V93" i="1"/>
  <c r="W94" i="1"/>
  <c r="V94" i="1"/>
  <c r="V95" i="1"/>
  <c r="V96" i="1"/>
  <c r="V97" i="1"/>
  <c r="V102" i="1"/>
  <c r="V104" i="1"/>
  <c r="V105" i="1"/>
  <c r="V107" i="1"/>
  <c r="V108" i="1"/>
  <c r="V111" i="1"/>
  <c r="V112" i="1"/>
  <c r="W114" i="1"/>
  <c r="V114" i="1"/>
  <c r="V119" i="1"/>
  <c r="V120" i="1"/>
  <c r="V121" i="1"/>
  <c r="W122" i="1"/>
  <c r="V122" i="1"/>
  <c r="V123" i="1"/>
  <c r="V124" i="1"/>
  <c r="V125" i="1"/>
  <c r="V126" i="1"/>
  <c r="V129" i="1"/>
  <c r="V130" i="1"/>
  <c r="V131" i="1"/>
  <c r="V134" i="1"/>
  <c r="V136" i="1"/>
  <c r="V137" i="1"/>
  <c r="V138" i="1"/>
  <c r="V139" i="1"/>
  <c r="W142" i="1"/>
  <c r="V142" i="1"/>
  <c r="V144" i="1"/>
  <c r="V146" i="1"/>
  <c r="V147" i="1"/>
  <c r="V148" i="1"/>
  <c r="V149" i="1"/>
  <c r="W150" i="1"/>
  <c r="V150" i="1"/>
  <c r="V153" i="1"/>
  <c r="V155" i="1"/>
  <c r="V156" i="1"/>
  <c r="V157" i="1"/>
  <c r="W158" i="1"/>
  <c r="V158" i="1"/>
  <c r="V159" i="1"/>
  <c r="W160" i="1"/>
  <c r="V160" i="1"/>
  <c r="V161" i="1"/>
  <c r="V165" i="1"/>
  <c r="W166" i="1"/>
  <c r="V166" i="1"/>
  <c r="V167" i="1"/>
  <c r="V169" i="1"/>
  <c r="V170" i="1"/>
  <c r="V171" i="1"/>
  <c r="V174" i="1"/>
  <c r="V175" i="1"/>
  <c r="V177" i="1"/>
  <c r="V178" i="1"/>
  <c r="V180" i="1"/>
  <c r="V181" i="1"/>
  <c r="V183" i="1"/>
  <c r="V186" i="1"/>
  <c r="V188" i="1"/>
  <c r="V190" i="1"/>
  <c r="V191" i="1"/>
  <c r="W194" i="1"/>
  <c r="V194" i="1"/>
  <c r="V195" i="1"/>
  <c r="V197" i="1"/>
  <c r="W198" i="1"/>
  <c r="V198" i="1"/>
  <c r="V199" i="1"/>
  <c r="W202" i="1"/>
  <c r="V202" i="1"/>
  <c r="V203" i="1"/>
  <c r="V204" i="1"/>
  <c r="V205" i="1"/>
  <c r="W206" i="1"/>
  <c r="V206" i="1"/>
  <c r="V208" i="1"/>
  <c r="W210" i="1"/>
  <c r="V210" i="1"/>
  <c r="V214" i="1"/>
  <c r="V215" i="1"/>
  <c r="V216" i="1"/>
  <c r="V217" i="1"/>
  <c r="V218" i="1"/>
  <c r="V219" i="1"/>
  <c r="V220" i="1"/>
  <c r="V221" i="1"/>
  <c r="W222" i="1"/>
  <c r="V222" i="1"/>
  <c r="V223" i="1"/>
  <c r="V226" i="1"/>
  <c r="V227" i="1"/>
  <c r="V230" i="1"/>
  <c r="V231" i="1"/>
  <c r="V232" i="1"/>
  <c r="V233" i="1"/>
  <c r="V234" i="1"/>
  <c r="V235" i="1"/>
  <c r="V240" i="1"/>
  <c r="W242" i="1"/>
  <c r="V242" i="1"/>
  <c r="V244" i="1"/>
  <c r="V246" i="1"/>
  <c r="V247" i="1"/>
  <c r="V250" i="1"/>
  <c r="V251" i="1"/>
  <c r="V252" i="1"/>
  <c r="V253" i="1"/>
  <c r="V254" i="1"/>
  <c r="V255" i="1"/>
  <c r="V261" i="1"/>
  <c r="V262" i="1"/>
  <c r="V263" i="1"/>
  <c r="V264" i="1"/>
  <c r="V268" i="1"/>
  <c r="V270" i="1"/>
  <c r="V271" i="1"/>
  <c r="V272" i="1"/>
  <c r="V274" i="1"/>
  <c r="V276" i="1"/>
  <c r="V279" i="1"/>
  <c r="V281" i="1"/>
  <c r="V282" i="1"/>
  <c r="V288" i="1"/>
  <c r="V289" i="1"/>
  <c r="W290" i="1"/>
  <c r="V290" i="1"/>
  <c r="V291" i="1"/>
  <c r="V293" i="1"/>
  <c r="V294" i="1"/>
  <c r="V295" i="1"/>
  <c r="V296" i="1"/>
  <c r="V298" i="1"/>
  <c r="V300" i="1"/>
  <c r="V303" i="1"/>
  <c r="V304" i="1"/>
  <c r="V305" i="1"/>
  <c r="V308" i="1"/>
  <c r="W310" i="1"/>
  <c r="V310" i="1"/>
  <c r="V312" i="1"/>
  <c r="V313" i="1"/>
  <c r="W314" i="1"/>
  <c r="V314" i="1"/>
  <c r="V315" i="1"/>
  <c r="V317" i="1"/>
  <c r="W318" i="1"/>
  <c r="V318" i="1"/>
  <c r="V319" i="1"/>
  <c r="V320" i="1"/>
  <c r="V321" i="1"/>
  <c r="W322" i="1"/>
  <c r="V322" i="1"/>
  <c r="V323" i="1"/>
  <c r="V324" i="1"/>
  <c r="V325" i="1"/>
  <c r="V330" i="1"/>
  <c r="V331" i="1"/>
  <c r="V332" i="1"/>
  <c r="V333" i="1"/>
  <c r="V334" i="1"/>
  <c r="V336" i="1"/>
  <c r="V337" i="1"/>
  <c r="V339" i="1"/>
  <c r="W342" i="1"/>
  <c r="V342" i="1"/>
  <c r="V344" i="1"/>
  <c r="V346" i="1"/>
  <c r="V347" i="1"/>
  <c r="V348" i="1"/>
  <c r="V349" i="1"/>
  <c r="W350" i="1"/>
  <c r="V350" i="1"/>
  <c r="V351" i="1"/>
  <c r="V353" i="1"/>
  <c r="V354" i="1"/>
  <c r="V357" i="1"/>
  <c r="V359" i="1"/>
  <c r="V361" i="1"/>
  <c r="V362" i="1"/>
  <c r="V363" i="1"/>
  <c r="V366" i="1"/>
  <c r="V369" i="1"/>
  <c r="V371" i="1"/>
  <c r="V373" i="1"/>
  <c r="V374" i="1"/>
  <c r="V376" i="1"/>
  <c r="V377" i="1"/>
  <c r="W378" i="1"/>
  <c r="V378" i="1"/>
  <c r="V379" i="1"/>
  <c r="V383" i="1"/>
  <c r="V385" i="1"/>
  <c r="V387" i="1"/>
  <c r="V388" i="1"/>
  <c r="V389" i="1"/>
  <c r="V392" i="1"/>
  <c r="W394" i="1"/>
  <c r="V394" i="1"/>
  <c r="V399" i="1"/>
  <c r="V400" i="1"/>
  <c r="V402" i="1"/>
  <c r="V403" i="1"/>
  <c r="V404" i="1"/>
  <c r="V405" i="1"/>
  <c r="V406" i="1"/>
  <c r="V408" i="1"/>
  <c r="V409" i="1"/>
  <c r="W410" i="1"/>
  <c r="V410" i="1"/>
  <c r="V417" i="1"/>
  <c r="V418" i="1"/>
  <c r="V420" i="1"/>
  <c r="V421" i="1"/>
  <c r="W422" i="1"/>
  <c r="V422" i="1"/>
  <c r="V424" i="1"/>
  <c r="V426" i="1"/>
  <c r="V428" i="1"/>
  <c r="V430" i="1"/>
  <c r="V433" i="1"/>
  <c r="V434" i="1"/>
  <c r="V435" i="1"/>
  <c r="B4" i="2" l="1"/>
  <c r="B3" i="2"/>
  <c r="C23" i="4"/>
  <c r="B22" i="4"/>
  <c r="C13" i="4"/>
  <c r="C16" i="4"/>
  <c r="C19" i="4"/>
  <c r="C22" i="4"/>
  <c r="B14" i="4"/>
  <c r="B17" i="4"/>
  <c r="B20" i="4"/>
  <c r="B23" i="4"/>
  <c r="C14" i="4"/>
  <c r="C17" i="4"/>
  <c r="C20" i="4"/>
  <c r="B13" i="4"/>
  <c r="B16" i="4"/>
  <c r="B19" i="4"/>
  <c r="F22" i="4"/>
  <c r="F19" i="4"/>
  <c r="F16" i="4"/>
  <c r="F13" i="4"/>
  <c r="C3" i="2"/>
  <c r="D3" i="2"/>
  <c r="D4" i="2"/>
  <c r="C6" i="2"/>
  <c r="C5" i="2"/>
  <c r="B6" i="2"/>
  <c r="C4" i="2"/>
  <c r="D6" i="2"/>
  <c r="B5" i="2"/>
  <c r="D5" i="2"/>
  <c r="E8" i="2"/>
  <c r="F5" i="2" l="1"/>
  <c r="F3" i="2"/>
  <c r="E4" i="2"/>
  <c r="E6" i="2"/>
  <c r="E7" i="2" l="1"/>
  <c r="E3" i="2" l="1"/>
  <c r="E5" i="2"/>
  <c r="Y16" i="1"/>
  <c r="Y17" i="1"/>
</calcChain>
</file>

<file path=xl/sharedStrings.xml><?xml version="1.0" encoding="utf-8"?>
<sst xmlns="http://schemas.openxmlformats.org/spreadsheetml/2006/main" count="3683" uniqueCount="824">
  <si>
    <t>Company</t>
  </si>
  <si>
    <t>Ticker</t>
  </si>
  <si>
    <t>Market Cap</t>
  </si>
  <si>
    <t>Team</t>
  </si>
  <si>
    <t>Adjusted Rec Price</t>
  </si>
  <si>
    <t>Luckin Coffee Inc.</t>
  </si>
  <si>
    <t>LK</t>
  </si>
  <si>
    <t>$9B</t>
  </si>
  <si>
    <t>Tom</t>
  </si>
  <si>
    <t>DexCom</t>
  </si>
  <si>
    <t>DXCM</t>
  </si>
  <si>
    <t>$24B</t>
  </si>
  <si>
    <t>David</t>
  </si>
  <si>
    <t>Invitae</t>
  </si>
  <si>
    <t>NVTA</t>
  </si>
  <si>
    <t>$2B</t>
  </si>
  <si>
    <t>Nice Systems</t>
  </si>
  <si>
    <t>NICE</t>
  </si>
  <si>
    <t>$31B</t>
  </si>
  <si>
    <t>Tesla</t>
  </si>
  <si>
    <t>TSLA</t>
  </si>
  <si>
    <t>$112B</t>
  </si>
  <si>
    <t>Accenture</t>
  </si>
  <si>
    <t>ACN</t>
  </si>
  <si>
    <t>$104B</t>
  </si>
  <si>
    <t>HubSpot</t>
  </si>
  <si>
    <t>HUBS</t>
  </si>
  <si>
    <t>$6B</t>
  </si>
  <si>
    <t>Netflix</t>
  </si>
  <si>
    <t>NFLX</t>
  </si>
  <si>
    <t>$152B</t>
  </si>
  <si>
    <t>The Trade Desk</t>
  </si>
  <si>
    <t>TTD</t>
  </si>
  <si>
    <t>$10B</t>
  </si>
  <si>
    <t>Neurocrine Biosciences</t>
  </si>
  <si>
    <t>NBIX</t>
  </si>
  <si>
    <t>$8B</t>
  </si>
  <si>
    <t>Zoom Video Communications</t>
  </si>
  <si>
    <t>ZM</t>
  </si>
  <si>
    <t>SolarEdge Technologies</t>
  </si>
  <si>
    <t>SEDG</t>
  </si>
  <si>
    <t>$5B</t>
  </si>
  <si>
    <t>Slack Technologies</t>
  </si>
  <si>
    <t>WORK</t>
  </si>
  <si>
    <t>$14B</t>
  </si>
  <si>
    <t>Jack Henry &amp; Associates</t>
  </si>
  <si>
    <t>JKHY</t>
  </si>
  <si>
    <t>$12B</t>
  </si>
  <si>
    <t>Charlotte's Web</t>
  </si>
  <si>
    <t>CWBHF</t>
  </si>
  <si>
    <t>$662M</t>
  </si>
  <si>
    <t>Zynga</t>
  </si>
  <si>
    <t>ZNGA</t>
  </si>
  <si>
    <t>Waste Management</t>
  </si>
  <si>
    <t>WM</t>
  </si>
  <si>
    <t>$48B</t>
  </si>
  <si>
    <t>HealthEquity</t>
  </si>
  <si>
    <t>HQY</t>
  </si>
  <si>
    <t>$4B</t>
  </si>
  <si>
    <t>Synopsys</t>
  </si>
  <si>
    <t>SNPS</t>
  </si>
  <si>
    <t>$19B</t>
  </si>
  <si>
    <t>Wix.com</t>
  </si>
  <si>
    <t>WIX</t>
  </si>
  <si>
    <t>Ollies Bargain Outlet Holdings</t>
  </si>
  <si>
    <t>OLLI</t>
  </si>
  <si>
    <t>$3B</t>
  </si>
  <si>
    <t>Hill-Rom Holdings</t>
  </si>
  <si>
    <t>HRC</t>
  </si>
  <si>
    <t>Twilio</t>
  </si>
  <si>
    <t>TWLO</t>
  </si>
  <si>
    <t>$13B</t>
  </si>
  <si>
    <t>Nintendo</t>
  </si>
  <si>
    <t>NTDOY</t>
  </si>
  <si>
    <t>$4,280B</t>
  </si>
  <si>
    <t>Appian</t>
  </si>
  <si>
    <t>APPN</t>
  </si>
  <si>
    <t>Hawaiian Holdings</t>
  </si>
  <si>
    <t>HA</t>
  </si>
  <si>
    <t>$773M</t>
  </si>
  <si>
    <t>Telkom Indonesia</t>
  </si>
  <si>
    <t>TLK</t>
  </si>
  <si>
    <t>$346,718B</t>
  </si>
  <si>
    <t>Mastercard</t>
  </si>
  <si>
    <t>MA</t>
  </si>
  <si>
    <t>$263B</t>
  </si>
  <si>
    <t>Zebra Technologies</t>
  </si>
  <si>
    <t>ZBRA</t>
  </si>
  <si>
    <t>Zscaler</t>
  </si>
  <si>
    <t>ZS</t>
  </si>
  <si>
    <t>Amazon</t>
  </si>
  <si>
    <t>AMZN</t>
  </si>
  <si>
    <t>$896B</t>
  </si>
  <si>
    <t>Square</t>
  </si>
  <si>
    <t>SQ</t>
  </si>
  <si>
    <t>$29B</t>
  </si>
  <si>
    <t>Union Pacific</t>
  </si>
  <si>
    <t>UNP</t>
  </si>
  <si>
    <t>$94B</t>
  </si>
  <si>
    <t>Stitch Fix</t>
  </si>
  <si>
    <t>SFIX</t>
  </si>
  <si>
    <t>Alaska Air Group</t>
  </si>
  <si>
    <t>ALK</t>
  </si>
  <si>
    <t>Arista Networks</t>
  </si>
  <si>
    <t>ANET</t>
  </si>
  <si>
    <t>BlackBerry</t>
  </si>
  <si>
    <t>BB</t>
  </si>
  <si>
    <t>Amgen</t>
  </si>
  <si>
    <t>AMGN</t>
  </si>
  <si>
    <t>$117B</t>
  </si>
  <si>
    <t>New Relic</t>
  </si>
  <si>
    <t>NEWR</t>
  </si>
  <si>
    <t>Shopify</t>
  </si>
  <si>
    <t>SHOP</t>
  </si>
  <si>
    <t>$49B</t>
  </si>
  <si>
    <t>Okta</t>
  </si>
  <si>
    <t>OKTA</t>
  </si>
  <si>
    <t>Markel</t>
  </si>
  <si>
    <t>MKL</t>
  </si>
  <si>
    <t>$15B</t>
  </si>
  <si>
    <t>Cirrus Logic</t>
  </si>
  <si>
    <t>CRUS</t>
  </si>
  <si>
    <t>Varonis Systems</t>
  </si>
  <si>
    <t>VRNS</t>
  </si>
  <si>
    <t>Fair Isaac</t>
  </si>
  <si>
    <t>FICO</t>
  </si>
  <si>
    <t>Paycom Software</t>
  </si>
  <si>
    <t>PAYC</t>
  </si>
  <si>
    <t>Vail Resorts</t>
  </si>
  <si>
    <t>MTN</t>
  </si>
  <si>
    <t>$7B</t>
  </si>
  <si>
    <t>Talend</t>
  </si>
  <si>
    <t>TLND</t>
  </si>
  <si>
    <t>$931M</t>
  </si>
  <si>
    <t>CME Group</t>
  </si>
  <si>
    <t>CME</t>
  </si>
  <si>
    <t>$73B</t>
  </si>
  <si>
    <t>HCA Healthcare</t>
  </si>
  <si>
    <t>HCA</t>
  </si>
  <si>
    <t>$40B</t>
  </si>
  <si>
    <t>3M</t>
  </si>
  <si>
    <t>MMM</t>
  </si>
  <si>
    <t>$83B</t>
  </si>
  <si>
    <t>Grand Canyon Education</t>
  </si>
  <si>
    <t>LOPE</t>
  </si>
  <si>
    <t>JD.com</t>
  </si>
  <si>
    <t>JD</t>
  </si>
  <si>
    <t>$58B</t>
  </si>
  <si>
    <t xml:space="preserve">iRobot </t>
  </si>
  <si>
    <t>IRBT</t>
  </si>
  <si>
    <t>$1B</t>
  </si>
  <si>
    <t>Cognex</t>
  </si>
  <si>
    <t>CGNX</t>
  </si>
  <si>
    <t>Textron</t>
  </si>
  <si>
    <t>TXT</t>
  </si>
  <si>
    <t>Chipotle Mexican Grill</t>
  </si>
  <si>
    <t>CMG</t>
  </si>
  <si>
    <t>$18B</t>
  </si>
  <si>
    <t>Old Dominion Freight Line</t>
  </si>
  <si>
    <t>ODFL</t>
  </si>
  <si>
    <t>Marriott International</t>
  </si>
  <si>
    <t>MAR</t>
  </si>
  <si>
    <t>$34B</t>
  </si>
  <si>
    <t>Fortinet</t>
  </si>
  <si>
    <t>FTNT</t>
  </si>
  <si>
    <t>Western Alliance Bancorp</t>
  </si>
  <si>
    <t>WAL</t>
  </si>
  <si>
    <t>Becton, Dickinson</t>
  </si>
  <si>
    <t>BDX</t>
  </si>
  <si>
    <t>$63B</t>
  </si>
  <si>
    <t>BorgWarner</t>
  </si>
  <si>
    <t>BWA</t>
  </si>
  <si>
    <t>Tractor Supply</t>
  </si>
  <si>
    <t>TSCO</t>
  </si>
  <si>
    <t>Rollins</t>
  </si>
  <si>
    <t>ROL</t>
  </si>
  <si>
    <t>NVIDIA</t>
  </si>
  <si>
    <t>NVDA</t>
  </si>
  <si>
    <t>$150B</t>
  </si>
  <si>
    <t>Masimo</t>
  </si>
  <si>
    <t>MASI</t>
  </si>
  <si>
    <t>JetBlue Airways</t>
  </si>
  <si>
    <t>JBLU</t>
  </si>
  <si>
    <t>Nike</t>
  </si>
  <si>
    <t>NKE</t>
  </si>
  <si>
    <t>$131B</t>
  </si>
  <si>
    <t>Grupo Aeroportuario del Pacifico</t>
  </si>
  <si>
    <t>PAC</t>
  </si>
  <si>
    <t>$105B</t>
  </si>
  <si>
    <t>Starbucks</t>
  </si>
  <si>
    <t>SBUX</t>
  </si>
  <si>
    <t>Alkermes</t>
  </si>
  <si>
    <t>ALKS</t>
  </si>
  <si>
    <t>Facebook</t>
  </si>
  <si>
    <t>FB</t>
  </si>
  <si>
    <t>$483B</t>
  </si>
  <si>
    <t>Match Group</t>
  </si>
  <si>
    <t>MTCH</t>
  </si>
  <si>
    <t>T-Mobile US</t>
  </si>
  <si>
    <t>TMUS</t>
  </si>
  <si>
    <t>$68B</t>
  </si>
  <si>
    <t>SVB Financial Group</t>
  </si>
  <si>
    <t>SIVB</t>
  </si>
  <si>
    <t>Ecolab</t>
  </si>
  <si>
    <t>ECL</t>
  </si>
  <si>
    <t>$53B</t>
  </si>
  <si>
    <t>Berkshire Hathaway (B shares)</t>
  </si>
  <si>
    <t>BRK.B</t>
  </si>
  <si>
    <t>$471B</t>
  </si>
  <si>
    <t>Stamps.com</t>
  </si>
  <si>
    <t>STMP</t>
  </si>
  <si>
    <r>
      <t>TripAdvisor</t>
    </r>
    <r>
      <rPr>
        <sz val="10"/>
        <color theme="1"/>
        <rFont val="Calibri"/>
        <family val="2"/>
        <scheme val="minor"/>
      </rPr>
      <t xml:space="preserve"> (Closed: 04/17/2018)</t>
    </r>
  </si>
  <si>
    <t>TRIP</t>
  </si>
  <si>
    <t>Workday</t>
  </si>
  <si>
    <t>WDAY</t>
  </si>
  <si>
    <t>$33B</t>
  </si>
  <si>
    <t>Illumina</t>
  </si>
  <si>
    <t>ILMN</t>
  </si>
  <si>
    <t>$38B</t>
  </si>
  <si>
    <t>Alphabet (C shares)</t>
  </si>
  <si>
    <t>GOOG</t>
  </si>
  <si>
    <t>$836B</t>
  </si>
  <si>
    <t>Natus Medical</t>
  </si>
  <si>
    <t>NTUS</t>
  </si>
  <si>
    <t>$873M</t>
  </si>
  <si>
    <t>Criteo</t>
  </si>
  <si>
    <t>CRTO</t>
  </si>
  <si>
    <t>$614M</t>
  </si>
  <si>
    <t>Texas Roadhouse</t>
  </si>
  <si>
    <t>TXRH</t>
  </si>
  <si>
    <t>Kinder Morgan</t>
  </si>
  <si>
    <t>KMI</t>
  </si>
  <si>
    <t>$36B</t>
  </si>
  <si>
    <t>The New York Times</t>
  </si>
  <si>
    <t>NYT</t>
  </si>
  <si>
    <t>Affiliated Managers Group</t>
  </si>
  <si>
    <t>AMG</t>
  </si>
  <si>
    <t>Anheuser-Busch InBev NV</t>
  </si>
  <si>
    <t>BUD</t>
  </si>
  <si>
    <t>$84B</t>
  </si>
  <si>
    <t>Roper Technologies</t>
  </si>
  <si>
    <t>ROP</t>
  </si>
  <si>
    <t>Designer Brands Inc.</t>
  </si>
  <si>
    <t>DBI</t>
  </si>
  <si>
    <t>$893M</t>
  </si>
  <si>
    <t>Novo Nordisk</t>
  </si>
  <si>
    <t>NVO</t>
  </si>
  <si>
    <t>$930B</t>
  </si>
  <si>
    <t>Mylan</t>
  </si>
  <si>
    <t>MYL</t>
  </si>
  <si>
    <r>
      <t>Diplomat Pharmacy</t>
    </r>
    <r>
      <rPr>
        <sz val="10"/>
        <color theme="1"/>
        <rFont val="Calibri"/>
        <family val="2"/>
        <scheme val="minor"/>
      </rPr>
      <t xml:space="preserve"> (Closed: 02/07/2020)</t>
    </r>
  </si>
  <si>
    <t>DPLO</t>
  </si>
  <si>
    <t>N/A Stock quote details</t>
  </si>
  <si>
    <t>Amerco</t>
  </si>
  <si>
    <t>UHAL</t>
  </si>
  <si>
    <r>
      <t>CSX</t>
    </r>
    <r>
      <rPr>
        <sz val="10"/>
        <color theme="1"/>
        <rFont val="Calibri"/>
        <family val="2"/>
        <scheme val="minor"/>
      </rPr>
      <t xml:space="preserve"> (Closed: 12/01/2017)</t>
    </r>
  </si>
  <si>
    <t>CSX</t>
  </si>
  <si>
    <t>$47B</t>
  </si>
  <si>
    <t>FireEye</t>
  </si>
  <si>
    <t>FEYE</t>
  </si>
  <si>
    <t>Nasdaq</t>
  </si>
  <si>
    <t>NDAQ</t>
  </si>
  <si>
    <t>$17B</t>
  </si>
  <si>
    <r>
      <t>Xoom</t>
    </r>
    <r>
      <rPr>
        <sz val="10"/>
        <color theme="1"/>
        <rFont val="Calibri"/>
        <family val="2"/>
        <scheme val="minor"/>
      </rPr>
      <t xml:space="preserve"> (Closed: 11/06/2015)</t>
    </r>
  </si>
  <si>
    <t>XOOM.DL</t>
  </si>
  <si>
    <r>
      <t>Spectrum Brands and Jefferies Financial Group Inc.</t>
    </r>
    <r>
      <rPr>
        <sz val="10"/>
        <color theme="1"/>
        <rFont val="Calibri"/>
        <family val="2"/>
        <scheme val="minor"/>
      </rPr>
      <t xml:space="preserve"> Corporate Action Details</t>
    </r>
  </si>
  <si>
    <t>SPB JEF</t>
  </si>
  <si>
    <t>N/A Corporate Action Details</t>
  </si>
  <si>
    <t>$0 N/A Corporate Action Details</t>
  </si>
  <si>
    <t>Casey's General Stores</t>
  </si>
  <si>
    <t>CASY</t>
  </si>
  <si>
    <t>RH</t>
  </si>
  <si>
    <t>XPO Logistics</t>
  </si>
  <si>
    <t>XPO</t>
  </si>
  <si>
    <t>RPM International</t>
  </si>
  <si>
    <t>RPM</t>
  </si>
  <si>
    <t>Interactive Brokers</t>
  </si>
  <si>
    <t>IBKR</t>
  </si>
  <si>
    <t>Activision Blizzard</t>
  </si>
  <si>
    <t>ATVI</t>
  </si>
  <si>
    <t>$44B</t>
  </si>
  <si>
    <t>Zayo Group</t>
  </si>
  <si>
    <t>ZAYO</t>
  </si>
  <si>
    <t>NCR</t>
  </si>
  <si>
    <t>McCormick</t>
  </si>
  <si>
    <t>MKC</t>
  </si>
  <si>
    <t>Cognizant Technology Solutions</t>
  </si>
  <si>
    <t>CTSH</t>
  </si>
  <si>
    <t>$30B</t>
  </si>
  <si>
    <t>Nordstrom</t>
  </si>
  <si>
    <t>JWN</t>
  </si>
  <si>
    <t>Booking Holdings</t>
  </si>
  <si>
    <t>BKNG</t>
  </si>
  <si>
    <t>Sierra Wireless</t>
  </si>
  <si>
    <t>SWIR</t>
  </si>
  <si>
    <t>$337M</t>
  </si>
  <si>
    <t>Idexx Laboratories</t>
  </si>
  <si>
    <t>IDXX</t>
  </si>
  <si>
    <t>$21B</t>
  </si>
  <si>
    <t>Sherwin-Williams</t>
  </si>
  <si>
    <t>SHW</t>
  </si>
  <si>
    <r>
      <t>Lions Gate Entertainment Corporation Class A and Lions Gate Entertainment Corporation Class B</t>
    </r>
    <r>
      <rPr>
        <sz val="10"/>
        <color theme="1"/>
        <rFont val="Calibri"/>
        <family val="2"/>
        <scheme val="minor"/>
      </rPr>
      <t xml:space="preserve"> Corporate Action Details</t>
    </r>
  </si>
  <si>
    <t>LGF.A LGF.B</t>
  </si>
  <si>
    <r>
      <t>WisdomTree Investments</t>
    </r>
    <r>
      <rPr>
        <sz val="10"/>
        <color theme="1"/>
        <rFont val="Calibri"/>
        <family val="2"/>
        <scheme val="minor"/>
      </rPr>
      <t xml:space="preserve"> (Closed: 05/30/2018)</t>
    </r>
  </si>
  <si>
    <t>WETF</t>
  </si>
  <si>
    <t>$501M</t>
  </si>
  <si>
    <t>Core Laboratories</t>
  </si>
  <si>
    <t>CLB</t>
  </si>
  <si>
    <t>$601M</t>
  </si>
  <si>
    <t>Carter's</t>
  </si>
  <si>
    <t>CRI</t>
  </si>
  <si>
    <t>Littelfuse</t>
  </si>
  <si>
    <t>LFUS</t>
  </si>
  <si>
    <r>
      <t>Post Holdings</t>
    </r>
    <r>
      <rPr>
        <sz val="10"/>
        <color theme="1"/>
        <rFont val="Calibri"/>
        <family val="2"/>
        <scheme val="minor"/>
      </rPr>
      <t xml:space="preserve"> (Closed: 04/20/2018)</t>
    </r>
  </si>
  <si>
    <t>POST</t>
  </si>
  <si>
    <t>CVS Health</t>
  </si>
  <si>
    <t>CVS</t>
  </si>
  <si>
    <t>$80B</t>
  </si>
  <si>
    <r>
      <t>WhiteWave Foods</t>
    </r>
    <r>
      <rPr>
        <sz val="10"/>
        <color theme="1"/>
        <rFont val="Calibri"/>
        <family val="2"/>
        <scheme val="minor"/>
      </rPr>
      <t xml:space="preserve"> (Closed: 12/09/2016)</t>
    </r>
  </si>
  <si>
    <t>WWAV</t>
  </si>
  <si>
    <t>Cboe Global Markets Inc</t>
  </si>
  <si>
    <t>CBOE</t>
  </si>
  <si>
    <r>
      <t>Polaris Industries</t>
    </r>
    <r>
      <rPr>
        <sz val="10"/>
        <color theme="1"/>
        <rFont val="Calibri"/>
        <family val="2"/>
        <scheme val="minor"/>
      </rPr>
      <t xml:space="preserve"> (Closed: 02/07/2020)</t>
    </r>
  </si>
  <si>
    <t>PII</t>
  </si>
  <si>
    <r>
      <t>The Container Store Group</t>
    </r>
    <r>
      <rPr>
        <sz val="10"/>
        <color theme="1"/>
        <rFont val="Calibri"/>
        <family val="2"/>
        <scheme val="minor"/>
      </rPr>
      <t xml:space="preserve"> (Closed: 07/29/2016)</t>
    </r>
  </si>
  <si>
    <t>TCS</t>
  </si>
  <si>
    <t>$141M</t>
  </si>
  <si>
    <r>
      <t>Generac Holdings</t>
    </r>
    <r>
      <rPr>
        <sz val="10"/>
        <color theme="1"/>
        <rFont val="Calibri"/>
        <family val="2"/>
        <scheme val="minor"/>
      </rPr>
      <t xml:space="preserve"> (Closed: 12/01/2017)</t>
    </r>
  </si>
  <si>
    <t>GNRC</t>
  </si>
  <si>
    <t>Hyatt Hotels</t>
  </si>
  <si>
    <t>H</t>
  </si>
  <si>
    <r>
      <t>Bausch Health Companies</t>
    </r>
    <r>
      <rPr>
        <sz val="10"/>
        <color theme="1"/>
        <rFont val="Calibri"/>
        <family val="2"/>
        <scheme val="minor"/>
      </rPr>
      <t xml:space="preserve"> (Closed: 02/07/2020)</t>
    </r>
  </si>
  <si>
    <t>BHC</t>
  </si>
  <si>
    <r>
      <t>Under Armour (C Shares) and Under Armour (A Shares)</t>
    </r>
    <r>
      <rPr>
        <sz val="10"/>
        <color theme="1"/>
        <rFont val="Calibri"/>
        <family val="2"/>
        <scheme val="minor"/>
      </rPr>
      <t xml:space="preserve"> Corporate Action Details</t>
    </r>
  </si>
  <si>
    <t>UA UAA</t>
  </si>
  <si>
    <r>
      <t>Buffalo Wild Wings</t>
    </r>
    <r>
      <rPr>
        <sz val="10"/>
        <color theme="1"/>
        <rFont val="Calibri"/>
        <family val="2"/>
        <scheme val="minor"/>
      </rPr>
      <t xml:space="preserve"> (Closed: 02/02/2018)</t>
    </r>
  </si>
  <si>
    <t>BWLD</t>
  </si>
  <si>
    <r>
      <t>Caesarstone</t>
    </r>
    <r>
      <rPr>
        <sz val="10"/>
        <color theme="1"/>
        <rFont val="Calibri"/>
        <family val="2"/>
        <scheme val="minor"/>
      </rPr>
      <t xml:space="preserve"> (Closed: 05/18/2018)</t>
    </r>
  </si>
  <si>
    <t>CSTE</t>
  </si>
  <si>
    <t>$316M</t>
  </si>
  <si>
    <r>
      <t>Urban Outfitters</t>
    </r>
    <r>
      <rPr>
        <sz val="10"/>
        <color theme="1"/>
        <rFont val="Calibri"/>
        <family val="2"/>
        <scheme val="minor"/>
      </rPr>
      <t xml:space="preserve"> (Closed: 10/28/2016)</t>
    </r>
  </si>
  <si>
    <t>URBN</t>
  </si>
  <si>
    <r>
      <t>LinkedIn</t>
    </r>
    <r>
      <rPr>
        <sz val="10"/>
        <color theme="1"/>
        <rFont val="Calibri"/>
        <family val="2"/>
        <scheme val="minor"/>
      </rPr>
      <t xml:space="preserve"> (Closed: 06/15/2016)</t>
    </r>
  </si>
  <si>
    <t>LNKD.DL</t>
  </si>
  <si>
    <t>Qiagen N.V.</t>
  </si>
  <si>
    <t>QGEN</t>
  </si>
  <si>
    <t>Gartner</t>
  </si>
  <si>
    <t>IT</t>
  </si>
  <si>
    <t>CarMax</t>
  </si>
  <si>
    <t>KMX</t>
  </si>
  <si>
    <r>
      <t>Whole Foods Market</t>
    </r>
    <r>
      <rPr>
        <sz val="10"/>
        <color theme="1"/>
        <rFont val="Calibri"/>
        <family val="2"/>
        <scheme val="minor"/>
      </rPr>
      <t xml:space="preserve"> (Closed: 07/25/2017)</t>
    </r>
  </si>
  <si>
    <t>WFM</t>
  </si>
  <si>
    <r>
      <t>Genesee &amp; Wyoming</t>
    </r>
    <r>
      <rPr>
        <sz val="10"/>
        <color theme="1"/>
        <rFont val="Calibri"/>
        <family val="2"/>
        <scheme val="minor"/>
      </rPr>
      <t xml:space="preserve"> (Closed: 07/03/2019)</t>
    </r>
  </si>
  <si>
    <t>GWR</t>
  </si>
  <si>
    <r>
      <t>NOW and National Oilwell Varco</t>
    </r>
    <r>
      <rPr>
        <sz val="10"/>
        <color theme="1"/>
        <rFont val="Calibri"/>
        <family val="2"/>
        <scheme val="minor"/>
      </rPr>
      <t xml:space="preserve"> (Closed: 06/02/2014) Corporate Action Details</t>
    </r>
  </si>
  <si>
    <t>DNOW NOV</t>
  </si>
  <si>
    <t>Williams-Sonoma</t>
  </si>
  <si>
    <t>WSM</t>
  </si>
  <si>
    <r>
      <t>Nuance Communications</t>
    </r>
    <r>
      <rPr>
        <sz val="10"/>
        <color theme="1"/>
        <rFont val="Calibri"/>
        <family val="2"/>
        <scheme val="minor"/>
      </rPr>
      <t xml:space="preserve"> (Closed: 06/26/2019)</t>
    </r>
  </si>
  <si>
    <t>NUAN</t>
  </si>
  <si>
    <t>Intuit</t>
  </si>
  <si>
    <t>INTU</t>
  </si>
  <si>
    <t>Westinghouse Air Brake Technologies</t>
  </si>
  <si>
    <t>WAB</t>
  </si>
  <si>
    <t>BJ's Restaurants</t>
  </si>
  <si>
    <t>BJRI</t>
  </si>
  <si>
    <t>$493M</t>
  </si>
  <si>
    <t>Darling Ingredients</t>
  </si>
  <si>
    <t>DAR</t>
  </si>
  <si>
    <r>
      <t>Air Methods</t>
    </r>
    <r>
      <rPr>
        <sz val="10"/>
        <color theme="1"/>
        <rFont val="Calibri"/>
        <family val="2"/>
        <scheme val="minor"/>
      </rPr>
      <t xml:space="preserve"> (Closed: 04/19/2017)</t>
    </r>
  </si>
  <si>
    <t>AIRM</t>
  </si>
  <si>
    <r>
      <t>Alphabet (A shares) and Alphabet (C shares)</t>
    </r>
    <r>
      <rPr>
        <sz val="10"/>
        <color theme="1"/>
        <rFont val="Calibri"/>
        <family val="2"/>
        <scheme val="minor"/>
      </rPr>
      <t xml:space="preserve"> Corporate Action Details</t>
    </r>
  </si>
  <si>
    <t>GOOGL GOOG</t>
  </si>
  <si>
    <t>TransDigm Group</t>
  </si>
  <si>
    <t>TDG</t>
  </si>
  <si>
    <t>3D Systems</t>
  </si>
  <si>
    <t>DDD</t>
  </si>
  <si>
    <t>$924M</t>
  </si>
  <si>
    <r>
      <t>Tapestry</t>
    </r>
    <r>
      <rPr>
        <sz val="10"/>
        <color theme="1"/>
        <rFont val="Calibri"/>
        <family val="2"/>
        <scheme val="minor"/>
      </rPr>
      <t xml:space="preserve"> (Closed: 01/12/2018)</t>
    </r>
  </si>
  <si>
    <t>TPR</t>
  </si>
  <si>
    <t>Robert Half International</t>
  </si>
  <si>
    <t>RHI</t>
  </si>
  <si>
    <t>LKQ</t>
  </si>
  <si>
    <t>Heico</t>
  </si>
  <si>
    <t>HEI</t>
  </si>
  <si>
    <r>
      <t>Hain Celestial</t>
    </r>
    <r>
      <rPr>
        <sz val="10"/>
        <color theme="1"/>
        <rFont val="Calibri"/>
        <family val="2"/>
        <scheme val="minor"/>
      </rPr>
      <t xml:space="preserve"> (Closed: 06/21/2018)</t>
    </r>
  </si>
  <si>
    <t>HAIN</t>
  </si>
  <si>
    <t>Clean Energy Fuels</t>
  </si>
  <si>
    <t>CLNE</t>
  </si>
  <si>
    <t>$366M</t>
  </si>
  <si>
    <r>
      <t>SeaDrill Limited</t>
    </r>
    <r>
      <rPr>
        <sz val="10"/>
        <color theme="1"/>
        <rFont val="Calibri"/>
        <family val="2"/>
        <scheme val="minor"/>
      </rPr>
      <t xml:space="preserve"> (Closed: 10/28/2016)</t>
    </r>
  </si>
  <si>
    <t>SDRL</t>
  </si>
  <si>
    <t>Ulta Beauty</t>
  </si>
  <si>
    <t>ULTA</t>
  </si>
  <si>
    <r>
      <t>Panera Bread Company</t>
    </r>
    <r>
      <rPr>
        <sz val="10"/>
        <color theme="1"/>
        <rFont val="Calibri"/>
        <family val="2"/>
        <scheme val="minor"/>
      </rPr>
      <t xml:space="preserve"> (Closed: 04/05/2017)</t>
    </r>
  </si>
  <si>
    <t>PNRA</t>
  </si>
  <si>
    <t>Oceaneering International</t>
  </si>
  <si>
    <t>OII</t>
  </si>
  <si>
    <t>$476M</t>
  </si>
  <si>
    <t>Pegasystems</t>
  </si>
  <si>
    <t>PEGA</t>
  </si>
  <si>
    <r>
      <t>Scotts Miracle-Gro</t>
    </r>
    <r>
      <rPr>
        <sz val="10"/>
        <color theme="1"/>
        <rFont val="Calibri"/>
        <family val="2"/>
        <scheme val="minor"/>
      </rPr>
      <t xml:space="preserve"> (Closed: 12/20/2013)</t>
    </r>
  </si>
  <si>
    <t>SMG</t>
  </si>
  <si>
    <t>Cummins</t>
  </si>
  <si>
    <t>CMI</t>
  </si>
  <si>
    <t>Corning</t>
  </si>
  <si>
    <t>GLW</t>
  </si>
  <si>
    <r>
      <t>Jefferies Group</t>
    </r>
    <r>
      <rPr>
        <sz val="10"/>
        <color theme="1"/>
        <rFont val="Calibri"/>
        <family val="2"/>
        <scheme val="minor"/>
      </rPr>
      <t xml:space="preserve"> (Closed: 11/03/2011)</t>
    </r>
  </si>
  <si>
    <t>JEF.DL</t>
  </si>
  <si>
    <t>Balchem</t>
  </si>
  <si>
    <t>BCPC</t>
  </si>
  <si>
    <r>
      <t>Tibco Software</t>
    </r>
    <r>
      <rPr>
        <sz val="10"/>
        <color theme="1"/>
        <rFont val="Calibri"/>
        <family val="2"/>
        <scheme val="minor"/>
      </rPr>
      <t xml:space="preserve"> (Closed: 12/05/2014)</t>
    </r>
  </si>
  <si>
    <t>TIBX.DL</t>
  </si>
  <si>
    <t>Apple</t>
  </si>
  <si>
    <t>AAPL</t>
  </si>
  <si>
    <t>$1,165B</t>
  </si>
  <si>
    <r>
      <t>Teradata</t>
    </r>
    <r>
      <rPr>
        <sz val="10"/>
        <color theme="1"/>
        <rFont val="Calibri"/>
        <family val="2"/>
        <scheme val="minor"/>
      </rPr>
      <t xml:space="preserve"> (Closed: 06/17/2016)</t>
    </r>
  </si>
  <si>
    <t>TDC</t>
  </si>
  <si>
    <r>
      <t>Kennametal</t>
    </r>
    <r>
      <rPr>
        <sz val="10"/>
        <color theme="1"/>
        <rFont val="Calibri"/>
        <family val="2"/>
        <scheme val="minor"/>
      </rPr>
      <t xml:space="preserve"> (Closed: 03/17/2015)</t>
    </r>
  </si>
  <si>
    <t>KMT</t>
  </si>
  <si>
    <r>
      <t>Sociedad Quimica y Minera</t>
    </r>
    <r>
      <rPr>
        <sz val="10"/>
        <color theme="1"/>
        <rFont val="Calibri"/>
        <family val="2"/>
        <scheme val="minor"/>
      </rPr>
      <t xml:space="preserve"> (Closed: 11/01/2013)</t>
    </r>
  </si>
  <si>
    <t>SQM</t>
  </si>
  <si>
    <r>
      <t>Weibo and Sina</t>
    </r>
    <r>
      <rPr>
        <sz val="10"/>
        <color theme="1"/>
        <rFont val="Calibri"/>
        <family val="2"/>
        <scheme val="minor"/>
      </rPr>
      <t xml:space="preserve"> Corporate Action Details</t>
    </r>
  </si>
  <si>
    <t>WB SINA</t>
  </si>
  <si>
    <r>
      <t>Ameresco</t>
    </r>
    <r>
      <rPr>
        <sz val="10"/>
        <color theme="1"/>
        <rFont val="Calibri"/>
        <family val="2"/>
        <scheme val="minor"/>
      </rPr>
      <t xml:space="preserve"> (Closed: 07/20/2017)</t>
    </r>
  </si>
  <si>
    <t>AMRC</t>
  </si>
  <si>
    <t>$982M</t>
  </si>
  <si>
    <t>II-VI</t>
  </si>
  <si>
    <t>IIVI</t>
  </si>
  <si>
    <r>
      <t>TTM Technologies</t>
    </r>
    <r>
      <rPr>
        <sz val="10"/>
        <color theme="1"/>
        <rFont val="Calibri"/>
        <family val="2"/>
        <scheme val="minor"/>
      </rPr>
      <t xml:space="preserve"> (Closed: 12/23/2014)</t>
    </r>
  </si>
  <si>
    <t>TTMI</t>
  </si>
  <si>
    <r>
      <t>Westport Fuel Systems Inc.</t>
    </r>
    <r>
      <rPr>
        <sz val="10"/>
        <color theme="1"/>
        <rFont val="Calibri"/>
        <family val="2"/>
        <scheme val="minor"/>
      </rPr>
      <t xml:space="preserve"> (Closed: 01/06/2016)</t>
    </r>
  </si>
  <si>
    <t>WPRT</t>
  </si>
  <si>
    <t>$263M</t>
  </si>
  <si>
    <r>
      <t>Techne</t>
    </r>
    <r>
      <rPr>
        <sz val="10"/>
        <color theme="1"/>
        <rFont val="Calibri"/>
        <family val="2"/>
        <scheme val="minor"/>
      </rPr>
      <t xml:space="preserve"> (Closed: 04/19/2013)</t>
    </r>
  </si>
  <si>
    <t>TECH</t>
  </si>
  <si>
    <t>Tennant Company</t>
  </si>
  <si>
    <t>TNC</t>
  </si>
  <si>
    <r>
      <t>Laboratory Corporation of America</t>
    </r>
    <r>
      <rPr>
        <sz val="10"/>
        <color theme="1"/>
        <rFont val="Calibri"/>
        <family val="2"/>
        <scheme val="minor"/>
      </rPr>
      <t xml:space="preserve"> (Closed: 03/21/2014)</t>
    </r>
  </si>
  <si>
    <t>LH</t>
  </si>
  <si>
    <t>Watsco</t>
  </si>
  <si>
    <t>WSO</t>
  </si>
  <si>
    <r>
      <t>Federated Investors</t>
    </r>
    <r>
      <rPr>
        <sz val="10"/>
        <color theme="1"/>
        <rFont val="Calibri"/>
        <family val="2"/>
        <scheme val="minor"/>
      </rPr>
      <t xml:space="preserve"> (Closed: 05/18/2018)</t>
    </r>
  </si>
  <si>
    <t>FII</t>
  </si>
  <si>
    <r>
      <t>Southwest Airlines</t>
    </r>
    <r>
      <rPr>
        <sz val="10"/>
        <color theme="1"/>
        <rFont val="Calibri"/>
        <family val="2"/>
        <scheme val="minor"/>
      </rPr>
      <t xml:space="preserve"> (Closed: 10/18/2013)</t>
    </r>
  </si>
  <si>
    <t>LUV</t>
  </si>
  <si>
    <t>$23B</t>
  </si>
  <si>
    <t>Gilead Sciences</t>
  </si>
  <si>
    <t>GILD</t>
  </si>
  <si>
    <t>$93B</t>
  </si>
  <si>
    <r>
      <t>The Timberland Co.</t>
    </r>
    <r>
      <rPr>
        <sz val="10"/>
        <color theme="1"/>
        <rFont val="Calibri"/>
        <family val="2"/>
        <scheme val="minor"/>
      </rPr>
      <t xml:space="preserve"> (Closed: 09/13/2011)</t>
    </r>
  </si>
  <si>
    <t>TBL.DL</t>
  </si>
  <si>
    <t>Discovery (C shares)</t>
  </si>
  <si>
    <t>DISCK</t>
  </si>
  <si>
    <t>$16B</t>
  </si>
  <si>
    <r>
      <t>hhgregg</t>
    </r>
    <r>
      <rPr>
        <sz val="10"/>
        <color theme="1"/>
        <rFont val="Calibri"/>
        <family val="2"/>
        <scheme val="minor"/>
      </rPr>
      <t xml:space="preserve"> (Closed: 06/21/2013)</t>
    </r>
  </si>
  <si>
    <t>HGGGQ</t>
  </si>
  <si>
    <t>$139MM</t>
  </si>
  <si>
    <r>
      <t>NOW</t>
    </r>
    <r>
      <rPr>
        <sz val="10"/>
        <color theme="1"/>
        <rFont val="Calibri"/>
        <family val="2"/>
        <scheme val="minor"/>
      </rPr>
      <t xml:space="preserve"> Corporate Action Details</t>
    </r>
  </si>
  <si>
    <t>DNOW</t>
  </si>
  <si>
    <t>$781M</t>
  </si>
  <si>
    <r>
      <t>National Oilwell Varco</t>
    </r>
    <r>
      <rPr>
        <sz val="10"/>
        <color theme="1"/>
        <rFont val="Calibri"/>
        <family val="2"/>
        <scheme val="minor"/>
      </rPr>
      <t xml:space="preserve"> (Closed: 04/05/2018)</t>
    </r>
  </si>
  <si>
    <t>NOV</t>
  </si>
  <si>
    <t>Boston Beer</t>
  </si>
  <si>
    <t>SAM</t>
  </si>
  <si>
    <r>
      <t>DreamWorks Animation</t>
    </r>
    <r>
      <rPr>
        <sz val="10"/>
        <color theme="1"/>
        <rFont val="Calibri"/>
        <family val="2"/>
        <scheme val="minor"/>
      </rPr>
      <t xml:space="preserve"> (Closed: 06/27/2016)</t>
    </r>
  </si>
  <si>
    <t>DWA</t>
  </si>
  <si>
    <r>
      <t>Simpson Manufacturing</t>
    </r>
    <r>
      <rPr>
        <sz val="10"/>
        <color theme="1"/>
        <rFont val="Calibri"/>
        <family val="2"/>
        <scheme val="minor"/>
      </rPr>
      <t xml:space="preserve"> (Closed: 12/20/2013)</t>
    </r>
  </si>
  <si>
    <t>SSD</t>
  </si>
  <si>
    <r>
      <t>Discovery (C shares)</t>
    </r>
    <r>
      <rPr>
        <sz val="10"/>
        <color theme="1"/>
        <rFont val="Calibri"/>
        <family val="2"/>
        <scheme val="minor"/>
      </rPr>
      <t xml:space="preserve"> Corporate Action Details</t>
    </r>
  </si>
  <si>
    <t>Nucor</t>
  </si>
  <si>
    <t>NUE</t>
  </si>
  <si>
    <r>
      <t>Rosetta Stone</t>
    </r>
    <r>
      <rPr>
        <sz val="10"/>
        <color theme="1"/>
        <rFont val="Calibri"/>
        <family val="2"/>
        <scheme val="minor"/>
      </rPr>
      <t xml:space="preserve"> (Closed: 05/06/2016)</t>
    </r>
  </si>
  <si>
    <t>RST</t>
  </si>
  <si>
    <t>$371M</t>
  </si>
  <si>
    <r>
      <t>CoreCivic, Inc.</t>
    </r>
    <r>
      <rPr>
        <sz val="10"/>
        <color theme="1"/>
        <rFont val="Calibri"/>
        <family val="2"/>
        <scheme val="minor"/>
      </rPr>
      <t xml:space="preserve"> (Closed: 06/21/2013)</t>
    </r>
  </si>
  <si>
    <t>CXW</t>
  </si>
  <si>
    <r>
      <t>Blackboard</t>
    </r>
    <r>
      <rPr>
        <sz val="10"/>
        <color theme="1"/>
        <rFont val="Calibri"/>
        <family val="2"/>
        <scheme val="minor"/>
      </rPr>
      <t xml:space="preserve"> (Closed: 06/17/2011)</t>
    </r>
  </si>
  <si>
    <t>BBBB.DL</t>
  </si>
  <si>
    <r>
      <t>The Ensign Group</t>
    </r>
    <r>
      <rPr>
        <sz val="10"/>
        <color theme="1"/>
        <rFont val="Calibri"/>
        <family val="2"/>
        <scheme val="minor"/>
      </rPr>
      <t xml:space="preserve"> (Closed: 09/17/2010)</t>
    </r>
  </si>
  <si>
    <t>ENSG</t>
  </si>
  <si>
    <r>
      <t>ITC Holdings</t>
    </r>
    <r>
      <rPr>
        <sz val="10"/>
        <color theme="1"/>
        <rFont val="Calibri"/>
        <family val="2"/>
        <scheme val="minor"/>
      </rPr>
      <t xml:space="preserve"> (Closed: 02/11/2016)</t>
    </r>
  </si>
  <si>
    <t>ITC</t>
  </si>
  <si>
    <t>Aflac</t>
  </si>
  <si>
    <t>AFL</t>
  </si>
  <si>
    <t>$27B</t>
  </si>
  <si>
    <r>
      <t>Ford</t>
    </r>
    <r>
      <rPr>
        <sz val="10"/>
        <color theme="1"/>
        <rFont val="Calibri"/>
        <family val="2"/>
        <scheme val="minor"/>
      </rPr>
      <t xml:space="preserve"> (Closed: 01/10/2019)</t>
    </r>
  </si>
  <si>
    <t>F</t>
  </si>
  <si>
    <t>Hasbro</t>
  </si>
  <si>
    <t>HAS</t>
  </si>
  <si>
    <r>
      <t>Assurant</t>
    </r>
    <r>
      <rPr>
        <sz val="10"/>
        <color theme="1"/>
        <rFont val="Calibri"/>
        <family val="2"/>
        <scheme val="minor"/>
      </rPr>
      <t xml:space="preserve"> (Closed: 12/17/2010)</t>
    </r>
  </si>
  <si>
    <t>AIZ</t>
  </si>
  <si>
    <t>Dassault Systemes</t>
  </si>
  <si>
    <t>DASTY</t>
  </si>
  <si>
    <r>
      <t>Cubic</t>
    </r>
    <r>
      <rPr>
        <sz val="10"/>
        <color theme="1"/>
        <rFont val="Calibri"/>
        <family val="2"/>
        <scheme val="minor"/>
      </rPr>
      <t xml:space="preserve"> (Closed: 02/21/2014)</t>
    </r>
  </si>
  <si>
    <t>CUB</t>
  </si>
  <si>
    <t>Adobe Systems</t>
  </si>
  <si>
    <t>ADBE</t>
  </si>
  <si>
    <t>$148B</t>
  </si>
  <si>
    <r>
      <t>Edgewell Personal Care</t>
    </r>
    <r>
      <rPr>
        <sz val="10"/>
        <color theme="1"/>
        <rFont val="Calibri"/>
        <family val="2"/>
        <scheme val="minor"/>
      </rPr>
      <t xml:space="preserve"> (Closed: 11/15/2013)</t>
    </r>
  </si>
  <si>
    <t>EPC</t>
  </si>
  <si>
    <r>
      <t>Liquidity Services</t>
    </r>
    <r>
      <rPr>
        <sz val="10"/>
        <color theme="1"/>
        <rFont val="Calibri"/>
        <family val="2"/>
        <scheme val="minor"/>
      </rPr>
      <t xml:space="preserve"> (Closed: 12/06/2019)</t>
    </r>
  </si>
  <si>
    <t>LQDT</t>
  </si>
  <si>
    <t>$134M</t>
  </si>
  <si>
    <r>
      <t>Interactive Data</t>
    </r>
    <r>
      <rPr>
        <sz val="10"/>
        <color theme="1"/>
        <rFont val="Calibri"/>
        <family val="2"/>
        <scheme val="minor"/>
      </rPr>
      <t xml:space="preserve"> (Closed: 07/29/2010)</t>
    </r>
  </si>
  <si>
    <t>IDC.DL2</t>
  </si>
  <si>
    <r>
      <t>Omniture</t>
    </r>
    <r>
      <rPr>
        <sz val="10"/>
        <color theme="1"/>
        <rFont val="Calibri"/>
        <family val="2"/>
        <scheme val="minor"/>
      </rPr>
      <t xml:space="preserve"> (Closed: 10/16/2009)</t>
    </r>
  </si>
  <si>
    <t>OMTR.DL</t>
  </si>
  <si>
    <r>
      <t>inVentiv Health</t>
    </r>
    <r>
      <rPr>
        <sz val="10"/>
        <color theme="1"/>
        <rFont val="Calibri"/>
        <family val="2"/>
        <scheme val="minor"/>
      </rPr>
      <t xml:space="preserve"> (Closed: 05/21/2010)</t>
    </r>
  </si>
  <si>
    <t>VTIV.DL</t>
  </si>
  <si>
    <r>
      <t>John Wiley &amp; Sons (A Shares)</t>
    </r>
    <r>
      <rPr>
        <sz val="10"/>
        <color theme="1"/>
        <rFont val="Calibri"/>
        <family val="2"/>
        <scheme val="minor"/>
      </rPr>
      <t xml:space="preserve"> (Closed: 12/16/2011)</t>
    </r>
  </si>
  <si>
    <t>JW.A</t>
  </si>
  <si>
    <r>
      <t>Western Union</t>
    </r>
    <r>
      <rPr>
        <sz val="10"/>
        <color theme="1"/>
        <rFont val="Calibri"/>
        <family val="2"/>
        <scheme val="minor"/>
      </rPr>
      <t xml:space="preserve"> (Closed: 02/10/2015)</t>
    </r>
  </si>
  <si>
    <t>WU</t>
  </si>
  <si>
    <r>
      <t>Pharmaceutical Product Development</t>
    </r>
    <r>
      <rPr>
        <sz val="10"/>
        <color theme="1"/>
        <rFont val="Calibri"/>
        <family val="2"/>
        <scheme val="minor"/>
      </rPr>
      <t xml:space="preserve"> (Closed: 12/05/2011)</t>
    </r>
  </si>
  <si>
    <t>PPDI.DL</t>
  </si>
  <si>
    <t>McKesson</t>
  </si>
  <si>
    <t>MCK</t>
  </si>
  <si>
    <r>
      <t>Jefferies Financial Group Inc.</t>
    </r>
    <r>
      <rPr>
        <sz val="10"/>
        <color theme="1"/>
        <rFont val="Calibri"/>
        <family val="2"/>
        <scheme val="minor"/>
      </rPr>
      <t xml:space="preserve"> (Closed: 06/17/2011)</t>
    </r>
  </si>
  <si>
    <t>JEF</t>
  </si>
  <si>
    <t>National Instruments</t>
  </si>
  <si>
    <t>NATI</t>
  </si>
  <si>
    <r>
      <t>Beam</t>
    </r>
    <r>
      <rPr>
        <sz val="10"/>
        <color theme="1"/>
        <rFont val="Calibri"/>
        <family val="2"/>
        <scheme val="minor"/>
      </rPr>
      <t xml:space="preserve"> (Closed: 04/30/2014)</t>
    </r>
  </si>
  <si>
    <t>BEAM.DL</t>
  </si>
  <si>
    <t>Cintas</t>
  </si>
  <si>
    <t>CTAS</t>
  </si>
  <si>
    <t>$26B</t>
  </si>
  <si>
    <r>
      <t>Walt Disney</t>
    </r>
    <r>
      <rPr>
        <sz val="10"/>
        <color theme="1"/>
        <rFont val="Calibri"/>
        <family val="2"/>
        <scheme val="minor"/>
      </rPr>
      <t xml:space="preserve"> Corporate Action Details</t>
    </r>
  </si>
  <si>
    <t>DIS</t>
  </si>
  <si>
    <t>$188B</t>
  </si>
  <si>
    <r>
      <t>MSC Industrial Direct</t>
    </r>
    <r>
      <rPr>
        <sz val="10"/>
        <color theme="1"/>
        <rFont val="Calibri"/>
        <family val="2"/>
        <scheme val="minor"/>
      </rPr>
      <t xml:space="preserve"> (Closed: 01/12/2018)</t>
    </r>
  </si>
  <si>
    <t>MSM</t>
  </si>
  <si>
    <r>
      <t>Strayer Education</t>
    </r>
    <r>
      <rPr>
        <sz val="10"/>
        <color theme="1"/>
        <rFont val="Calibri"/>
        <family val="2"/>
        <scheme val="minor"/>
      </rPr>
      <t xml:space="preserve"> (Closed: 01/16/2009)</t>
    </r>
  </si>
  <si>
    <t>STRA</t>
  </si>
  <si>
    <r>
      <t>Charles Schwab</t>
    </r>
    <r>
      <rPr>
        <sz val="10"/>
        <color theme="1"/>
        <rFont val="Calibri"/>
        <family val="2"/>
        <scheme val="minor"/>
      </rPr>
      <t xml:space="preserve"> (Closed: 09/21/2012)</t>
    </r>
  </si>
  <si>
    <t>SCHW</t>
  </si>
  <si>
    <t>$39B</t>
  </si>
  <si>
    <r>
      <t>Precision Castparts</t>
    </r>
    <r>
      <rPr>
        <sz val="10"/>
        <color theme="1"/>
        <rFont val="Calibri"/>
        <family val="2"/>
        <scheme val="minor"/>
      </rPr>
      <t xml:space="preserve"> (Closed: 01/28/2016)</t>
    </r>
  </si>
  <si>
    <t>PCP.DL</t>
  </si>
  <si>
    <r>
      <t>Titanium Metals</t>
    </r>
    <r>
      <rPr>
        <sz val="10"/>
        <color theme="1"/>
        <rFont val="Calibri"/>
        <family val="2"/>
        <scheme val="minor"/>
      </rPr>
      <t xml:space="preserve"> (Closed: 01/07/2013)</t>
    </r>
  </si>
  <si>
    <t>TIE.DL</t>
  </si>
  <si>
    <r>
      <t>Linear Technology</t>
    </r>
    <r>
      <rPr>
        <sz val="10"/>
        <color theme="1"/>
        <rFont val="Calibri"/>
        <family val="2"/>
        <scheme val="minor"/>
      </rPr>
      <t xml:space="preserve"> (Closed: 11/11/2016)</t>
    </r>
  </si>
  <si>
    <t>LLTC</t>
  </si>
  <si>
    <r>
      <t>SEI Investments</t>
    </r>
    <r>
      <rPr>
        <sz val="10"/>
        <color theme="1"/>
        <rFont val="Calibri"/>
        <family val="2"/>
        <scheme val="minor"/>
      </rPr>
      <t xml:space="preserve"> (Closed: 12/16/2011)</t>
    </r>
  </si>
  <si>
    <t>SEIC</t>
  </si>
  <si>
    <r>
      <t>Morningstar</t>
    </r>
    <r>
      <rPr>
        <sz val="10"/>
        <color theme="1"/>
        <rFont val="Calibri"/>
        <family val="2"/>
        <scheme val="minor"/>
      </rPr>
      <t xml:space="preserve"> (Closed: 02/17/2015)</t>
    </r>
  </si>
  <si>
    <t>MORN</t>
  </si>
  <si>
    <r>
      <t>Express Scripts</t>
    </r>
    <r>
      <rPr>
        <sz val="10"/>
        <color theme="1"/>
        <rFont val="Calibri"/>
        <family val="2"/>
        <scheme val="minor"/>
      </rPr>
      <t xml:space="preserve"> (Closed: 03/30/2012) Corporate Action Details</t>
    </r>
  </si>
  <si>
    <t>ESRX</t>
  </si>
  <si>
    <r>
      <t>Axsys Technologies</t>
    </r>
    <r>
      <rPr>
        <sz val="10"/>
        <color theme="1"/>
        <rFont val="Calibri"/>
        <family val="2"/>
        <scheme val="minor"/>
      </rPr>
      <t xml:space="preserve"> (Closed: 06/19/2009)</t>
    </r>
  </si>
  <si>
    <t>AXYS.DL</t>
  </si>
  <si>
    <t>Canadian National Railway</t>
  </si>
  <si>
    <t>CNI</t>
  </si>
  <si>
    <t>$74B</t>
  </si>
  <si>
    <r>
      <t>OneSpan Inc.</t>
    </r>
    <r>
      <rPr>
        <sz val="10"/>
        <color theme="1"/>
        <rFont val="Calibri"/>
        <family val="2"/>
        <scheme val="minor"/>
      </rPr>
      <t xml:space="preserve"> (Closed: 09/16/2011)</t>
    </r>
  </si>
  <si>
    <t>OSPN</t>
  </si>
  <si>
    <t>$555M</t>
  </si>
  <si>
    <r>
      <t>Moody's</t>
    </r>
    <r>
      <rPr>
        <sz val="10"/>
        <color theme="1"/>
        <rFont val="Calibri"/>
        <family val="2"/>
        <scheme val="minor"/>
      </rPr>
      <t xml:space="preserve"> (Closed: 10/19/2012)</t>
    </r>
  </si>
  <si>
    <t>MCO</t>
  </si>
  <si>
    <r>
      <t>Double-Take Software</t>
    </r>
    <r>
      <rPr>
        <sz val="10"/>
        <color theme="1"/>
        <rFont val="Calibri"/>
        <family val="2"/>
        <scheme val="minor"/>
      </rPr>
      <t xml:space="preserve"> (Closed: 04/16/2010)</t>
    </r>
  </si>
  <si>
    <t>DBTK.DL</t>
  </si>
  <si>
    <r>
      <t>Staples</t>
    </r>
    <r>
      <rPr>
        <sz val="10"/>
        <color theme="1"/>
        <rFont val="Calibri"/>
        <family val="2"/>
        <scheme val="minor"/>
      </rPr>
      <t xml:space="preserve"> (Closed: 10/19/2012)</t>
    </r>
  </si>
  <si>
    <t>SPLS</t>
  </si>
  <si>
    <r>
      <t>Amedisys</t>
    </r>
    <r>
      <rPr>
        <sz val="10"/>
        <color theme="1"/>
        <rFont val="Calibri"/>
        <family val="2"/>
        <scheme val="minor"/>
      </rPr>
      <t xml:space="preserve"> (Closed: 08/13/2008)</t>
    </r>
  </si>
  <si>
    <t>AMED</t>
  </si>
  <si>
    <r>
      <t>Royal Caribbean</t>
    </r>
    <r>
      <rPr>
        <sz val="10"/>
        <color theme="1"/>
        <rFont val="Calibri"/>
        <family val="2"/>
        <scheme val="minor"/>
      </rPr>
      <t xml:space="preserve"> (Closed: 12/19/2008)</t>
    </r>
  </si>
  <si>
    <t>RCL</t>
  </si>
  <si>
    <r>
      <t>Genlyte</t>
    </r>
    <r>
      <rPr>
        <sz val="10"/>
        <color theme="1"/>
        <rFont val="Calibri"/>
        <family val="2"/>
        <scheme val="minor"/>
      </rPr>
      <t xml:space="preserve"> (Closed: 11/30/2007)</t>
    </r>
  </si>
  <si>
    <t>GLYT.DL</t>
  </si>
  <si>
    <r>
      <t>Atwood Oceanics</t>
    </r>
    <r>
      <rPr>
        <sz val="10"/>
        <color theme="1"/>
        <rFont val="Calibri"/>
        <family val="2"/>
        <scheme val="minor"/>
      </rPr>
      <t xml:space="preserve"> (Closed: 07/25/2017)</t>
    </r>
  </si>
  <si>
    <t>ATW</t>
  </si>
  <si>
    <r>
      <t>Copart</t>
    </r>
    <r>
      <rPr>
        <sz val="10"/>
        <color theme="1"/>
        <rFont val="Calibri"/>
        <family val="2"/>
        <scheme val="minor"/>
      </rPr>
      <t xml:space="preserve"> (Closed: 12/16/2011)</t>
    </r>
  </si>
  <si>
    <t>CPRT</t>
  </si>
  <si>
    <r>
      <t>Value Line</t>
    </r>
    <r>
      <rPr>
        <sz val="10"/>
        <color theme="1"/>
        <rFont val="Calibri"/>
        <family val="2"/>
        <scheme val="minor"/>
      </rPr>
      <t xml:space="preserve"> (Closed: 07/24/2009)</t>
    </r>
  </si>
  <si>
    <t>VALU</t>
  </si>
  <si>
    <t>$289M</t>
  </si>
  <si>
    <r>
      <t>Umpqua Holdings</t>
    </r>
    <r>
      <rPr>
        <sz val="10"/>
        <color theme="1"/>
        <rFont val="Calibri"/>
        <family val="2"/>
        <scheme val="minor"/>
      </rPr>
      <t xml:space="preserve"> (Closed: 07/02/2009)</t>
    </r>
  </si>
  <si>
    <t>UMPQ</t>
  </si>
  <si>
    <r>
      <t>Navteq</t>
    </r>
    <r>
      <rPr>
        <sz val="10"/>
        <color theme="1"/>
        <rFont val="Calibri"/>
        <family val="2"/>
        <scheme val="minor"/>
      </rPr>
      <t xml:space="preserve"> (Closed: 10/01/2007)</t>
    </r>
  </si>
  <si>
    <t>NVT.DL2</t>
  </si>
  <si>
    <r>
      <t>Unit</t>
    </r>
    <r>
      <rPr>
        <sz val="10"/>
        <color theme="1"/>
        <rFont val="Calibri"/>
        <family val="2"/>
        <scheme val="minor"/>
      </rPr>
      <t xml:space="preserve"> (Closed: 04/19/2013)</t>
    </r>
  </si>
  <si>
    <t>UNT</t>
  </si>
  <si>
    <t>$14M</t>
  </si>
  <si>
    <r>
      <t>Satyam Computer Services Ltd</t>
    </r>
    <r>
      <rPr>
        <sz val="10"/>
        <color theme="1"/>
        <rFont val="Calibri"/>
        <family val="2"/>
        <scheme val="minor"/>
      </rPr>
      <t xml:space="preserve"> (Closed: 01/12/2009)</t>
    </r>
  </si>
  <si>
    <t>SAY.DL2</t>
  </si>
  <si>
    <t>Mobile Mini</t>
  </si>
  <si>
    <t>MINI</t>
  </si>
  <si>
    <t>Meritage Homes</t>
  </si>
  <si>
    <t>MTH</t>
  </si>
  <si>
    <r>
      <t>Netgear and Arlo Technologies</t>
    </r>
    <r>
      <rPr>
        <sz val="10"/>
        <color theme="1"/>
        <rFont val="Calibri"/>
        <family val="2"/>
        <scheme val="minor"/>
      </rPr>
      <t xml:space="preserve"> Corporate Action Details</t>
    </r>
  </si>
  <si>
    <t>NTGR ARLO</t>
  </si>
  <si>
    <r>
      <t>LCA Vision</t>
    </r>
    <r>
      <rPr>
        <sz val="10"/>
        <color theme="1"/>
        <rFont val="Calibri"/>
        <family val="2"/>
        <scheme val="minor"/>
      </rPr>
      <t xml:space="preserve"> (Closed: 11/08/2007)</t>
    </r>
  </si>
  <si>
    <t>LCAV.DL</t>
  </si>
  <si>
    <r>
      <t>Nintendo</t>
    </r>
    <r>
      <rPr>
        <sz val="10"/>
        <color theme="1"/>
        <rFont val="Calibri"/>
        <family val="2"/>
        <scheme val="minor"/>
      </rPr>
      <t xml:space="preserve"> (Closed: 03/15/2013)</t>
    </r>
  </si>
  <si>
    <r>
      <t>Atlanticus Holdings</t>
    </r>
    <r>
      <rPr>
        <sz val="10"/>
        <color theme="1"/>
        <rFont val="Calibri"/>
        <family val="2"/>
        <scheme val="minor"/>
      </rPr>
      <t xml:space="preserve"> (Closed: 04/17/2009)</t>
    </r>
  </si>
  <si>
    <t>ATLC</t>
  </si>
  <si>
    <t>$177M</t>
  </si>
  <si>
    <t>FedEx</t>
  </si>
  <si>
    <t>FDX</t>
  </si>
  <si>
    <r>
      <t>Barr Pharmaceuticals</t>
    </r>
    <r>
      <rPr>
        <sz val="10"/>
        <color theme="1"/>
        <rFont val="Calibri"/>
        <family val="2"/>
        <scheme val="minor"/>
      </rPr>
      <t xml:space="preserve"> (Closed: 07/29/2008)</t>
    </r>
  </si>
  <si>
    <t>BRL.DL</t>
  </si>
  <si>
    <r>
      <t>Dolby Laboratories</t>
    </r>
    <r>
      <rPr>
        <sz val="10"/>
        <color theme="1"/>
        <rFont val="Calibri"/>
        <family val="2"/>
        <scheme val="minor"/>
      </rPr>
      <t xml:space="preserve"> (Closed: 10/18/2013)</t>
    </r>
  </si>
  <si>
    <t>DLB</t>
  </si>
  <si>
    <r>
      <t>Dolby Laboratories</t>
    </r>
    <r>
      <rPr>
        <sz val="10"/>
        <color theme="1"/>
        <rFont val="Calibri"/>
        <family val="2"/>
        <scheme val="minor"/>
      </rPr>
      <t xml:space="preserve"> (Closed: 11/06/2015)</t>
    </r>
  </si>
  <si>
    <r>
      <t>Charles Schwab</t>
    </r>
    <r>
      <rPr>
        <sz val="10"/>
        <color theme="1"/>
        <rFont val="Calibri"/>
        <family val="2"/>
        <scheme val="minor"/>
      </rPr>
      <t xml:space="preserve"> (Closed: 08/31/2011) Corporate Action Details</t>
    </r>
  </si>
  <si>
    <r>
      <t>Cemex</t>
    </r>
    <r>
      <rPr>
        <sz val="10"/>
        <color theme="1"/>
        <rFont val="Calibri"/>
        <family val="2"/>
        <scheme val="minor"/>
      </rPr>
      <t xml:space="preserve"> (Closed: 12/17/2010)</t>
    </r>
  </si>
  <si>
    <t>CX</t>
  </si>
  <si>
    <t>$81B</t>
  </si>
  <si>
    <r>
      <t>Endurance Specialty</t>
    </r>
    <r>
      <rPr>
        <sz val="10"/>
        <color theme="1"/>
        <rFont val="Calibri"/>
        <family val="2"/>
        <scheme val="minor"/>
      </rPr>
      <t xml:space="preserve"> (Closed: 07/31/2015) Corporate Action Details</t>
    </r>
  </si>
  <si>
    <t>ENH</t>
  </si>
  <si>
    <r>
      <t>Altaba Inc</t>
    </r>
    <r>
      <rPr>
        <sz val="10"/>
        <color theme="1"/>
        <rFont val="Calibri"/>
        <family val="2"/>
        <scheme val="minor"/>
      </rPr>
      <t xml:space="preserve"> (Closed: 02/01/2008)</t>
    </r>
  </si>
  <si>
    <t>AABA</t>
  </si>
  <si>
    <r>
      <t>American Eagle Outfitters</t>
    </r>
    <r>
      <rPr>
        <sz val="10"/>
        <color theme="1"/>
        <rFont val="Calibri"/>
        <family val="2"/>
        <scheme val="minor"/>
      </rPr>
      <t xml:space="preserve"> (Closed: 12/19/2008)</t>
    </r>
  </si>
  <si>
    <t>AEO</t>
  </si>
  <si>
    <r>
      <t>Shuffle Master</t>
    </r>
    <r>
      <rPr>
        <sz val="10"/>
        <color theme="1"/>
        <rFont val="Calibri"/>
        <family val="2"/>
        <scheme val="minor"/>
      </rPr>
      <t xml:space="preserve"> (Closed: 11/16/2007)</t>
    </r>
  </si>
  <si>
    <t>SHFL.DL</t>
  </si>
  <si>
    <r>
      <t>Coventry Health Care</t>
    </r>
    <r>
      <rPr>
        <sz val="10"/>
        <color theme="1"/>
        <rFont val="Calibri"/>
        <family val="2"/>
        <scheme val="minor"/>
      </rPr>
      <t xml:space="preserve"> (Closed: 09/21/2012)</t>
    </r>
  </si>
  <si>
    <t>CVH.DL2</t>
  </si>
  <si>
    <r>
      <t>TOM Online</t>
    </r>
    <r>
      <rPr>
        <sz val="10"/>
        <color theme="1"/>
        <rFont val="Calibri"/>
        <family val="2"/>
        <scheme val="minor"/>
      </rPr>
      <t xml:space="preserve"> (Closed: 09/06/2007)</t>
    </r>
  </si>
  <si>
    <t>TOMOY.DL</t>
  </si>
  <si>
    <r>
      <t>InterDigital</t>
    </r>
    <r>
      <rPr>
        <sz val="10"/>
        <color theme="1"/>
        <rFont val="Calibri"/>
        <family val="2"/>
        <scheme val="minor"/>
      </rPr>
      <t xml:space="preserve"> (Closed: 07/20/2012)</t>
    </r>
  </si>
  <si>
    <t>IDCC</t>
  </si>
  <si>
    <r>
      <t>Resources Global</t>
    </r>
    <r>
      <rPr>
        <sz val="10"/>
        <color theme="1"/>
        <rFont val="Calibri"/>
        <family val="2"/>
        <scheme val="minor"/>
      </rPr>
      <t xml:space="preserve"> (Closed: 06/18/2010)</t>
    </r>
  </si>
  <si>
    <t>RECN</t>
  </si>
  <si>
    <t>$357M</t>
  </si>
  <si>
    <r>
      <t>Bed Bath &amp; Beyond</t>
    </r>
    <r>
      <rPr>
        <sz val="10"/>
        <color theme="1"/>
        <rFont val="Calibri"/>
        <family val="2"/>
        <scheme val="minor"/>
      </rPr>
      <t xml:space="preserve"> (Closed: 07/10/2017)</t>
    </r>
  </si>
  <si>
    <t>BBBY</t>
  </si>
  <si>
    <r>
      <t>Bebe</t>
    </r>
    <r>
      <rPr>
        <sz val="10"/>
        <color theme="1"/>
        <rFont val="Calibri"/>
        <family val="2"/>
        <scheme val="minor"/>
      </rPr>
      <t xml:space="preserve"> (Closed: 05/16/2008)</t>
    </r>
  </si>
  <si>
    <t>BEBE</t>
  </si>
  <si>
    <r>
      <t>GameStop</t>
    </r>
    <r>
      <rPr>
        <sz val="10"/>
        <color theme="1"/>
        <rFont val="Calibri"/>
        <family val="2"/>
        <scheme val="minor"/>
      </rPr>
      <t xml:space="preserve"> (Closed: 02/19/2010)</t>
    </r>
  </si>
  <si>
    <t>GME</t>
  </si>
  <si>
    <t>$244M</t>
  </si>
  <si>
    <r>
      <t>Pacific Sunwear</t>
    </r>
    <r>
      <rPr>
        <sz val="10"/>
        <color theme="1"/>
        <rFont val="Calibri"/>
        <family val="2"/>
        <scheme val="minor"/>
      </rPr>
      <t xml:space="preserve"> (Closed: 01/16/2009)</t>
    </r>
  </si>
  <si>
    <t>PSUNQ</t>
  </si>
  <si>
    <r>
      <t>Sina and Weibo</t>
    </r>
    <r>
      <rPr>
        <sz val="10"/>
        <color theme="1"/>
        <rFont val="Calibri"/>
        <family val="2"/>
        <scheme val="minor"/>
      </rPr>
      <t xml:space="preserve"> Corporate Action Details</t>
    </r>
  </si>
  <si>
    <t>SINA WB</t>
  </si>
  <si>
    <r>
      <t>NextGen Healthcare Inc.</t>
    </r>
    <r>
      <rPr>
        <sz val="10"/>
        <color theme="1"/>
        <rFont val="Calibri"/>
        <family val="2"/>
        <scheme val="minor"/>
      </rPr>
      <t xml:space="preserve"> (Closed: 11/20/2009)</t>
    </r>
  </si>
  <si>
    <t>NXGN</t>
  </si>
  <si>
    <t>$610M</t>
  </si>
  <si>
    <r>
      <t>McAfee</t>
    </r>
    <r>
      <rPr>
        <sz val="10"/>
        <color theme="1"/>
        <rFont val="Calibri"/>
        <family val="2"/>
        <scheme val="minor"/>
      </rPr>
      <t xml:space="preserve"> (Closed: 08/18/2006)</t>
    </r>
  </si>
  <si>
    <t>MFE.DL</t>
  </si>
  <si>
    <r>
      <t>Garmin</t>
    </r>
    <r>
      <rPr>
        <sz val="10"/>
        <color theme="1"/>
        <rFont val="Calibri"/>
        <family val="2"/>
        <scheme val="minor"/>
      </rPr>
      <t xml:space="preserve"> (Closed: 12/19/2008)</t>
    </r>
  </si>
  <si>
    <t>GRMN</t>
  </si>
  <si>
    <r>
      <t>Family Dollar Stores</t>
    </r>
    <r>
      <rPr>
        <sz val="10"/>
        <color theme="1"/>
        <rFont val="Calibri"/>
        <family val="2"/>
        <scheme val="minor"/>
      </rPr>
      <t xml:space="preserve"> (Closed: 05/18/2007)</t>
    </r>
  </si>
  <si>
    <t>FDO.DL</t>
  </si>
  <si>
    <r>
      <t>Tivity Health, Inc.</t>
    </r>
    <r>
      <rPr>
        <sz val="10"/>
        <color theme="1"/>
        <rFont val="Calibri"/>
        <family val="2"/>
        <scheme val="minor"/>
      </rPr>
      <t xml:space="preserve"> (Closed: 12/16/2011)</t>
    </r>
  </si>
  <si>
    <t>TVTY</t>
  </si>
  <si>
    <t>$431M</t>
  </si>
  <si>
    <r>
      <t>Resources Global</t>
    </r>
    <r>
      <rPr>
        <sz val="10"/>
        <color theme="1"/>
        <rFont val="Calibri"/>
        <family val="2"/>
        <scheme val="minor"/>
      </rPr>
      <t xml:space="preserve"> (Closed: 04/18/2008)</t>
    </r>
  </si>
  <si>
    <r>
      <t>Paccar</t>
    </r>
    <r>
      <rPr>
        <sz val="10"/>
        <color theme="1"/>
        <rFont val="Calibri"/>
        <family val="2"/>
        <scheme val="minor"/>
      </rPr>
      <t xml:space="preserve"> (Closed: 01/12/2018)</t>
    </r>
  </si>
  <si>
    <t>PCAR</t>
  </si>
  <si>
    <r>
      <t>Electronic Arts</t>
    </r>
    <r>
      <rPr>
        <sz val="10"/>
        <color theme="1"/>
        <rFont val="Calibri"/>
        <family val="2"/>
        <scheme val="minor"/>
      </rPr>
      <t xml:space="preserve"> (Closed: 12/17/2010)</t>
    </r>
  </si>
  <si>
    <t>EA</t>
  </si>
  <si>
    <r>
      <t>CDW</t>
    </r>
    <r>
      <rPr>
        <sz val="10"/>
        <color theme="1"/>
        <rFont val="Calibri"/>
        <family val="2"/>
        <scheme val="minor"/>
      </rPr>
      <t xml:space="preserve"> (Closed: 10/12/2007)</t>
    </r>
  </si>
  <si>
    <t>CDWC.DL</t>
  </si>
  <si>
    <r>
      <t>7-Eleven, Inc.</t>
    </r>
    <r>
      <rPr>
        <sz val="10"/>
        <color theme="1"/>
        <rFont val="Calibri"/>
        <family val="2"/>
        <scheme val="minor"/>
      </rPr>
      <t xml:space="preserve"> (Closed: 11/08/2005)</t>
    </r>
  </si>
  <si>
    <t>SE-.DL</t>
  </si>
  <si>
    <r>
      <t>Palm</t>
    </r>
    <r>
      <rPr>
        <sz val="10"/>
        <color theme="1"/>
        <rFont val="Calibri"/>
        <family val="2"/>
        <scheme val="minor"/>
      </rPr>
      <t xml:space="preserve"> (Closed: 04/18/2008)</t>
    </r>
  </si>
  <si>
    <t>PALM.DL2</t>
  </si>
  <si>
    <t>Safety Insurance Group</t>
  </si>
  <si>
    <t>SAFT</t>
  </si>
  <si>
    <r>
      <t>Biogen</t>
    </r>
    <r>
      <rPr>
        <sz val="10"/>
        <color theme="1"/>
        <rFont val="Calibri"/>
        <family val="2"/>
        <scheme val="minor"/>
      </rPr>
      <t xml:space="preserve"> (Closed: 06/19/2009)</t>
    </r>
  </si>
  <si>
    <t>BIIB</t>
  </si>
  <si>
    <t>$52B</t>
  </si>
  <si>
    <t>Silicon Laboratories</t>
  </si>
  <si>
    <t>SLAB</t>
  </si>
  <si>
    <r>
      <t>PetSmart</t>
    </r>
    <r>
      <rPr>
        <sz val="10"/>
        <color theme="1"/>
        <rFont val="Calibri"/>
        <family val="2"/>
        <scheme val="minor"/>
      </rPr>
      <t xml:space="preserve"> (Closed: 02/02/2015)</t>
    </r>
  </si>
  <si>
    <t>PETM.DL</t>
  </si>
  <si>
    <r>
      <t>Embraer Brazilian Aviation Co</t>
    </r>
    <r>
      <rPr>
        <sz val="10"/>
        <color theme="1"/>
        <rFont val="Calibri"/>
        <family val="2"/>
        <scheme val="minor"/>
      </rPr>
      <t xml:space="preserve"> (Closed: 12/21/2018)</t>
    </r>
  </si>
  <si>
    <t>ERJ</t>
  </si>
  <si>
    <t>$11B</t>
  </si>
  <si>
    <r>
      <t>Silicon Laboratories</t>
    </r>
    <r>
      <rPr>
        <sz val="10"/>
        <color theme="1"/>
        <rFont val="Calibri"/>
        <family val="2"/>
        <scheme val="minor"/>
      </rPr>
      <t xml:space="preserve"> (Closed: 10/18/2013)</t>
    </r>
  </si>
  <si>
    <r>
      <t>SS&amp;C Technologies</t>
    </r>
    <r>
      <rPr>
        <sz val="10"/>
        <color theme="1"/>
        <rFont val="Calibri"/>
        <family val="2"/>
        <scheme val="minor"/>
      </rPr>
      <t xml:space="preserve"> (Closed: 11/23/2005)</t>
    </r>
  </si>
  <si>
    <t>SSNC.DL2</t>
  </si>
  <si>
    <r>
      <t>GameStop</t>
    </r>
    <r>
      <rPr>
        <sz val="10"/>
        <color theme="1"/>
        <rFont val="Calibri"/>
        <family val="2"/>
        <scheme val="minor"/>
      </rPr>
      <t xml:space="preserve"> (Closed: 10/07/2005) Corporate Action Details</t>
    </r>
  </si>
  <si>
    <r>
      <t>Hypercom</t>
    </r>
    <r>
      <rPr>
        <sz val="10"/>
        <color theme="1"/>
        <rFont val="Calibri"/>
        <family val="2"/>
        <scheme val="minor"/>
      </rPr>
      <t xml:space="preserve"> (Closed: 05/20/2005)</t>
    </r>
  </si>
  <si>
    <t>HYC.DL2</t>
  </si>
  <si>
    <r>
      <t>Integra LifeSciences</t>
    </r>
    <r>
      <rPr>
        <sz val="10"/>
        <color theme="1"/>
        <rFont val="Calibri"/>
        <family val="2"/>
        <scheme val="minor"/>
      </rPr>
      <t xml:space="preserve"> (Closed: 11/20/2009)</t>
    </r>
  </si>
  <si>
    <t>IART</t>
  </si>
  <si>
    <r>
      <t>JetBlue Airways</t>
    </r>
    <r>
      <rPr>
        <sz val="10"/>
        <color theme="1"/>
        <rFont val="Calibri"/>
        <family val="2"/>
        <scheme val="minor"/>
      </rPr>
      <t xml:space="preserve"> (Closed: 12/21/2007)</t>
    </r>
  </si>
  <si>
    <t>UnitedHealth Group</t>
  </si>
  <si>
    <t>UNH</t>
  </si>
  <si>
    <t>$259B</t>
  </si>
  <si>
    <t>BMW</t>
  </si>
  <si>
    <t>BAMXF</t>
  </si>
  <si>
    <r>
      <t>Gap</t>
    </r>
    <r>
      <rPr>
        <sz val="10"/>
        <color theme="1"/>
        <rFont val="Calibri"/>
        <family val="2"/>
        <scheme val="minor"/>
      </rPr>
      <t xml:space="preserve"> (Closed: 01/16/2009)</t>
    </r>
  </si>
  <si>
    <t>GPS</t>
  </si>
  <si>
    <r>
      <t>AT&amp;T</t>
    </r>
    <r>
      <rPr>
        <sz val="10"/>
        <color theme="1"/>
        <rFont val="Calibri"/>
        <family val="2"/>
        <scheme val="minor"/>
      </rPr>
      <t xml:space="preserve"> (Closed: 12/16/2005)</t>
    </r>
  </si>
  <si>
    <t>T</t>
  </si>
  <si>
    <t>$249B</t>
  </si>
  <si>
    <r>
      <t>Reebok International</t>
    </r>
    <r>
      <rPr>
        <sz val="10"/>
        <color theme="1"/>
        <rFont val="Calibri"/>
        <family val="2"/>
        <scheme val="minor"/>
      </rPr>
      <t xml:space="preserve"> (Closed: 01/27/2006)</t>
    </r>
  </si>
  <si>
    <t>RBK.DL</t>
  </si>
  <si>
    <r>
      <t>Dell</t>
    </r>
    <r>
      <rPr>
        <sz val="10"/>
        <color theme="1"/>
        <rFont val="Calibri"/>
        <family val="2"/>
        <scheme val="minor"/>
      </rPr>
      <t xml:space="preserve"> (Closed: 04/18/2008)</t>
    </r>
  </si>
  <si>
    <t>DELL.DL</t>
  </si>
  <si>
    <r>
      <t>Regis</t>
    </r>
    <r>
      <rPr>
        <sz val="10"/>
        <color theme="1"/>
        <rFont val="Calibri"/>
        <family val="2"/>
        <scheme val="minor"/>
      </rPr>
      <t xml:space="preserve"> (Closed: 11/18/2005)</t>
    </r>
  </si>
  <si>
    <t>RGS</t>
  </si>
  <si>
    <r>
      <t>ARM Holdings</t>
    </r>
    <r>
      <rPr>
        <sz val="10"/>
        <color theme="1"/>
        <rFont val="Calibri"/>
        <family val="2"/>
        <scheme val="minor"/>
      </rPr>
      <t xml:space="preserve"> (Closed: 06/19/2009)</t>
    </r>
  </si>
  <si>
    <t>ARMH</t>
  </si>
  <si>
    <r>
      <t>Daktronics</t>
    </r>
    <r>
      <rPr>
        <sz val="10"/>
        <color theme="1"/>
        <rFont val="Calibri"/>
        <family val="2"/>
        <scheme val="minor"/>
      </rPr>
      <t xml:space="preserve"> (Closed: 05/20/2005)</t>
    </r>
  </si>
  <si>
    <t>DAKT</t>
  </si>
  <si>
    <t>$222M</t>
  </si>
  <si>
    <r>
      <t>Amerigroup</t>
    </r>
    <r>
      <rPr>
        <sz val="10"/>
        <color theme="1"/>
        <rFont val="Calibri"/>
        <family val="2"/>
        <scheme val="minor"/>
      </rPr>
      <t xml:space="preserve"> (Closed: 09/21/2012)</t>
    </r>
  </si>
  <si>
    <t>AGP.DL2</t>
  </si>
  <si>
    <r>
      <t>Best Buy</t>
    </r>
    <r>
      <rPr>
        <sz val="10"/>
        <color theme="1"/>
        <rFont val="Calibri"/>
        <family val="2"/>
        <scheme val="minor"/>
      </rPr>
      <t xml:space="preserve"> (Closed: 06/17/2011)</t>
    </r>
  </si>
  <si>
    <t>BBY</t>
  </si>
  <si>
    <r>
      <t>Trex</t>
    </r>
    <r>
      <rPr>
        <sz val="10"/>
        <color theme="1"/>
        <rFont val="Calibri"/>
        <family val="2"/>
        <scheme val="minor"/>
      </rPr>
      <t xml:space="preserve"> (Closed: 11/18/2005)</t>
    </r>
  </si>
  <si>
    <t>TREX</t>
  </si>
  <si>
    <r>
      <t>Amerigroup</t>
    </r>
    <r>
      <rPr>
        <sz val="10"/>
        <color theme="1"/>
        <rFont val="Calibri"/>
        <family val="2"/>
        <scheme val="minor"/>
      </rPr>
      <t xml:space="preserve"> (Closed: 05/18/2007)</t>
    </r>
  </si>
  <si>
    <r>
      <t>Krispy Kreme Doughnuts</t>
    </r>
    <r>
      <rPr>
        <sz val="10"/>
        <color theme="1"/>
        <rFont val="Calibri"/>
        <family val="2"/>
        <scheme val="minor"/>
      </rPr>
      <t xml:space="preserve"> (Closed: 10/26/2005)</t>
    </r>
  </si>
  <si>
    <t>KKD</t>
  </si>
  <si>
    <r>
      <t>Possis Medical</t>
    </r>
    <r>
      <rPr>
        <sz val="10"/>
        <color theme="1"/>
        <rFont val="Calibri"/>
        <family val="2"/>
        <scheme val="minor"/>
      </rPr>
      <t xml:space="preserve"> (Closed: 05/20/2005)</t>
    </r>
  </si>
  <si>
    <t>POSS.DL</t>
  </si>
  <si>
    <r>
      <t>TiVo Corporation</t>
    </r>
    <r>
      <rPr>
        <sz val="10"/>
        <color theme="1"/>
        <rFont val="Calibri"/>
        <family val="2"/>
        <scheme val="minor"/>
      </rPr>
      <t xml:space="preserve"> (Closed: 06/15/2007)</t>
    </r>
  </si>
  <si>
    <t>TIVO</t>
  </si>
  <si>
    <r>
      <t>Coventry Health Care</t>
    </r>
    <r>
      <rPr>
        <sz val="10"/>
        <color theme="1"/>
        <rFont val="Calibri"/>
        <family val="2"/>
        <scheme val="minor"/>
      </rPr>
      <t xml:space="preserve"> (Closed: 01/28/2005) Corporate Action Details</t>
    </r>
  </si>
  <si>
    <r>
      <t>Netflix</t>
    </r>
    <r>
      <rPr>
        <sz val="10"/>
        <color theme="1"/>
        <rFont val="Calibri"/>
        <family val="2"/>
        <scheme val="minor"/>
      </rPr>
      <t xml:space="preserve"> (Closed: 11/05/2003)</t>
    </r>
  </si>
  <si>
    <r>
      <t>Kensey Nash</t>
    </r>
    <r>
      <rPr>
        <sz val="10"/>
        <color theme="1"/>
        <rFont val="Calibri"/>
        <family val="2"/>
        <scheme val="minor"/>
      </rPr>
      <t xml:space="preserve"> (Closed: 05/20/2005)</t>
    </r>
  </si>
  <si>
    <t>KNSY.DL</t>
  </si>
  <si>
    <r>
      <t>NextGen Healthcare Inc.</t>
    </r>
    <r>
      <rPr>
        <sz val="10"/>
        <color theme="1"/>
        <rFont val="Calibri"/>
        <family val="2"/>
        <scheme val="minor"/>
      </rPr>
      <t xml:space="preserve"> (Closed: 06/26/2015)</t>
    </r>
  </si>
  <si>
    <r>
      <t>Activision Blizzard</t>
    </r>
    <r>
      <rPr>
        <sz val="10"/>
        <color theme="1"/>
        <rFont val="Calibri"/>
        <family val="2"/>
        <scheme val="minor"/>
      </rPr>
      <t xml:space="preserve"> Corporate Action Details</t>
    </r>
  </si>
  <si>
    <r>
      <t>NextGen Healthcare Inc.</t>
    </r>
    <r>
      <rPr>
        <sz val="10"/>
        <color theme="1"/>
        <rFont val="Calibri"/>
        <family val="2"/>
        <scheme val="minor"/>
      </rPr>
      <t xml:space="preserve"> (Closed: 06/21/2013)</t>
    </r>
  </si>
  <si>
    <r>
      <t>UnitedHealth Group</t>
    </r>
    <r>
      <rPr>
        <sz val="10"/>
        <color theme="1"/>
        <rFont val="Calibri"/>
        <family val="2"/>
        <scheme val="minor"/>
      </rPr>
      <t xml:space="preserve"> Corporate Action Details</t>
    </r>
  </si>
  <si>
    <r>
      <t>Tenet Healthcare</t>
    </r>
    <r>
      <rPr>
        <sz val="10"/>
        <color theme="1"/>
        <rFont val="Calibri"/>
        <family val="2"/>
        <scheme val="minor"/>
      </rPr>
      <t xml:space="preserve"> (Closed: 07/11/2003)</t>
    </r>
  </si>
  <si>
    <t>THC</t>
  </si>
  <si>
    <r>
      <t>Websense</t>
    </r>
    <r>
      <rPr>
        <sz val="10"/>
        <color theme="1"/>
        <rFont val="Calibri"/>
        <family val="2"/>
        <scheme val="minor"/>
      </rPr>
      <t xml:space="preserve"> (Closed: 07/21/2003)</t>
    </r>
  </si>
  <si>
    <t>WBSN.DL</t>
  </si>
  <si>
    <r>
      <t>Affiliated Managers Group</t>
    </r>
    <r>
      <rPr>
        <sz val="10"/>
        <color theme="1"/>
        <rFont val="Calibri"/>
        <family val="2"/>
        <scheme val="minor"/>
      </rPr>
      <t xml:space="preserve"> (Closed: 02/17/2006)</t>
    </r>
  </si>
  <si>
    <r>
      <t>Martha Stewart Living</t>
    </r>
    <r>
      <rPr>
        <sz val="10"/>
        <color theme="1"/>
        <rFont val="Calibri"/>
        <family val="2"/>
        <scheme val="minor"/>
      </rPr>
      <t xml:space="preserve"> (Closed: 06/18/2004)</t>
    </r>
  </si>
  <si>
    <t>MSO.DL</t>
  </si>
  <si>
    <r>
      <t>Sanderson Farms</t>
    </r>
    <r>
      <rPr>
        <sz val="10"/>
        <color theme="1"/>
        <rFont val="Calibri"/>
        <family val="2"/>
        <scheme val="minor"/>
      </rPr>
      <t xml:space="preserve"> (Closed: 08/20/2003)</t>
    </r>
  </si>
  <si>
    <t>SAFM</t>
  </si>
  <si>
    <r>
      <t>Corporate Executive Board</t>
    </r>
    <r>
      <rPr>
        <sz val="10"/>
        <color theme="1"/>
        <rFont val="Calibri"/>
        <family val="2"/>
        <scheme val="minor"/>
      </rPr>
      <t xml:space="preserve"> (Closed: 05/15/2009)</t>
    </r>
  </si>
  <si>
    <t>CEB</t>
  </si>
  <si>
    <r>
      <t>Time Warner</t>
    </r>
    <r>
      <rPr>
        <sz val="10"/>
        <color theme="1"/>
        <rFont val="Calibri"/>
        <family val="2"/>
        <scheme val="minor"/>
      </rPr>
      <t xml:space="preserve"> (Closed: 06/20/2008)</t>
    </r>
  </si>
  <si>
    <t>TWX.DL</t>
  </si>
  <si>
    <r>
      <t>Whole Foods Market</t>
    </r>
    <r>
      <rPr>
        <sz val="10"/>
        <color theme="1"/>
        <rFont val="Calibri"/>
        <family val="2"/>
        <scheme val="minor"/>
      </rPr>
      <t xml:space="preserve"> (Closed: 05/05/2003)</t>
    </r>
  </si>
  <si>
    <r>
      <t>PayPal Holdings and eBay</t>
    </r>
    <r>
      <rPr>
        <sz val="10"/>
        <color theme="1"/>
        <rFont val="Calibri"/>
        <family val="2"/>
        <scheme val="minor"/>
      </rPr>
      <t xml:space="preserve"> Corporate Action Details</t>
    </r>
  </si>
  <si>
    <t>PYPL EBAY</t>
  </si>
  <si>
    <t>Costco Wholesale</t>
  </si>
  <si>
    <t>COST</t>
  </si>
  <si>
    <t>$133B</t>
  </si>
  <si>
    <t>Median Return</t>
  </si>
  <si>
    <t>Average Return</t>
  </si>
  <si>
    <t>Total return</t>
  </si>
  <si>
    <t>Both</t>
  </si>
  <si>
    <t>S&amp;P Both</t>
  </si>
  <si>
    <t>S&amp;P David</t>
  </si>
  <si>
    <t>S&amp;P Tom</t>
  </si>
  <si>
    <t>Overall</t>
  </si>
  <si>
    <t>#recs</t>
  </si>
  <si>
    <t>$100 invested at each rec would cost</t>
  </si>
  <si>
    <t>% beat S&amp;P by (0 = breakeven)</t>
  </si>
  <si>
    <t>Improvement Vs. S&amp;P Return</t>
  </si>
  <si>
    <t>David Improvement Vs. S&amp;P Return</t>
  </si>
  <si>
    <t>Tom Improvement Vs. S&amp;P Return</t>
  </si>
  <si>
    <t>Difference Vs. S&amp;P Return</t>
  </si>
  <si>
    <t>David Difference Vs. S&amp;P Return</t>
  </si>
  <si>
    <t>Tom Difference Vs. S&amp;P Return</t>
  </si>
  <si>
    <t>Overall minus best 20 trades</t>
  </si>
  <si>
    <t>Row Labels</t>
  </si>
  <si>
    <t>Grand Total</t>
  </si>
  <si>
    <t>Column Labels</t>
  </si>
  <si>
    <t>Count of Ticker</t>
  </si>
  <si>
    <t>Sum of Return</t>
  </si>
  <si>
    <t>Log return</t>
  </si>
  <si>
    <t>Visible?</t>
  </si>
  <si>
    <t/>
  </si>
  <si>
    <t>Dummy1</t>
  </si>
  <si>
    <t>% Greater than this</t>
  </si>
  <si>
    <t>% Less than this</t>
  </si>
  <si>
    <t>$100 invested at each rec would end up</t>
  </si>
  <si>
    <t>Original calcs showing if you figure the money spent you get the same figures as the % over S&amp;P that I ended up using:</t>
  </si>
  <si>
    <t>% better end cash in hand than with S&amp;P</t>
  </si>
  <si>
    <t>Overall minus best 10 and worst 10 trades</t>
  </si>
  <si>
    <t>Overall minus top 2% of companies by return (AMZN, NFLX, BKNG, ATVI, DIS, NVDA)</t>
  </si>
  <si>
    <t>Overall minus top .5% and bottom .5% of trades</t>
  </si>
  <si>
    <t>2009 forwards</t>
  </si>
  <si>
    <t>2009 forwards minus top 1% of trades</t>
  </si>
  <si>
    <t>cost of principal</t>
  </si>
  <si>
    <t>total profit</t>
  </si>
  <si>
    <t>final cash in hand</t>
  </si>
  <si>
    <t>finish relative to S&amp;P</t>
  </si>
  <si>
    <t>2010 forwards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</si>
  <si>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</si>
  <si>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</si>
  <si>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</si>
  <si>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</si>
  <si>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</si>
  <si>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</si>
  <si>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</si>
  <si>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</si>
  <si>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</si>
  <si>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</si>
  <si>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</si>
  <si>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</si>
  <si>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</si>
  <si>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</si>
  <si>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</si>
  <si>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</si>
  <si>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</si>
  <si>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</si>
  <si>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</si>
  <si>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S&amp;P if David</t>
  </si>
  <si>
    <t>S&amp;P if Tom</t>
  </si>
  <si>
    <t>Pivot tables</t>
  </si>
  <si>
    <t>MF return relative to S&amp;P</t>
  </si>
  <si>
    <t>S&amp;P Return, same period</t>
  </si>
  <si>
    <t>Return if David</t>
  </si>
  <si>
    <t>Return if Tom</t>
  </si>
  <si>
    <r>
      <t>Net Return</t>
    </r>
    <r>
      <rPr>
        <sz val="10"/>
        <color theme="1"/>
        <rFont val="Calibri"/>
        <family val="2"/>
        <scheme val="minor"/>
      </rPr>
      <t xml:space="preserve"> (if all MF positions same size)</t>
    </r>
  </si>
  <si>
    <t>/ #recs</t>
  </si>
  <si>
    <r>
      <rPr>
        <b/>
        <i/>
        <sz val="12"/>
        <color theme="1"/>
        <rFont val="Calibri"/>
        <family val="2"/>
        <scheme val="minor"/>
      </rPr>
      <t>NET CALC:</t>
    </r>
    <r>
      <rPr>
        <i/>
        <sz val="12"/>
        <color theme="1"/>
        <rFont val="Calibri"/>
        <family val="2"/>
        <scheme val="minor"/>
      </rPr>
      <t xml:space="preserve"> Total return</t>
    </r>
  </si>
  <si>
    <t>Recommendation Date</t>
  </si>
  <si>
    <r>
      <t>Returns Ranked</t>
    </r>
    <r>
      <rPr>
        <sz val="10"/>
        <color theme="1"/>
        <rFont val="Calibri"/>
        <family val="2"/>
        <scheme val="minor"/>
      </rPr>
      <t xml:space="preserve"> (0=lowest return)</t>
    </r>
  </si>
  <si>
    <r>
      <t>Return</t>
    </r>
    <r>
      <rPr>
        <sz val="10"/>
        <color theme="1"/>
        <rFont val="Calibri"/>
        <family val="2"/>
        <scheme val="minor"/>
      </rPr>
      <t xml:space="preserve"> (keep sorted by this column!)</t>
    </r>
  </si>
  <si>
    <t>Risk rating</t>
  </si>
  <si>
    <t>Buy S&amp;P instead of David picks</t>
  </si>
  <si>
    <t>Buy S&amp;P instead of Tom picks</t>
  </si>
  <si>
    <t>Buy S&amp;P instead of all picks</t>
  </si>
  <si>
    <t>MF excess return relative to S&amp;P</t>
  </si>
  <si>
    <t>2010 forwards minus top two trades (about top .8% of trades)</t>
  </si>
  <si>
    <r>
      <t xml:space="preserve">LIVE CALCS ON FILTERED DATA: </t>
    </r>
    <r>
      <rPr>
        <sz val="12"/>
        <color theme="1"/>
        <rFont val="Calibri"/>
        <family val="2"/>
        <scheme val="minor"/>
      </rPr>
      <t>Use autofilters on the Raw Data tab to omit outliers and see how MF's success rates change</t>
    </r>
  </si>
  <si>
    <t>BELOW ROWS ARE ALL SAVED BY FILTERING TO TEST DIFFERENT SCENARIOS, THEN COPYING LIVE FORMULA OUTPUT ABOVE AND PASTING AS VALUES BELOW TO STORE THEM FOR FUTURE REFERENCE.</t>
  </si>
  <si>
    <t>Motley Fool recommendations analyzer by ApopheniaPays &lt;ap@apopheniapays.com&gt;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</si>
</sst>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00000000000000%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14" fontId="2" fillId="2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8" fontId="2" fillId="2" borderId="0" xfId="0" applyNumberFormat="1" applyFont="1" applyFill="1" applyAlignment="1">
      <alignment vertical="center" wrapText="1"/>
    </xf>
    <xf numFmtId="10" fontId="2" fillId="2" borderId="0" xfId="0" applyNumberFormat="1" applyFont="1" applyFill="1" applyAlignment="1">
      <alignment vertical="center" wrapText="1"/>
    </xf>
    <xf numFmtId="10" fontId="0" fillId="0" borderId="0" xfId="0" applyNumberFormat="1"/>
    <xf numFmtId="14" fontId="0" fillId="0" borderId="0" xfId="0" applyNumberFormat="1"/>
    <xf numFmtId="9" fontId="0" fillId="0" borderId="0" xfId="1" applyFont="1"/>
    <xf numFmtId="9" fontId="0" fillId="0" borderId="0" xfId="0" applyNumberFormat="1"/>
    <xf numFmtId="0" fontId="3" fillId="2" borderId="2" xfId="0" applyFont="1" applyFill="1" applyBorder="1" applyAlignment="1">
      <alignment vertical="center" wrapText="1"/>
    </xf>
    <xf numFmtId="0" fontId="4" fillId="2" borderId="2" xfId="2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8" fontId="2" fillId="2" borderId="2" xfId="0" applyNumberFormat="1" applyFont="1" applyFill="1" applyBorder="1" applyAlignment="1">
      <alignment vertical="center" wrapText="1"/>
    </xf>
    <xf numFmtId="10" fontId="2" fillId="2" borderId="2" xfId="0" applyNumberFormat="1" applyFont="1" applyFill="1" applyBorder="1" applyAlignment="1">
      <alignment vertical="center" wrapText="1"/>
    </xf>
    <xf numFmtId="9" fontId="2" fillId="2" borderId="2" xfId="1" applyNumberFormat="1" applyFont="1" applyFill="1" applyBorder="1" applyAlignment="1">
      <alignment vertical="center" wrapText="1"/>
    </xf>
    <xf numFmtId="0" fontId="4" fillId="2" borderId="0" xfId="2" applyFont="1" applyFill="1" applyAlignment="1">
      <alignment vertical="center" wrapText="1"/>
    </xf>
    <xf numFmtId="0" fontId="0" fillId="2" borderId="0" xfId="0" applyFont="1" applyFill="1" applyAlignment="1">
      <alignment vertical="center" wrapText="1"/>
    </xf>
    <xf numFmtId="14" fontId="4" fillId="2" borderId="0" xfId="2" applyNumberFormat="1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2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0" fontId="2" fillId="2" borderId="1" xfId="0" applyNumberFormat="1" applyFont="1" applyFill="1" applyBorder="1" applyAlignment="1">
      <alignment vertical="center" wrapText="1"/>
    </xf>
    <xf numFmtId="10" fontId="2" fillId="2" borderId="2" xfId="1" applyNumberFormat="1" applyFont="1" applyFill="1" applyBorder="1" applyAlignment="1">
      <alignment vertical="center" wrapText="1"/>
    </xf>
    <xf numFmtId="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6" fillId="0" borderId="0" xfId="0" applyFont="1"/>
    <xf numFmtId="0" fontId="7" fillId="3" borderId="0" xfId="0" applyFont="1" applyFill="1" applyAlignment="1">
      <alignment vertical="center" wrapText="1"/>
    </xf>
    <xf numFmtId="164" fontId="6" fillId="0" borderId="0" xfId="0" applyNumberFormat="1" applyFont="1"/>
    <xf numFmtId="9" fontId="6" fillId="0" borderId="0" xfId="0" applyNumberFormat="1" applyFont="1"/>
    <xf numFmtId="14" fontId="4" fillId="2" borderId="0" xfId="2" applyNumberFormat="1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4" fillId="2" borderId="0" xfId="2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8" fontId="2" fillId="2" borderId="0" xfId="0" applyNumberFormat="1" applyFont="1" applyFill="1" applyBorder="1" applyAlignment="1">
      <alignment vertical="center" wrapText="1"/>
    </xf>
    <xf numFmtId="10" fontId="2" fillId="2" borderId="0" xfId="0" applyNumberFormat="1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14" fontId="3" fillId="2" borderId="0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14" fontId="4" fillId="2" borderId="2" xfId="2" applyNumberFormat="1" applyFont="1" applyFill="1" applyBorder="1" applyAlignment="1">
      <alignment vertical="center" wrapText="1"/>
    </xf>
    <xf numFmtId="14" fontId="2" fillId="2" borderId="0" xfId="0" applyNumberFormat="1" applyFont="1" applyFill="1" applyBorder="1" applyAlignment="1">
      <alignment vertic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2" borderId="2" xfId="0" applyNumberFormat="1" applyFont="1" applyFill="1" applyBorder="1" applyAlignment="1">
      <alignment vertical="center" wrapText="1"/>
    </xf>
    <xf numFmtId="0" fontId="3" fillId="2" borderId="0" xfId="0" applyNumberFormat="1" applyFont="1" applyFill="1" applyBorder="1" applyAlignment="1">
      <alignment vertical="center" wrapText="1"/>
    </xf>
    <xf numFmtId="0" fontId="2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Border="1" applyAlignment="1">
      <alignment vertical="center" wrapText="1"/>
    </xf>
    <xf numFmtId="10" fontId="0" fillId="0" borderId="0" xfId="1" applyNumberFormat="1" applyFont="1"/>
    <xf numFmtId="44" fontId="6" fillId="0" borderId="0" xfId="0" applyNumberFormat="1" applyFont="1"/>
    <xf numFmtId="10" fontId="6" fillId="0" borderId="0" xfId="0" applyNumberFormat="1" applyFont="1"/>
    <xf numFmtId="165" fontId="6" fillId="0" borderId="0" xfId="0" applyNumberFormat="1" applyFont="1"/>
    <xf numFmtId="0" fontId="0" fillId="0" borderId="0" xfId="0" applyAlignment="1">
      <alignment horizontal="left" indent="1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0" xfId="0" applyNumberFormat="1" applyBorder="1"/>
    <xf numFmtId="10" fontId="0" fillId="0" borderId="0" xfId="0" applyNumberFormat="1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0" fontId="0" fillId="0" borderId="9" xfId="0" applyBorder="1"/>
    <xf numFmtId="0" fontId="0" fillId="0" borderId="10" xfId="0" applyBorder="1"/>
    <xf numFmtId="0" fontId="0" fillId="5" borderId="4" xfId="0" applyFill="1" applyBorder="1"/>
    <xf numFmtId="0" fontId="0" fillId="5" borderId="5" xfId="0" applyFill="1" applyBorder="1"/>
    <xf numFmtId="0" fontId="0" fillId="6" borderId="0" xfId="0" applyFont="1" applyFill="1"/>
    <xf numFmtId="0" fontId="10" fillId="7" borderId="0" xfId="0" applyFont="1" applyFill="1" applyBorder="1" applyAlignment="1">
      <alignment vertical="center" wrapText="1"/>
    </xf>
    <xf numFmtId="10" fontId="11" fillId="7" borderId="2" xfId="1" applyNumberFormat="1" applyFont="1" applyFill="1" applyBorder="1" applyAlignment="1">
      <alignment vertical="center" wrapText="1"/>
    </xf>
    <xf numFmtId="0" fontId="12" fillId="7" borderId="0" xfId="0" applyFont="1" applyFill="1"/>
    <xf numFmtId="0" fontId="12" fillId="7" borderId="0" xfId="0" applyFont="1" applyFill="1" applyBorder="1"/>
    <xf numFmtId="164" fontId="12" fillId="7" borderId="0" xfId="0" applyNumberFormat="1" applyFont="1" applyFill="1" applyBorder="1"/>
    <xf numFmtId="0" fontId="12" fillId="7" borderId="0" xfId="0" applyNumberFormat="1" applyFont="1" applyFill="1" applyBorder="1"/>
    <xf numFmtId="164" fontId="12" fillId="7" borderId="0" xfId="1" applyNumberFormat="1" applyFont="1" applyFill="1" applyBorder="1"/>
    <xf numFmtId="164" fontId="12" fillId="7" borderId="9" xfId="1" applyNumberFormat="1" applyFont="1" applyFill="1" applyBorder="1"/>
    <xf numFmtId="0" fontId="12" fillId="7" borderId="9" xfId="0" applyNumberFormat="1" applyFont="1" applyFill="1" applyBorder="1"/>
    <xf numFmtId="10" fontId="11" fillId="7" borderId="2" xfId="0" applyNumberFormat="1" applyFont="1" applyFill="1" applyBorder="1" applyAlignment="1">
      <alignment vertical="center" wrapText="1"/>
    </xf>
    <xf numFmtId="0" fontId="12" fillId="7" borderId="0" xfId="0" applyFont="1" applyFill="1" applyBorder="1" applyAlignment="1">
      <alignment horizontal="center" wrapText="1"/>
    </xf>
    <xf numFmtId="164" fontId="0" fillId="0" borderId="7" xfId="0" applyNumberFormat="1" applyBorder="1"/>
    <xf numFmtId="0" fontId="8" fillId="5" borderId="3" xfId="0" applyFont="1" applyFill="1" applyBorder="1"/>
    <xf numFmtId="0" fontId="6" fillId="0" borderId="8" xfId="0" applyFont="1" applyBorder="1"/>
    <xf numFmtId="0" fontId="9" fillId="4" borderId="3" xfId="0" applyFont="1" applyFill="1" applyBorder="1"/>
    <xf numFmtId="0" fontId="9" fillId="4" borderId="4" xfId="0" applyFont="1" applyFill="1" applyBorder="1"/>
    <xf numFmtId="0" fontId="9" fillId="4" borderId="5" xfId="0" applyFont="1" applyFill="1" applyBorder="1"/>
    <xf numFmtId="0" fontId="6" fillId="0" borderId="0" xfId="0" applyFont="1" applyBorder="1"/>
    <xf numFmtId="0" fontId="0" fillId="0" borderId="6" xfId="0" applyBorder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27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2" formatCode="&quot;$&quot;#,##0.00_);[Red]\(&quot;$&quot;#,##0.00\)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family val="2"/>
        <scheme val="minor"/>
      </font>
      <numFmt numFmtId="19" formatCode="m/d/yy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Counts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Analysis!$J$5:$AX$5</c:f>
              <c:numCache>
                <c:formatCode>0.00%</c:formatCode>
                <c:ptCount val="4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1.9</c:v>
                </c:pt>
                <c:pt idx="25">
                  <c:v>2</c:v>
                </c:pt>
                <c:pt idx="26">
                  <c:v>2.1</c:v>
                </c:pt>
                <c:pt idx="27">
                  <c:v>2.8</c:v>
                </c:pt>
                <c:pt idx="28">
                  <c:v>2.9</c:v>
                </c:pt>
                <c:pt idx="29">
                  <c:v>3.2</c:v>
                </c:pt>
                <c:pt idx="30">
                  <c:v>4.7</c:v>
                </c:pt>
              </c:numCache>
            </c:numRef>
          </c:cat>
          <c:val>
            <c:numRef>
              <c:f>Analysis!$J$7:$AI$7</c:f>
              <c:numCache>
                <c:formatCode>0.0%</c:formatCode>
                <c:ptCount val="26"/>
                <c:pt idx="0">
                  <c:v>1.6393442622950821E-2</c:v>
                </c:pt>
                <c:pt idx="1">
                  <c:v>4.5081967213114756E-2</c:v>
                </c:pt>
                <c:pt idx="2">
                  <c:v>8.6065573770491802E-2</c:v>
                </c:pt>
                <c:pt idx="3">
                  <c:v>0.14754098360655737</c:v>
                </c:pt>
                <c:pt idx="4">
                  <c:v>0.20901639344262296</c:v>
                </c:pt>
                <c:pt idx="5">
                  <c:v>0.25409836065573771</c:v>
                </c:pt>
                <c:pt idx="6">
                  <c:v>0.32786885245901642</c:v>
                </c:pt>
                <c:pt idx="7">
                  <c:v>0.39754098360655743</c:v>
                </c:pt>
                <c:pt idx="8">
                  <c:v>0.48360655737704922</c:v>
                </c:pt>
                <c:pt idx="9">
                  <c:v>0.56147540983606559</c:v>
                </c:pt>
                <c:pt idx="10">
                  <c:v>0.63524590163934425</c:v>
                </c:pt>
                <c:pt idx="11">
                  <c:v>0.70491803278688525</c:v>
                </c:pt>
                <c:pt idx="12">
                  <c:v>0.73770491803278693</c:v>
                </c:pt>
                <c:pt idx="13">
                  <c:v>0.7704918032786886</c:v>
                </c:pt>
                <c:pt idx="14">
                  <c:v>0.81967213114754101</c:v>
                </c:pt>
                <c:pt idx="15">
                  <c:v>0.83606557377049184</c:v>
                </c:pt>
                <c:pt idx="16">
                  <c:v>0.84836065573770492</c:v>
                </c:pt>
                <c:pt idx="17">
                  <c:v>0.87295081967213117</c:v>
                </c:pt>
                <c:pt idx="18">
                  <c:v>0.88934426229508201</c:v>
                </c:pt>
                <c:pt idx="19">
                  <c:v>0.90163934426229508</c:v>
                </c:pt>
                <c:pt idx="20">
                  <c:v>0.91803278688524592</c:v>
                </c:pt>
                <c:pt idx="21">
                  <c:v>0.92622950819672134</c:v>
                </c:pt>
                <c:pt idx="22">
                  <c:v>0.93442622950819676</c:v>
                </c:pt>
                <c:pt idx="23">
                  <c:v>0.95901639344262302</c:v>
                </c:pt>
                <c:pt idx="24">
                  <c:v>0.97131147540983609</c:v>
                </c:pt>
                <c:pt idx="25">
                  <c:v>0.97540983606557374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5-724F-9773-55C245ADA391}"/>
            </c:ext>
          </c:extLst>
        </c:ser>
        <c:ser>
          <c:idx val="1"/>
          <c:order val="1"/>
          <c:tx>
            <c:v>Series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Analysis!$J$8:$AX$8</c:f>
              <c:numCache>
                <c:formatCode>0.00%</c:formatCode>
                <c:ptCount val="41"/>
                <c:pt idx="0">
                  <c:v>0.99999999999999978</c:v>
                </c:pt>
                <c:pt idx="1">
                  <c:v>0.98360655737704894</c:v>
                </c:pt>
                <c:pt idx="2">
                  <c:v>0.95491803278688514</c:v>
                </c:pt>
                <c:pt idx="3">
                  <c:v>0.91393442622950793</c:v>
                </c:pt>
                <c:pt idx="4">
                  <c:v>0.85245901639344246</c:v>
                </c:pt>
                <c:pt idx="5">
                  <c:v>0.79098360655737676</c:v>
                </c:pt>
                <c:pt idx="6">
                  <c:v>0.7459016393442619</c:v>
                </c:pt>
                <c:pt idx="7">
                  <c:v>0.67213114754098324</c:v>
                </c:pt>
                <c:pt idx="8">
                  <c:v>0.60245901639344235</c:v>
                </c:pt>
                <c:pt idx="9">
                  <c:v>0.51639344262295073</c:v>
                </c:pt>
                <c:pt idx="10">
                  <c:v>0.43852459016393452</c:v>
                </c:pt>
                <c:pt idx="11">
                  <c:v>0.36475409836065587</c:v>
                </c:pt>
                <c:pt idx="12">
                  <c:v>0.2950819672131148</c:v>
                </c:pt>
                <c:pt idx="13">
                  <c:v>0.26229508196721318</c:v>
                </c:pt>
                <c:pt idx="14">
                  <c:v>0.22950819672131151</c:v>
                </c:pt>
                <c:pt idx="15">
                  <c:v>0.18032786885245905</c:v>
                </c:pt>
                <c:pt idx="16">
                  <c:v>0.16393442622950821</c:v>
                </c:pt>
                <c:pt idx="17">
                  <c:v>0.15163934426229511</c:v>
                </c:pt>
                <c:pt idx="18">
                  <c:v>0.12704918032786888</c:v>
                </c:pt>
                <c:pt idx="19">
                  <c:v>0.11065573770491804</c:v>
                </c:pt>
                <c:pt idx="20">
                  <c:v>9.836065573770493E-2</c:v>
                </c:pt>
                <c:pt idx="21">
                  <c:v>8.196721311475412E-2</c:v>
                </c:pt>
                <c:pt idx="22">
                  <c:v>7.3770491803278701E-2</c:v>
                </c:pt>
                <c:pt idx="23">
                  <c:v>6.5573770491803268E-2</c:v>
                </c:pt>
                <c:pt idx="24">
                  <c:v>4.0983606557377046E-2</c:v>
                </c:pt>
                <c:pt idx="25">
                  <c:v>2.8688524590163939E-2</c:v>
                </c:pt>
                <c:pt idx="26">
                  <c:v>2.4590163934426233E-2</c:v>
                </c:pt>
                <c:pt idx="27">
                  <c:v>1.6393442622950821E-2</c:v>
                </c:pt>
                <c:pt idx="28">
                  <c:v>1.2295081967213115E-2</c:v>
                </c:pt>
                <c:pt idx="29">
                  <c:v>8.1967213114754103E-3</c:v>
                </c:pt>
                <c:pt idx="30">
                  <c:v>4.0983606557377051E-3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5-724F-9773-55C245ADA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172655"/>
        <c:axId val="1030211375"/>
      </c:lineChart>
      <c:catAx>
        <c:axId val="1030172655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211375"/>
        <c:crosses val="autoZero"/>
        <c:auto val="1"/>
        <c:lblAlgn val="ctr"/>
        <c:lblOffset val="100"/>
        <c:noMultiLvlLbl val="0"/>
      </c:catAx>
      <c:valAx>
        <c:axId val="10302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7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520700</xdr:colOff>
      <xdr:row>0</xdr:row>
      <xdr:rowOff>0</xdr:rowOff>
    </xdr:from>
    <xdr:to>
      <xdr:col>14</xdr:col>
      <xdr:colOff>80066</xdr:colOff>
      <xdr:row>8</xdr:row>
      <xdr:rowOff>150743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58149-DC34-E14D-A936-A022156B7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K" refreshedDate="43901.862589930555" createdVersion="6" refreshedVersion="6" minRefreshableVersion="3" recordCount="424" xr:uid="{F09D70D7-458E-3241-8D6A-F99C1A59A2A3}">
  <cacheSource type="worksheet">
    <worksheetSource ref="A1:W425" sheet="Raw Data from MF (filter this!)"/>
  </cacheSource>
  <cacheFields count="23">
    <cacheField name="Rec Date" numFmtId="14">
      <sharedItems containsSemiMixedTypes="0" containsNonDate="0" containsDate="1" containsString="0" minDate="2002-03-08T00:00:00" maxDate="2020-03-06T00:00:00" count="239">
        <d v="2004-12-17T00:00:00"/>
        <d v="2004-10-01T00:00:00"/>
        <d v="2007-06-15T00:00:00"/>
        <d v="2002-09-06T00:00:00"/>
        <d v="2006-09-15T00:00:00"/>
        <d v="2006-06-16T00:00:00"/>
        <d v="2004-05-21T00:00:00"/>
        <d v="2002-06-07T00:00:00"/>
        <d v="2005-04-15T00:00:00"/>
        <d v="2002-11-08T00:00:00"/>
        <d v="2003-02-07T00:00:00"/>
        <d v="2002-12-13T00:00:00"/>
        <d v="2012-11-16T00:00:00"/>
        <d v="2002-08-09T00:00:00"/>
        <d v="2009-12-18T00:00:00"/>
        <d v="2004-08-20T00:00:00"/>
        <d v="2008-12-19T00:00:00"/>
        <d v="2008-01-18T00:00:00"/>
        <d v="2016-07-15T00:00:00"/>
        <d v="2008-06-20T00:00:00"/>
        <d v="2008-03-20T00:00:00"/>
        <d v="2013-06-21T00:00:00"/>
        <d v="2003-03-07T00:00:00"/>
        <d v="2010-12-17T00:00:00"/>
        <d v="2002-04-12T00:00:00"/>
        <d v="2009-08-21T00:00:00"/>
        <d v="2003-07-11T00:00:00"/>
        <d v="2002-05-10T00:00:00"/>
        <d v="2010-06-18T00:00:00"/>
        <d v="2003-04-11T00:00:00"/>
        <d v="2012-07-20T00:00:00"/>
        <d v="2011-06-17T00:00:00"/>
        <d v="2012-04-20T00:00:00"/>
        <d v="2008-07-18T00:00:00"/>
        <d v="2016-04-15T00:00:00"/>
        <d v="2010-05-21T00:00:00"/>
        <d v="2011-01-21T00:00:00"/>
        <d v="2009-09-18T00:00:00"/>
        <d v="2010-07-16T00:00:00"/>
        <d v="2013-04-19T00:00:00"/>
        <d v="2010-09-17T00:00:00"/>
        <d v="2006-02-17T00:00:00"/>
        <d v="2003-01-10T00:00:00"/>
        <d v="2011-10-21T00:00:00"/>
        <d v="2005-02-18T00:00:00"/>
        <d v="2003-11-07T00:00:00"/>
        <d v="2010-11-19T00:00:00"/>
        <d v="2016-08-19T00:00:00"/>
        <d v="2008-11-21T00:00:00"/>
        <d v="2009-06-19T00:00:00"/>
        <d v="2018-01-19T00:00:00"/>
        <d v="2011-11-18T00:00:00"/>
        <d v="2006-08-18T00:00:00"/>
        <d v="2014-07-18T00:00:00"/>
        <d v="2006-01-20T00:00:00"/>
        <d v="2008-09-19T00:00:00"/>
        <d v="2017-06-16T00:00:00"/>
        <d v="2005-06-17T00:00:00"/>
        <d v="2017-10-20T00:00:00"/>
        <d v="2009-05-15T00:00:00"/>
        <d v="2018-04-20T00:00:00"/>
        <d v="2002-10-11T00:00:00"/>
        <d v="2009-02-20T00:00:00"/>
        <d v="2013-05-17T00:00:00"/>
        <d v="2012-01-20T00:00:00"/>
        <d v="2018-05-03T00:00:00"/>
        <d v="2009-01-16T00:00:00"/>
        <d v="2009-10-16T00:00:00"/>
        <d v="2014-12-19T00:00:00"/>
        <d v="2005-01-21T00:00:00"/>
        <d v="2014-06-20T00:00:00"/>
        <d v="2008-10-17T00:00:00"/>
        <d v="2007-04-20T00:00:00"/>
        <d v="2015-12-18T00:00:00"/>
        <d v="2016-12-16T00:00:00"/>
        <d v="2003-05-09T00:00:00"/>
        <d v="2012-08-17T00:00:00"/>
        <d v="2002-03-08T00:00:00"/>
        <d v="2008-04-18T00:00:00"/>
        <d v="2014-01-17T00:00:00"/>
        <d v="2004-09-17T00:00:00"/>
        <d v="2008-02-15T00:00:00"/>
        <d v="2017-01-20T00:00:00"/>
        <d v="2008-08-15T00:00:00"/>
        <d v="2014-10-17T00:00:00"/>
        <d v="2010-03-19T00:00:00"/>
        <d v="2011-12-16T00:00:00"/>
        <d v="2015-05-15T00:00:00"/>
        <d v="2017-04-21T00:00:00"/>
        <d v="2009-11-20T00:00:00"/>
        <d v="2013-08-16T00:00:00"/>
        <d v="2017-05-19T00:00:00"/>
        <d v="2015-02-20T00:00:00"/>
        <d v="2013-03-15T00:00:00"/>
        <d v="2013-02-15T00:00:00"/>
        <d v="2017-12-15T00:00:00"/>
        <d v="2011-07-15T00:00:00"/>
        <d v="2006-10-20T00:00:00"/>
        <d v="2006-07-21T00:00:00"/>
        <d v="2015-04-17T00:00:00"/>
        <d v="2016-03-18T00:00:00"/>
        <d v="2010-02-19T00:00:00"/>
        <d v="2011-09-16T00:00:00"/>
        <d v="2011-08-19T00:00:00"/>
        <d v="2008-05-16T00:00:00"/>
        <d v="2014-02-21T00:00:00"/>
        <d v="2018-02-16T00:00:00"/>
        <d v="2015-10-16T00:00:00"/>
        <d v="2015-07-17T00:00:00"/>
        <d v="2006-11-17T00:00:00"/>
        <d v="2012-05-16T00:00:00"/>
        <d v="2007-03-16T00:00:00"/>
        <d v="2005-07-15T00:00:00"/>
        <d v="2012-02-17T00:00:00"/>
        <d v="2016-02-19T00:00:00"/>
        <d v="2009-03-20T00:00:00"/>
        <d v="2016-10-21T00:00:00"/>
        <d v="2009-04-17T00:00:00"/>
        <d v="2005-11-18T00:00:00"/>
        <d v="2005-09-16T00:00:00"/>
        <d v="2016-06-17T00:00:00"/>
        <d v="2017-11-17T00:00:00"/>
        <d v="2015-01-16T00:00:00"/>
        <d v="2015-09-18T00:00:00"/>
        <d v="2012-03-16T00:00:00"/>
        <d v="2004-02-20T00:00:00"/>
        <d v="2015-03-20T00:00:00"/>
        <d v="2010-10-15T00:00:00"/>
        <d v="2014-03-21T00:00:00"/>
        <d v="2007-08-17T00:00:00"/>
        <d v="2005-08-19T00:00:00"/>
        <d v="2005-05-20T00:00:00"/>
        <d v="2012-12-21T00:00:00"/>
        <d v="2019-10-03T00:00:00"/>
        <d v="2016-01-22T00:00:00"/>
        <d v="2018-03-15T00:00:00"/>
        <d v="2013-10-18T00:00:00"/>
        <d v="2009-07-17T00:00:00"/>
        <d v="2007-10-19T00:00:00"/>
        <d v="2020-01-02T00:00:00"/>
        <d v="2016-09-16T00:00:00"/>
        <d v="2016-05-20T00:00:00"/>
        <d v="2004-07-16T00:00:00"/>
        <d v="2014-11-21T00:00:00"/>
        <d v="2007-09-21T00:00:00"/>
        <d v="2004-04-16T00:00:00"/>
        <d v="2012-10-19T00:00:00"/>
        <d v="2010-08-20T00:00:00"/>
        <d v="2018-11-29T00:00:00"/>
        <d v="2004-11-19T00:00:00"/>
        <d v="2013-01-18T00:00:00"/>
        <d v="2017-03-17T00:00:00"/>
        <d v="2012-09-21T00:00:00"/>
        <d v="2007-11-16T00:00:00"/>
        <d v="2014-05-16T00:00:00"/>
        <d v="2010-04-16T00:00:00"/>
        <d v="2006-12-15T00:00:00"/>
        <d v="2019-02-07T00:00:00"/>
        <d v="2019-07-03T00:00:00"/>
        <d v="2018-06-07T00:00:00"/>
        <d v="2019-09-19T00:00:00"/>
        <d v="2016-11-18T00:00:00"/>
        <d v="2014-09-19T00:00:00"/>
        <d v="2005-12-16T00:00:00"/>
        <d v="2019-02-21T00:00:00"/>
        <d v="2014-04-17T00:00:00"/>
        <d v="2014-08-15T00:00:00"/>
        <d v="2019-04-18T00:00:00"/>
        <d v="2017-02-17T00:00:00"/>
        <d v="2003-09-12T00:00:00"/>
        <d v="2002-07-12T00:00:00"/>
        <d v="2019-01-03T00:00:00"/>
        <d v="2018-11-01T00:00:00"/>
        <d v="2003-12-12T00:00:00"/>
        <d v="2019-11-07T00:00:00"/>
        <d v="2018-06-21T00:00:00"/>
        <d v="2019-11-21T00:00:00"/>
        <d v="2004-03-19T00:00:00"/>
        <d v="2006-03-17T00:00:00"/>
        <d v="2011-03-18T00:00:00"/>
        <d v="2019-08-15T00:00:00"/>
        <d v="2003-10-10T00:00:00"/>
        <d v="2015-06-19T00:00:00"/>
        <d v="2017-09-15T00:00:00"/>
        <d v="2019-05-16T00:00:00"/>
        <d v="2019-07-18T00:00:00"/>
        <d v="2018-11-15T00:00:00"/>
        <d v="2010-01-15T00:00:00"/>
        <d v="2018-10-18T00:00:00"/>
        <d v="2004-01-16T00:00:00"/>
        <d v="2017-08-18T00:00:00"/>
        <d v="2019-06-20T00:00:00"/>
        <d v="2013-11-15T00:00:00"/>
        <d v="2004-06-18T00:00:00"/>
        <d v="2005-03-18T00:00:00"/>
        <d v="2011-02-18T00:00:00"/>
        <d v="2019-12-05T00:00:00"/>
        <d v="2019-10-17T00:00:00"/>
        <d v="2018-12-13T00:00:00"/>
        <d v="2012-06-15T00:00:00"/>
        <d v="2020-02-20T00:00:00"/>
        <d v="2020-03-05T00:00:00"/>
        <d v="2017-07-21T00:00:00"/>
        <d v="2011-05-20T00:00:00"/>
        <d v="2018-09-20T00:00:00"/>
        <d v="2007-02-16T00:00:00"/>
        <d v="2019-05-02T00:00:00"/>
        <d v="2019-06-06T00:00:00"/>
        <d v="2019-03-21T00:00:00"/>
        <d v="2019-09-05T00:00:00"/>
        <d v="2006-04-21T00:00:00"/>
        <d v="2003-06-13T00:00:00"/>
        <d v="2019-03-07T00:00:00"/>
        <d v="2019-12-19T00:00:00"/>
        <d v="2013-07-19T00:00:00"/>
        <d v="2020-01-16T00:00:00"/>
        <d v="2020-02-06T00:00:00"/>
        <d v="2005-10-21T00:00:00"/>
        <d v="2018-07-05T00:00:00"/>
        <d v="2013-12-20T00:00:00"/>
        <d v="2007-07-20T00:00:00"/>
        <d v="2007-05-18T00:00:00"/>
        <d v="2018-08-16T00:00:00"/>
        <d v="2018-10-04T00:00:00"/>
        <d v="2018-08-02T00:00:00"/>
        <d v="2007-12-21T00:00:00"/>
        <d v="2018-05-17T00:00:00"/>
        <d v="2003-08-08T00:00:00"/>
        <d v="2013-09-20T00:00:00"/>
        <d v="2019-04-04T00:00:00"/>
        <d v="2019-01-17T00:00:00"/>
        <d v="2018-09-06T00:00:00"/>
        <d v="2006-05-19T00:00:00"/>
        <d v="2011-04-15T00:00:00"/>
        <d v="2007-01-19T00:00:00"/>
        <d v="2015-11-20T00:00:00"/>
        <d v="2018-07-19T00:00:00"/>
        <d v="2015-08-21T00:00:00"/>
        <d v="2019-08-01T00:00:00"/>
      </sharedItems>
      <fieldGroup base="0">
        <rangePr groupBy="years" startDate="2002-03-08T00:00:00" endDate="2020-03-06T00:00:00"/>
        <groupItems count="21">
          <s v="&lt;3/8/02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3/6/20"/>
        </groupItems>
      </fieldGroup>
    </cacheField>
    <cacheField name="Company" numFmtId="0">
      <sharedItems count="315">
        <s v="Netflix"/>
        <s v="Amazon"/>
        <s v="Booking Holdings"/>
        <s v="Walt Disney Corporate Action Details"/>
        <s v="NVIDIA"/>
        <s v="Activision Blizzard Corporate Action Details"/>
        <s v="UnitedHealth Group Corporate Action Details"/>
        <s v="Tesla"/>
        <s v="Cintas"/>
        <s v="Apple"/>
        <s v="Shopify"/>
        <s v="Sherwin-Williams"/>
        <s v="UnitedHealth Group"/>
        <s v="Costco Wholesale"/>
        <s v="Adobe Systems"/>
        <s v="NextGen Healthcare Inc. (Closed: 06/26/2015)"/>
        <s v="PayPal Holdings and eBay Corporate Action Details"/>
        <s v="NextGen Healthcare Inc. (Closed: 06/21/2013)"/>
        <s v="Hasbro"/>
        <s v="TransDigm Group"/>
        <s v="Heico"/>
        <s v="Illumina"/>
        <s v="Match Group"/>
        <s v="Boston Beer"/>
        <s v="Cognex"/>
        <s v="Dassault Systemes"/>
        <s v="Nike"/>
        <s v="Mastercard"/>
        <s v="Gilead Sciences"/>
        <s v="Intuit"/>
        <s v="Starbucks"/>
        <s v="BorgWarner"/>
        <s v="Pegasystems"/>
        <s v="Safety Insurance Group"/>
        <s v="Amerigroup (Closed: 09/21/2012)"/>
        <s v="Watsco"/>
        <s v="MSC Industrial Direct (Closed: 01/12/2018)"/>
        <s v="Alphabet (A shares) and Alphabet (C shares) Corporate Action Details"/>
        <s v="Interactive Brokers"/>
        <s v="Okta"/>
        <s v="Canadian National Railway"/>
        <s v="Endurance Specialty (Closed: 07/31/2015) Corporate Action Details"/>
        <s v="Idexx Laboratories"/>
        <s v="Activision Blizzard"/>
        <s v="Paycom Software"/>
        <s v="Paccar (Closed: 01/12/2018)"/>
        <s v="The Trade Desk"/>
        <s v="Berkshire Hathaway (B shares)"/>
        <s v="Affiliated Managers Group (Closed: 02/17/2006)"/>
        <s v="McKesson"/>
        <s v="Panera Bread Company (Closed: 04/05/2017)"/>
        <s v="Vail Resorts"/>
        <s v="Ulta Beauty"/>
        <s v="Laboratory Corporation of America (Closed: 03/21/2014)"/>
        <s v="National Instruments"/>
        <s v="Beam (Closed: 04/30/2014)"/>
        <s v="PetSmart (Closed: 02/02/2015)"/>
        <s v="Silicon Laboratories"/>
        <s v="The New York Times"/>
        <s v="Masimo"/>
        <s v="Netflix (Closed: 11/05/2003)"/>
        <s v="Moody's (Closed: 10/19/2012)"/>
        <s v="ITC Holdings (Closed: 02/11/2016)"/>
        <s v="Cboe Global Markets Inc"/>
        <s v="GameStop (Closed: 10/07/2005) Corporate Action Details"/>
        <s v="Whole Foods Market (Closed: 07/25/2017)"/>
        <s v="Precision Castparts (Closed: 01/28/2016)"/>
        <s v="McCormick"/>
        <s v="Discovery (C shares) Corporate Action Details"/>
        <s v="Jefferies Financial Group Inc. (Closed: 06/17/2011)"/>
        <s v="The Timberland Co. (Closed: 09/13/2011)"/>
        <s v="Linear Technology (Closed: 11/11/2016)"/>
        <s v="Nasdaq"/>
        <s v="FedEx"/>
        <s v="Tapestry (Closed: 01/12/2018)"/>
        <s v="Aflac"/>
        <s v="Fortinet"/>
        <s v="Texas Roadhouse"/>
        <s v="Old Dominion Freight Line"/>
        <s v="inVentiv Health (Closed: 05/21/2010)"/>
        <s v="Facebook"/>
        <s v="Gartner"/>
        <s v="SS&amp;C Technologies (Closed: 11/23/2005)"/>
        <s v="Chipotle Mexican Grill"/>
        <s v="Appian"/>
        <s v="Balchem"/>
        <s v="Dolby Laboratories (Closed: 11/06/2015)"/>
        <s v="Navteq (Closed: 10/01/2007)"/>
        <s v="Casey's General Stores"/>
        <s v="Qiagen N.V."/>
        <s v="Workday"/>
        <s v="CoreCivic, Inc. (Closed: 06/21/2013)"/>
        <s v="Williams-Sonoma"/>
        <s v="Corning"/>
        <s v="Express Scripts (Closed: 03/30/2012) Corporate Action Details"/>
        <s v="WhiteWave Foods (Closed: 12/09/2016)"/>
        <s v="Fair Isaac"/>
        <s v="Tennant Company"/>
        <s v="Roper Technologies"/>
        <s v="Dolby Laboratories (Closed: 10/18/2013)"/>
        <s v="CSX (Closed: 12/01/2017)"/>
        <s v="Omniture (Closed: 10/16/2009)"/>
        <s v="CarMax"/>
        <s v="Robert Half International"/>
        <s v="T-Mobile US"/>
        <s v="Meritage Homes"/>
        <s v="DreamWorks Animation (Closed: 06/27/2016)"/>
        <s v="Cummins"/>
        <s v="Rollins"/>
        <s v="WisdomTree Investments (Closed: 05/30/2018)"/>
        <s v="Sanderson Farms (Closed: 08/20/2003)"/>
        <s v="Alphabet (C shares)"/>
        <s v="Western Union (Closed: 02/10/2015)"/>
        <s v="Markel"/>
        <s v="CDW (Closed: 10/12/2007)"/>
        <s v="Teradata (Closed: 06/17/2016)"/>
        <s v="NextGen Healthcare Inc. (Closed: 11/20/2009)"/>
        <s v="Edgewell Personal Care (Closed: 11/15/2013)"/>
        <s v="Family Dollar Stores (Closed: 05/18/2007)"/>
        <s v="Ecolab"/>
        <s v="CME Group"/>
        <s v="RPM International"/>
        <s v="Marriott International"/>
        <s v="Polaris Industries (Closed: 02/07/2020)"/>
        <s v="Pharmaceutical Product Development (Closed: 12/05/2011)"/>
        <s v="Reebok International (Closed: 01/27/2006)"/>
        <s v="RH"/>
        <s v="Federated Investors (Closed: 05/18/2018)"/>
        <s v="Littelfuse"/>
        <s v="Titanium Metals (Closed: 01/07/2013)"/>
        <s v="Copart (Closed: 12/16/2011)"/>
        <s v="XPO Logistics"/>
        <s v="SVB Financial Group"/>
        <s v="Martha Stewart Living (Closed: 06/18/2004)"/>
        <s v="Buffalo Wild Wings (Closed: 02/02/2018)"/>
        <s v="HCA Healthcare"/>
        <s v="Zoom Video Communications"/>
        <s v="Cirrus Logic"/>
        <s v="Hyatt Hotels"/>
        <s v="LKQ"/>
        <s v="Interactive Data (Closed: 07/29/2010)"/>
        <s v="Amedisys (Closed: 08/13/2008)"/>
        <s v="Stamps.com"/>
        <s v="Sina and Weibo Corporate Action Details"/>
        <s v="Zayo Group"/>
        <s v="Genlyte (Closed: 11/30/2007)"/>
        <s v="Kensey Nash (Closed: 05/20/2005)"/>
        <s v="Ford (Closed: 01/10/2019)"/>
        <s v="BMW"/>
        <s v="Westinghouse Air Brake Technologies"/>
        <s v="Cubic (Closed: 02/21/2014)"/>
        <s v="Scotts Miracle-Gro (Closed: 12/20/2013)"/>
        <s v="Discovery (C shares)"/>
        <s v="John Wiley &amp; Sons (A Shares) (Closed: 12/16/2011)"/>
        <s v="Coventry Health Care (Closed: 09/21/2012)"/>
        <s v="Genesee &amp; Wyoming (Closed: 07/03/2019)"/>
        <s v="Becton, Dickinson"/>
        <s v="Darling Ingredients"/>
        <s v="Post Holdings (Closed: 04/20/2018)"/>
        <s v="Xoom (Closed: 11/06/2015)"/>
        <s v="Simpson Manufacturing (Closed: 12/20/2013)"/>
        <s v="Whole Foods Market (Closed: 05/05/2003)"/>
        <s v="Barr Pharmaceuticals (Closed: 07/29/2008)"/>
        <s v="Silicon Laboratories (Closed: 10/18/2013)"/>
        <s v="Hain Celestial (Closed: 06/21/2018)"/>
        <s v="Southwest Airlines (Closed: 10/18/2013)"/>
        <s v="Wix.com"/>
        <s v="7-Eleven, Inc. (Closed: 11/08/2005)"/>
        <s v="SolarEdge Technologies"/>
        <s v="Kinder Morgan"/>
        <s v="Cognizant Technology Solutions"/>
        <s v="Varonis Systems"/>
        <s v="Assurant (Closed: 12/17/2010)"/>
        <s v="GameStop (Closed: 02/19/2010)"/>
        <s v="Nintendo"/>
        <s v="Carter's"/>
        <s v="Zynga"/>
        <s v="Morningstar (Closed: 02/17/2015)"/>
        <s v="Tractor Supply"/>
        <s v="Mobile Mini"/>
        <s v="Amerigroup (Closed: 05/18/2007)"/>
        <s v="Time Warner (Closed: 06/20/2008)"/>
        <s v="Novo Nordisk"/>
        <s v="Air Methods (Closed: 04/19/2017)"/>
        <s v="Twilio"/>
        <s v="NOW Corporate Action Details"/>
        <s v="Zscaler"/>
        <s v="Daktronics (Closed: 05/20/2005)"/>
        <s v="Amgen"/>
        <s v="AT&amp;T (Closed: 12/16/2005)"/>
        <s v="InterDigital (Closed: 07/20/2012)"/>
        <s v="Altaba Inc (Closed: 02/01/2008)"/>
        <s v="II-VI"/>
        <s v="Jack Henry &amp; Associates"/>
        <s v="ARM Holdings (Closed: 06/19/2009)"/>
        <s v="Nucor"/>
        <s v="Axsys Technologies (Closed: 06/19/2009)"/>
        <s v="Grupo Aeroportuario del Pacifico"/>
        <s v="Arista Networks"/>
        <s v="LinkedIn (Closed: 06/15/2016)"/>
        <s v="Synopsys"/>
        <s v="Zebra Technologies"/>
        <s v="The Ensign Group (Closed: 09/17/2010)"/>
        <s v="Charles Schwab (Closed: 09/21/2012)"/>
        <s v="Strayer Education (Closed: 01/16/2009)"/>
        <s v="Websense (Closed: 07/21/2003)"/>
        <s v="Regis (Closed: 11/18/2005)"/>
        <s v="JD.com"/>
        <s v="Embraer Brazilian Aviation Co (Closed: 12/21/2018)"/>
        <s v="CVS Health"/>
        <s v="Waste Management"/>
        <s v="Nuance Communications (Closed: 06/26/2019)"/>
        <s v="Grand Canyon Education"/>
        <s v="Generac Holdings (Closed: 12/01/2017)"/>
        <s v="Amerco"/>
        <s v="Integra LifeSciences (Closed: 11/20/2009)"/>
        <s v="Palm (Closed: 04/18/2008)"/>
        <s v="Techne (Closed: 04/19/2013)"/>
        <s v="HubSpot"/>
        <s v="Neurocrine Biosciences"/>
        <s v="Blackboard (Closed: 06/17/2011)"/>
        <s v="Telkom Indonesia"/>
        <s v="DexCom"/>
        <s v="Spectrum Brands and Jefferies Financial Group Inc. Corporate Action Details"/>
        <s v="Coventry Health Care (Closed: 01/28/2005) Corporate Action Details"/>
        <s v="Luckin Coffee Inc."/>
        <s v="Best Buy (Closed: 06/17/2011)"/>
        <s v="Tibco Software (Closed: 12/05/2014)"/>
        <s v="Kennametal (Closed: 03/17/2015)"/>
        <s v="Netgear and Arlo Technologies Corporate Action Details"/>
        <s v="Union Pacific"/>
        <s v="Unit (Closed: 04/19/2013)"/>
        <s v="HealthEquity"/>
        <s v="Hill-Rom Holdings"/>
        <s v="Jefferies Group (Closed: 11/03/2011)"/>
        <s v="Hypercom (Closed: 05/20/2005)"/>
        <s v="Slack Technologies"/>
        <s v="Bed Bath &amp; Beyond (Closed: 07/10/2017)"/>
        <s v="hhgregg (Closed: 06/21/2013)"/>
        <s v="Bebe (Closed: 05/16/2008)"/>
        <s v="Accenture"/>
        <s v="Urban Outfitters (Closed: 10/28/2016)"/>
        <s v="Nice Systems"/>
        <s v="Biogen (Closed: 06/19/2009)"/>
        <s v="NOW and National Oilwell Varco (Closed: 06/02/2014) Corporate Action Details"/>
        <s v="Invitae"/>
        <s v="Stitch Fix"/>
        <s v="Natus Medical"/>
        <s v="3M"/>
        <s v="Value Line (Closed: 07/24/2009)"/>
        <s v="Talend"/>
        <s v="McAfee (Closed: 08/18/2006)"/>
        <s v="Alaska Air Group"/>
        <s v="Square"/>
        <s v="BJ's Restaurants"/>
        <s v="Resources Global (Closed: 04/18/2008)"/>
        <s v="Trex (Closed: 11/18/2005)"/>
        <s v="TripAdvisor (Closed: 04/17/2018)"/>
        <s v="Corporate Executive Board (Closed: 05/15/2009)"/>
        <s v="Tenet Healthcare (Closed: 07/11/2003)"/>
        <s v="SEI Investments (Closed: 12/16/2011)"/>
        <s v="NCR"/>
        <s v="Textron"/>
        <s v="Liquidity Services (Closed: 12/06/2019)"/>
        <s v="JetBlue Airways"/>
        <s v="TTM Technologies (Closed: 12/23/2014)"/>
        <s v="Western Alliance Bancorp"/>
        <s v="3D Systems"/>
        <s v="Gap (Closed: 01/16/2009)"/>
        <s v="TiVo Corporation (Closed: 06/15/2007)"/>
        <s v="Garmin (Closed: 12/19/2008)"/>
        <s v="Shuffle Master (Closed: 11/16/2007)"/>
        <s v="Charles Schwab (Closed: 08/31/2011) Corporate Action Details"/>
        <s v="Designer Brands Inc."/>
        <s v="Staples (Closed: 10/19/2012)"/>
        <s v="Dell (Closed: 04/18/2008)"/>
        <s v="Resources Global (Closed: 06/18/2010)"/>
        <s v="New Relic"/>
        <s v="TOM Online (Closed: 09/06/2007)"/>
        <s v="National Oilwell Varco (Closed: 04/05/2018)"/>
        <s v="Possis Medical (Closed: 05/20/2005)"/>
        <s v="Under Armour (C Shares) and Under Armour (A Shares) Corporate Action Details"/>
        <s v="Ollies Bargain Outlet Holdings"/>
        <s v="Electronic Arts (Closed: 12/17/2010)"/>
        <s v="Hawaiian Holdings"/>
        <s v="Double-Take Software (Closed: 04/16/2010)"/>
        <s v="Nordstrom"/>
        <s v="Caesarstone (Closed: 05/18/2018)"/>
        <s v="Sociedad Quimica y Minera (Closed: 11/01/2013)"/>
        <s v="American Eagle Outfitters (Closed: 12/19/2008)"/>
        <s v="Sierra Wireless"/>
        <s v="Ameresco (Closed: 07/20/2017)"/>
        <s v="Rosetta Stone (Closed: 05/06/2016)"/>
        <s v="iRobot "/>
        <s v="Nintendo (Closed: 03/15/2013)"/>
        <s v="Anheuser-Busch InBev NV"/>
        <s v="JetBlue Airways (Closed: 12/21/2007)"/>
        <s v="Cemex (Closed: 12/17/2010)"/>
        <s v="Umpqua Holdings (Closed: 07/02/2009)"/>
        <s v="LCA Vision (Closed: 11/08/2007)"/>
        <s v="BlackBerry"/>
        <s v="Affiliated Managers Group"/>
        <s v="Alkermes"/>
        <s v="Royal Caribbean (Closed: 12/19/2008)"/>
        <s v="Criteo"/>
        <s v="Mylan"/>
        <s v="Weibo and Sina Corporate Action Details"/>
        <s v="FireEye"/>
        <s v="Atwood Oceanics (Closed: 07/25/2017)"/>
        <s v="Bausch Health Companies (Closed: 02/07/2020)"/>
        <s v="Lions Gate Entertainment Corporation Class A and Lions Gate Entertainment Corporation Class B Corporate Action Details"/>
        <s v="Charlotte's Web"/>
        <s v="OneSpan Inc. (Closed: 09/16/2011)"/>
        <s v="Tivity Health, Inc. (Closed: 12/16/2011)"/>
        <s v="The Container Store Group (Closed: 07/29/2016)"/>
      </sharedItems>
    </cacheField>
    <cacheField name="Visible?" numFmtId="0">
      <sharedItems containsSemiMixedTypes="0" containsString="0" containsNumber="1" containsInteger="1" minValue="0" maxValue="1"/>
    </cacheField>
    <cacheField name="Dummy1" numFmtId="0">
      <sharedItems containsSemiMixedTypes="0" containsString="0" containsNumber="1" containsInteger="1" minValue="1" maxValue="1"/>
    </cacheField>
    <cacheField name="Ticker" numFmtId="0">
      <sharedItems count="298">
        <s v="NFLX"/>
        <s v="AMZN"/>
        <s v="BKNG"/>
        <s v="DIS"/>
        <s v="NVDA"/>
        <s v="ATVI"/>
        <s v="UNH"/>
        <s v="TSLA"/>
        <s v="CTAS"/>
        <s v="AAPL"/>
        <s v="SHOP"/>
        <s v="SHW"/>
        <s v="COST"/>
        <s v="ADBE"/>
        <s v="NXGN"/>
        <s v="PYPL EBAY"/>
        <s v="HAS"/>
        <s v="TDG"/>
        <s v="HEI"/>
        <s v="ILMN"/>
        <s v="MTCH"/>
        <s v="SAM"/>
        <s v="CGNX"/>
        <s v="DASTY"/>
        <s v="NKE"/>
        <s v="MA"/>
        <s v="GILD"/>
        <s v="INTU"/>
        <s v="SBUX"/>
        <s v="BWA"/>
        <s v="PEGA"/>
        <s v="SAFT"/>
        <s v="AGP.DL2"/>
        <s v="WSO"/>
        <s v="MSM"/>
        <s v="GOOGL GOOG"/>
        <s v="IBKR"/>
        <s v="OKTA"/>
        <s v="CNI"/>
        <s v="ENH"/>
        <s v="IDXX"/>
        <s v="PAYC"/>
        <s v="PCAR"/>
        <s v="TTD"/>
        <s v="BRK.B"/>
        <s v="AMG"/>
        <s v="MCK"/>
        <s v="PNRA"/>
        <s v="MTN"/>
        <s v="ULTA"/>
        <s v="LH"/>
        <s v="NATI"/>
        <s v="BEAM.DL"/>
        <s v="PETM.DL"/>
        <s v="SLAB"/>
        <s v="NYT"/>
        <s v="MASI"/>
        <s v="MCO"/>
        <s v="ITC"/>
        <s v="CBOE"/>
        <s v="GME"/>
        <s v="WFM"/>
        <s v="PCP.DL"/>
        <s v="MKC"/>
        <s v="DISCK"/>
        <s v="JEF"/>
        <s v="TBL.DL"/>
        <s v="LLTC"/>
        <s v="NDAQ"/>
        <s v="FDX"/>
        <s v="TPR"/>
        <s v="AFL"/>
        <s v="FTNT"/>
        <s v="TXRH"/>
        <s v="ODFL"/>
        <s v="VTIV.DL"/>
        <s v="FB"/>
        <s v="IT"/>
        <s v="SSNC.DL2"/>
        <s v="CMG"/>
        <s v="APPN"/>
        <s v="BCPC"/>
        <s v="DLB"/>
        <s v="NVT.DL2"/>
        <s v="CASY"/>
        <s v="QGEN"/>
        <s v="WDAY"/>
        <s v="CXW"/>
        <s v="WSM"/>
        <s v="GLW"/>
        <s v="ESRX"/>
        <s v="WWAV"/>
        <s v="FICO"/>
        <s v="TNC"/>
        <s v="ROP"/>
        <s v="CSX"/>
        <s v="OMTR.DL"/>
        <s v="KMX"/>
        <s v="RHI"/>
        <s v="TMUS"/>
        <s v="MTH"/>
        <s v="DWA"/>
        <s v="CMI"/>
        <s v="ROL"/>
        <s v="WETF"/>
        <s v="SAFM"/>
        <s v="GOOG"/>
        <s v="WU"/>
        <s v="MKL"/>
        <s v="CDWC.DL"/>
        <s v="TDC"/>
        <s v="EPC"/>
        <s v="FDO.DL"/>
        <s v="ECL"/>
        <s v="CME"/>
        <s v="RPM"/>
        <s v="MAR"/>
        <s v="PII"/>
        <s v="PPDI.DL"/>
        <s v="RBK.DL"/>
        <s v="RH"/>
        <s v="FII"/>
        <s v="LFUS"/>
        <s v="TIE.DL"/>
        <s v="CPRT"/>
        <s v="XPO"/>
        <s v="SIVB"/>
        <s v="MSO.DL"/>
        <s v="BWLD"/>
        <s v="HCA"/>
        <s v="ZM"/>
        <s v="CRUS"/>
        <s v="H"/>
        <s v="LKQ"/>
        <s v="IDC.DL2"/>
        <s v="AMED"/>
        <s v="STMP"/>
        <s v="SINA WB"/>
        <s v="ZAYO"/>
        <s v="GLYT.DL"/>
        <s v="KNSY.DL"/>
        <s v="F"/>
        <s v="BAMXF"/>
        <s v="WAB"/>
        <s v="CUB"/>
        <s v="SMG"/>
        <s v="JW.A"/>
        <s v="CVH.DL2"/>
        <s v="GWR"/>
        <s v="BDX"/>
        <s v="DAR"/>
        <s v="POST"/>
        <s v="XOOM.DL"/>
        <s v="SSD"/>
        <s v="BRL.DL"/>
        <s v="HAIN"/>
        <s v="LUV"/>
        <s v="WIX"/>
        <s v="SE-.DL"/>
        <s v="SEDG"/>
        <s v="KMI"/>
        <s v="CTSH"/>
        <s v="VRNS"/>
        <s v="AIZ"/>
        <s v="NTDOY"/>
        <s v="CRI"/>
        <s v="ZNGA"/>
        <s v="MORN"/>
        <s v="TSCO"/>
        <s v="MINI"/>
        <s v="TWX.DL"/>
        <s v="NVO"/>
        <s v="AIRM"/>
        <s v="TWLO"/>
        <s v="DNOW"/>
        <s v="ZS"/>
        <s v="DAKT"/>
        <s v="AMGN"/>
        <s v="T"/>
        <s v="IDCC"/>
        <s v="AABA"/>
        <s v="IIVI"/>
        <s v="JKHY"/>
        <s v="ARMH"/>
        <s v="NUE"/>
        <s v="AXYS.DL"/>
        <s v="PAC"/>
        <s v="ANET"/>
        <s v="LNKD.DL"/>
        <s v="SNPS"/>
        <s v="ZBRA"/>
        <s v="ENSG"/>
        <s v="SCHW"/>
        <s v="STRA"/>
        <s v="WBSN.DL"/>
        <s v="RGS"/>
        <s v="JD"/>
        <s v="ERJ"/>
        <s v="CVS"/>
        <s v="WM"/>
        <s v="NUAN"/>
        <s v="LOPE"/>
        <s v="GNRC"/>
        <s v="UHAL"/>
        <s v="IART"/>
        <s v="PALM.DL2"/>
        <s v="TECH"/>
        <s v="HUBS"/>
        <s v="NBIX"/>
        <s v="BBBB.DL"/>
        <s v="TLK"/>
        <s v="DXCM"/>
        <s v="SPB JEF"/>
        <s v="LK"/>
        <s v="BBY"/>
        <s v="TIBX.DL"/>
        <s v="KMT"/>
        <s v="NTGR ARLO"/>
        <s v="UNP"/>
        <s v="UNT"/>
        <s v="HQY"/>
        <s v="HRC"/>
        <s v="JEF.DL"/>
        <s v="HYC.DL2"/>
        <s v="WORK"/>
        <s v="BBBY"/>
        <s v="HGGGQ"/>
        <s v="BEBE"/>
        <s v="ACN"/>
        <s v="URBN"/>
        <s v="NICE"/>
        <s v="BIIB"/>
        <s v="DNOW NOV"/>
        <s v="NVTA"/>
        <s v="SFIX"/>
        <s v="NTUS"/>
        <s v="MMM"/>
        <s v="VALU"/>
        <s v="TLND"/>
        <s v="MFE.DL"/>
        <s v="ALK"/>
        <s v="SQ"/>
        <s v="BJRI"/>
        <s v="RECN"/>
        <s v="TREX"/>
        <s v="TRIP"/>
        <s v="CEB"/>
        <s v="THC"/>
        <s v="SEIC"/>
        <s v="NCR"/>
        <s v="TXT"/>
        <s v="LQDT"/>
        <s v="JBLU"/>
        <s v="TTMI"/>
        <s v="WAL"/>
        <s v="DDD"/>
        <s v="GPS"/>
        <s v="TIVO"/>
        <s v="GRMN"/>
        <s v="SHFL.DL"/>
        <s v="DBI"/>
        <s v="SPLS"/>
        <s v="DELL.DL"/>
        <s v="NEWR"/>
        <s v="TOMOY.DL"/>
        <s v="NOV"/>
        <s v="POSS.DL"/>
        <s v="UA UAA"/>
        <s v="OLLI"/>
        <s v="EA"/>
        <s v="HA"/>
        <s v="DBTK.DL"/>
        <s v="JWN"/>
        <s v="CSTE"/>
        <s v="SQM"/>
        <s v="AEO"/>
        <s v="SWIR"/>
        <s v="AMRC"/>
        <s v="RST"/>
        <s v="IRBT"/>
        <s v="BUD"/>
        <s v="CX"/>
        <s v="UMPQ"/>
        <s v="LCAV.DL"/>
        <s v="BB"/>
        <s v="ALKS"/>
        <s v="RCL"/>
        <s v="CRTO"/>
        <s v="MYL"/>
        <s v="WB SINA"/>
        <s v="FEYE"/>
        <s v="ATW"/>
        <s v="BHC"/>
        <s v="LGF.A LGF.B"/>
        <s v="CWBHF"/>
        <s v="OSPN"/>
        <s v="TVTY"/>
        <s v="TCS"/>
      </sharedItems>
    </cacheField>
    <cacheField name="Market Cap" numFmtId="0">
      <sharedItems containsBlank="1"/>
    </cacheField>
    <cacheField name="Team" numFmtId="0">
      <sharedItems/>
    </cacheField>
    <cacheField name="Risk" numFmtId="0">
      <sharedItems containsString="0" containsBlank="1" containsNumber="1" containsInteger="1" minValue="5" maxValue="20"/>
    </cacheField>
    <cacheField name="Adjusted Rec Price" numFmtId="0">
      <sharedItems containsMixedTypes="1" containsNumber="1" minValue="1.61" maxValue="1770.72"/>
    </cacheField>
    <cacheField name="Return" numFmtId="10">
      <sharedItems containsSemiMixedTypes="0" containsString="0" containsNumber="1" minValue="-0.86599999999999999" maxValue="185.85900000000001"/>
    </cacheField>
    <cacheField name="Log return" numFmtId="0">
      <sharedItems containsSemiMixedTypes="0" containsString="0" containsNumber="1" minValue="-0.87" maxValue="2.27"/>
    </cacheField>
    <cacheField name="Return Rank" numFmtId="0">
      <sharedItems containsSemiMixedTypes="0" containsString="0" containsNumber="1" containsInteger="1" minValue="10" maxValue="433"/>
    </cacheField>
    <cacheField name="David Return" numFmtId="10">
      <sharedItems containsMixedTypes="1" containsNumber="1" minValue="-0.86599999999999999" maxValue="185.85900000000001"/>
    </cacheField>
    <cacheField name="Tom Return" numFmtId="10">
      <sharedItems containsMixedTypes="1" containsNumber="1" minValue="-0.84199999999999997" maxValue="122.056"/>
    </cacheField>
    <cacheField name="S&amp;P Return" numFmtId="10">
      <sharedItems containsSemiMixedTypes="0" containsString="0" containsNumber="1" minValue="-0.40200000000000002" maxValue="3.6930000000000001"/>
    </cacheField>
    <cacheField name="S&amp;P David" numFmtId="10">
      <sharedItems containsMixedTypes="1" containsNumber="1" minValue="-0.40200000000000002" maxValue="3.6930000000000001"/>
    </cacheField>
    <cacheField name="S&amp;P Tom" numFmtId="10">
      <sharedItems containsMixedTypes="1" containsNumber="1" minValue="-0.38800000000000001" maxValue="3.39"/>
    </cacheField>
    <cacheField name="Difference Vs. S&amp;P Return" numFmtId="10">
      <sharedItems containsSemiMixedTypes="0" containsString="0" containsNumber="1" minValue="-3.5019999999999998" maxValue="183.70400000000001"/>
    </cacheField>
    <cacheField name="David Difference Vs. S&amp;P Return" numFmtId="10">
      <sharedItems containsMixedTypes="1" containsNumber="1" minValue="-3.5019999999999998" maxValue="183.70400000000001"/>
    </cacheField>
    <cacheField name="Tom Difference Vs. S&amp;P Return" numFmtId="10">
      <sharedItems containsMixedTypes="1" containsNumber="1" minValue="-1.9219999999999999" maxValue="120.709"/>
    </cacheField>
    <cacheField name="Improvement Vs. S&amp;P Return" numFmtId="10">
      <sharedItems containsSemiMixedTypes="0" containsString="0" containsNumber="1" minValue="-0.9" maxValue="58.2"/>
    </cacheField>
    <cacheField name="David Improvement Vs. S&amp;P Return" numFmtId="9">
      <sharedItems containsMixedTypes="1" containsNumber="1" minValue="-0.9" maxValue="58.2"/>
    </cacheField>
    <cacheField name="Tom Improvement Vs. S&amp;P Return" numFmtId="9">
      <sharedItems containsMixedTypes="1" containsNumber="1" minValue="-0.9" maxValue="5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K" refreshedDate="43901.913796759261" createdVersion="6" refreshedVersion="6" minRefreshableVersion="3" recordCount="434" xr:uid="{57EC37F1-D61B-E14E-B166-C02B09FBD30C}">
  <cacheSource type="worksheet">
    <worksheetSource name="Table1"/>
  </cacheSource>
  <cacheFields count="25">
    <cacheField name="Rec Date" numFmtId="14">
      <sharedItems containsSemiMixedTypes="0" containsNonDate="0" containsDate="1" containsString="0" minDate="2002-03-08T00:00:00" maxDate="2020-03-06T00:00:00"/>
    </cacheField>
    <cacheField name="Company" numFmtId="0">
      <sharedItems/>
    </cacheField>
    <cacheField name="Visible?" numFmtId="0">
      <sharedItems containsSemiMixedTypes="0" containsString="0" containsNumber="1" containsInteger="1" minValue="0" maxValue="1" count="2">
        <n v="0"/>
        <n v="1"/>
      </sharedItems>
    </cacheField>
    <cacheField name="Dummy1" numFmtId="0">
      <sharedItems containsSemiMixedTypes="0" containsString="0" containsNumber="1" containsInteger="1" minValue="1" maxValue="1"/>
    </cacheField>
    <cacheField name="Ticker" numFmtId="0">
      <sharedItems/>
    </cacheField>
    <cacheField name="Market Cap" numFmtId="0">
      <sharedItems containsBlank="1"/>
    </cacheField>
    <cacheField name="Team" numFmtId="0">
      <sharedItems/>
    </cacheField>
    <cacheField name="Risk" numFmtId="0">
      <sharedItems containsString="0" containsBlank="1" containsNumber="1" containsInteger="1" minValue="5" maxValue="20"/>
    </cacheField>
    <cacheField name="Adjusted Rec Price" numFmtId="0">
      <sharedItems containsMixedTypes="1" containsNumber="1" minValue="1.61" maxValue="1770.72"/>
    </cacheField>
    <cacheField name="Return" numFmtId="10">
      <sharedItems containsSemiMixedTypes="0" containsString="0" containsNumber="1" minValue="-0.95599999999999996" maxValue="185.85900000000001" count="412">
        <n v="185.85900000000001"/>
        <n v="147.52600000000001"/>
        <n v="122.056"/>
        <n v="116.61"/>
        <n v="105.753"/>
        <n v="88.433000000000007"/>
        <n v="63.436999999999998"/>
        <n v="56.753"/>
        <n v="36.47"/>
        <n v="34.948999999999998"/>
        <n v="34.591999999999999"/>
        <n v="20.847999999999999"/>
        <n v="18.096"/>
        <n v="17.276"/>
        <n v="14.853999999999999"/>
        <n v="13.349"/>
        <n v="12.504"/>
        <n v="12.302"/>
        <n v="11.943"/>
        <n v="11.246"/>
        <n v="10.602"/>
        <n v="10.182"/>
        <n v="10.074999999999999"/>
        <n v="9.14"/>
        <n v="9.0960000000000001"/>
        <n v="8.8960000000000008"/>
        <n v="8.3119999999999994"/>
        <n v="7.6760000000000002"/>
        <n v="7.5179999999999998"/>
        <n v="6.97"/>
        <n v="6.9119999999999999"/>
        <n v="6.3920000000000003"/>
        <n v="5.8579999999999997"/>
        <n v="5.8209999999999997"/>
        <n v="5.7460000000000004"/>
        <n v="5.702"/>
        <n v="5.1429999999999998"/>
        <n v="5.024"/>
        <n v="4.9340000000000002"/>
        <n v="4.923"/>
        <n v="4.7869999999999999"/>
        <n v="4.5579999999999998"/>
        <n v="4.5149999999999997"/>
        <n v="4.2380000000000004"/>
        <n v="3.8570000000000002"/>
        <n v="3.7690000000000001"/>
        <n v="3.7229999999999999"/>
        <n v="3.714"/>
        <n v="3.5"/>
        <n v="3.4769999999999999"/>
        <n v="3.3250000000000002"/>
        <n v="3.3220000000000001"/>
        <n v="3.2839999999999998"/>
        <n v="3.234"/>
        <n v="3.169"/>
        <n v="2.988"/>
        <n v="2.9870000000000001"/>
        <n v="2.9359999999999999"/>
        <n v="2.915"/>
        <n v="2.8580000000000001"/>
        <n v="2.851"/>
        <n v="2.7"/>
        <n v="2.694"/>
        <n v="2.6709999999999998"/>
        <n v="2.472"/>
        <n v="2.4260000000000002"/>
        <n v="2.4039999999999999"/>
        <n v="2.33"/>
        <n v="2.2989999999999999"/>
        <n v="2.2549999999999999"/>
        <n v="2.23"/>
        <n v="2.226"/>
        <n v="2.1890000000000001"/>
        <n v="2.125"/>
        <n v="2.0950000000000002"/>
        <n v="2.0819999999999999"/>
        <n v="2.073"/>
        <n v="2.0169999999999999"/>
        <n v="1.94"/>
        <n v="1.9379999999999999"/>
        <n v="1.9370000000000001"/>
        <n v="1.8959999999999999"/>
        <n v="1.8380000000000001"/>
        <n v="1.736"/>
        <n v="1.6919999999999999"/>
        <n v="1.6619999999999999"/>
        <n v="1.641"/>
        <n v="1.625"/>
        <n v="1.6040000000000001"/>
        <n v="1.5960000000000001"/>
        <n v="1.595"/>
        <n v="1.5840000000000001"/>
        <n v="1.542"/>
        <n v="1.5029999999999999"/>
        <n v="1.4810000000000001"/>
        <n v="1.427"/>
        <n v="1.39"/>
        <n v="1.3879999999999999"/>
        <n v="1.3859999999999999"/>
        <n v="1.371"/>
        <n v="1.359"/>
        <n v="1.357"/>
        <n v="1.3180000000000001"/>
        <n v="1.31"/>
        <n v="1.3049999999999999"/>
        <n v="1.2969999999999999"/>
        <n v="1.2609999999999999"/>
        <n v="1.26"/>
        <n v="1.258"/>
        <n v="1.236"/>
        <n v="1.204"/>
        <n v="1.1879999999999999"/>
        <n v="1.1639999999999999"/>
        <n v="1.139"/>
        <n v="1.1379999999999999"/>
        <n v="1.1359999999999999"/>
        <n v="1.1220000000000001"/>
        <n v="1.1140000000000001"/>
        <n v="1.099"/>
        <n v="1.0940000000000001"/>
        <n v="1.0780000000000001"/>
        <n v="1.071"/>
        <n v="1.07"/>
        <n v="1.0640000000000001"/>
        <n v="1.0569999999999999"/>
        <n v="1.0089999999999999"/>
        <n v="0.98599999999999999"/>
        <n v="0.98099999999999998"/>
        <n v="0.97199999999999998"/>
        <n v="0.97"/>
        <n v="0.94399999999999995"/>
        <n v="0.92300000000000004"/>
        <n v="0.89700000000000002"/>
        <n v="0.89"/>
        <n v="0.86299999999999999"/>
        <n v="0.85199999999999998"/>
        <n v="0.84199999999999997"/>
        <n v="0.81599999999999995"/>
        <n v="0.80500000000000005"/>
        <n v="0.80400000000000005"/>
        <n v="0.79600000000000004"/>
        <n v="0.77300000000000002"/>
        <n v="0.77"/>
        <n v="0.76700000000000002"/>
        <n v="0.75600000000000001"/>
        <n v="0.74199999999999999"/>
        <n v="0.74099999999999999"/>
        <n v="0.73399999999999999"/>
        <n v="0.73199999999999998"/>
        <n v="0.72899999999999998"/>
        <n v="0.72799999999999998"/>
        <n v="0.72599999999999998"/>
        <n v="0.69299999999999995"/>
        <n v="0.69099999999999995"/>
        <n v="0.68899999999999995"/>
        <n v="0.68799999999999994"/>
        <n v="0.65400000000000003"/>
        <n v="0.64700000000000002"/>
        <n v="0.61599999999999999"/>
        <n v="0.61099999999999999"/>
        <n v="0.6"/>
        <n v="0.59499999999999997"/>
        <n v="0.59199999999999997"/>
        <n v="0.58499999999999996"/>
        <n v="0.58199999999999996"/>
        <n v="0.57599999999999996"/>
        <n v="0.56499999999999995"/>
        <n v="0.56399999999999995"/>
        <n v="0.56299999999999994"/>
        <n v="0.54600000000000004"/>
        <n v="0.53900000000000003"/>
        <n v="0.51400000000000001"/>
        <n v="0.503"/>
        <n v="0.502"/>
        <n v="0.501"/>
        <n v="0.498"/>
        <n v="0.496"/>
        <n v="0.48099999999999998"/>
        <n v="0.48"/>
        <n v="0.46"/>
        <n v="0.45700000000000002"/>
        <n v="0.439"/>
        <n v="0.433"/>
        <n v="0.42899999999999999"/>
        <n v="0.42399999999999999"/>
        <n v="0.41299999999999998"/>
        <n v="0.41199999999999998"/>
        <n v="0.41"/>
        <n v="0.39800000000000002"/>
        <n v="0.39700000000000002"/>
        <n v="0.39100000000000001"/>
        <n v="0.38400000000000001"/>
        <n v="0.38200000000000001"/>
        <n v="0.372"/>
        <n v="0.36499999999999999"/>
        <n v="0.36399999999999999"/>
        <n v="0.36299999999999999"/>
        <n v="0.36199999999999999"/>
        <n v="0.36"/>
        <n v="0.35599999999999998"/>
        <n v="0.35399999999999998"/>
        <n v="0.34300000000000003"/>
        <n v="0.34200000000000003"/>
        <n v="0.33600000000000002"/>
        <n v="0.315"/>
        <n v="0.312"/>
        <n v="0.30599999999999999"/>
        <n v="0.29399999999999998"/>
        <n v="0.28999999999999998"/>
        <n v="0.28899999999999998"/>
        <n v="0.28299999999999997"/>
        <n v="0.28100000000000003"/>
        <n v="0.27900000000000003"/>
        <n v="0.27800000000000002"/>
        <n v="0.26800000000000002"/>
        <n v="0.25800000000000001"/>
        <n v="0.25600000000000001"/>
        <n v="0.254"/>
        <n v="0.25"/>
        <n v="0.249"/>
        <n v="0.24199999999999999"/>
        <n v="0.23899999999999999"/>
        <n v="0.23499999999999999"/>
        <n v="0.23"/>
        <n v="0.22500000000000001"/>
        <n v="0.224"/>
        <n v="0.22"/>
        <n v="0.217"/>
        <n v="0.21199999999999999"/>
        <n v="0.20300000000000001"/>
        <n v="0.2"/>
        <n v="0.19900000000000001"/>
        <n v="0.17699999999999999"/>
        <n v="0.17199999999999999"/>
        <n v="0.16900000000000001"/>
        <n v="0.16800000000000001"/>
        <n v="0.153"/>
        <n v="0.15"/>
        <n v="0.14599999999999999"/>
        <n v="0.14499999999999999"/>
        <n v="0.14399999999999999"/>
        <n v="0.128"/>
        <n v="0.126"/>
        <n v="0.123"/>
        <n v="0.122"/>
        <n v="0.112"/>
        <n v="0.111"/>
        <n v="0.11"/>
        <n v="0.108"/>
        <n v="9.6000000000000002E-2"/>
        <n v="9.1999999999999998E-2"/>
        <n v="9.0999999999999998E-2"/>
        <n v="8.4000000000000005E-2"/>
        <n v="7.6999999999999999E-2"/>
        <n v="7.3999999999999996E-2"/>
        <n v="7.0000000000000007E-2"/>
        <n v="6.9000000000000006E-2"/>
        <n v="6.6000000000000003E-2"/>
        <n v="0.06"/>
        <n v="4.9000000000000002E-2"/>
        <n v="3.6999999999999998E-2"/>
        <n v="3.5999999999999997E-2"/>
        <n v="2.9000000000000001E-2"/>
        <n v="2.3E-2"/>
        <n v="2.1000000000000001E-2"/>
        <n v="1.7999999999999999E-2"/>
        <n v="1.7000000000000001E-2"/>
        <n v="1.0999999999999999E-2"/>
        <n v="7.0000000000000001E-3"/>
        <n v="-6.0000000000000001E-3"/>
        <n v="-1.2999999999999999E-2"/>
        <n v="-2.1000000000000001E-2"/>
        <n v="-2.4E-2"/>
        <n v="-2.5999999999999999E-2"/>
        <n v="-2.8000000000000001E-2"/>
        <n v="-0.04"/>
        <n v="-4.4999999999999998E-2"/>
        <n v="-4.8000000000000001E-2"/>
        <n v="-5.0999999999999997E-2"/>
        <n v="-5.6000000000000001E-2"/>
        <n v="-6.2E-2"/>
        <n v="-7.0999999999999994E-2"/>
        <n v="-8.6999999999999994E-2"/>
        <n v="-9.1999999999999998E-2"/>
        <n v="-9.5000000000000001E-2"/>
        <n v="-0.108"/>
        <n v="-0.11899999999999999"/>
        <n v="-0.12"/>
        <n v="-0.122"/>
        <n v="-0.124"/>
        <n v="-0.125"/>
        <n v="-0.126"/>
        <n v="-0.13200000000000001"/>
        <n v="-0.13400000000000001"/>
        <n v="-0.13600000000000001"/>
        <n v="-0.14399999999999999"/>
        <n v="-0.15"/>
        <n v="-0.151"/>
        <n v="-0.16200000000000001"/>
        <n v="-0.16400000000000001"/>
        <n v="-0.16700000000000001"/>
        <n v="-0.17100000000000001"/>
        <n v="-0.17299999999999999"/>
        <n v="-0.17599999999999999"/>
        <n v="-0.193"/>
        <n v="-0.19400000000000001"/>
        <n v="-0.20100000000000001"/>
        <n v="-0.20200000000000001"/>
        <n v="-0.20899999999999999"/>
        <n v="-0.21099999999999999"/>
        <n v="-0.22800000000000001"/>
        <n v="-0.23899999999999999"/>
        <n v="-0.248"/>
        <n v="-0.26400000000000001"/>
        <n v="-0.27"/>
        <n v="-0.27300000000000002"/>
        <n v="-0.27400000000000002"/>
        <n v="-0.27700000000000002"/>
        <n v="-0.28199999999999997"/>
        <n v="-0.28299999999999997"/>
        <n v="-0.29299999999999998"/>
        <n v="-0.29599999999999999"/>
        <n v="-0.30099999999999999"/>
        <n v="-0.30299999999999999"/>
        <n v="-0.30399999999999999"/>
        <n v="-0.30499999999999999"/>
        <n v="-0.312"/>
        <n v="-0.317"/>
        <n v="-0.32400000000000001"/>
        <n v="-0.33"/>
        <n v="-0.33400000000000002"/>
        <n v="-0.33600000000000002"/>
        <n v="-0.33700000000000002"/>
        <n v="-0.34"/>
        <n v="-0.34200000000000003"/>
        <n v="-0.34399999999999997"/>
        <n v="-0.34799999999999998"/>
        <n v="-0.35299999999999998"/>
        <n v="-0.35399999999999998"/>
        <n v="-0.35799999999999998"/>
        <n v="-0.36"/>
        <n v="-0.36099999999999999"/>
        <n v="-0.36399999999999999"/>
        <n v="-0.37"/>
        <n v="-0.376"/>
        <n v="-0.379"/>
        <n v="-0.38200000000000001"/>
        <n v="-0.38600000000000001"/>
        <n v="-0.40100000000000002"/>
        <n v="-0.41299999999999998"/>
        <n v="-0.42599999999999999"/>
        <n v="-0.44400000000000001"/>
        <n v="-0.44600000000000001"/>
        <n v="-0.44800000000000001"/>
        <n v="-0.45"/>
        <n v="-0.45200000000000001"/>
        <n v="-0.45600000000000002"/>
        <n v="-0.45700000000000002"/>
        <n v="-0.46400000000000002"/>
        <n v="-0.46899999999999997"/>
        <n v="-0.48599999999999999"/>
        <n v="-0.501"/>
        <n v="-0.50700000000000001"/>
        <n v="-0.50800000000000001"/>
        <n v="-0.51"/>
        <n v="-0.51400000000000001"/>
        <n v="-0.52400000000000002"/>
        <n v="-0.53100000000000003"/>
        <n v="-0.53200000000000003"/>
        <n v="-0.54100000000000004"/>
        <n v="-0.54200000000000004"/>
        <n v="-0.55000000000000004"/>
        <n v="-0.57199999999999995"/>
        <n v="-0.57499999999999996"/>
        <n v="-0.59299999999999997"/>
        <n v="-0.60499999999999998"/>
        <n v="-0.60899999999999999"/>
        <n v="-0.626"/>
        <n v="-0.627"/>
        <n v="-0.63300000000000001"/>
        <n v="-0.64400000000000002"/>
        <n v="-0.64600000000000002"/>
        <n v="-0.64800000000000002"/>
        <n v="-0.65400000000000003"/>
        <n v="-0.66900000000000004"/>
        <n v="-0.67100000000000004"/>
        <n v="-0.69099999999999995"/>
        <n v="-0.71299999999999997"/>
        <n v="-0.72099999999999997"/>
        <n v="-0.72299999999999998"/>
        <n v="-0.72399999999999998"/>
        <n v="-0.72899999999999998"/>
        <n v="-0.74"/>
        <n v="-0.751"/>
        <n v="-0.76100000000000001"/>
        <n v="-0.76700000000000002"/>
        <n v="-0.77400000000000002"/>
        <n v="-0.78800000000000003"/>
        <n v="-0.79300000000000004"/>
        <n v="-0.83499999999999996"/>
        <n v="-0.84199999999999997"/>
        <n v="-0.86599999999999999"/>
        <n v="-0.88"/>
        <n v="-0.88300000000000001"/>
        <n v="-0.89300000000000002"/>
        <n v="-0.89700000000000002"/>
        <n v="-0.90100000000000002"/>
        <n v="-0.91500000000000004"/>
        <n v="-0.92700000000000005"/>
        <n v="-0.92800000000000005"/>
        <n v="-0.94"/>
        <n v="-0.95599999999999996"/>
      </sharedItems>
      <fieldGroup base="9">
        <rangePr autoStart="0" autoEnd="0" startNum="-1" endNum="186" groupInterval="0.1"/>
        <groupItems count="1872">
          <s v="&lt;-1"/>
          <s v="-1--0.9"/>
          <s v="-0.9--0.8"/>
          <s v="-0.8--0.7"/>
          <s v="-0.7--0.6"/>
          <s v="-0.6--0.5"/>
          <s v="-0.5--0.4"/>
          <s v="-0.4--0.3"/>
          <s v="-0.3--0.2"/>
          <s v="-0.2--0.1"/>
          <s v="-0.1-2.77555756156289E-17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1-1.1"/>
          <s v="1.1-1.2"/>
          <s v="1.2-1.3"/>
          <s v="1.3-1.4"/>
          <s v="1.4-1.5"/>
          <s v="1.5-1.6"/>
          <s v="1.6-1.7"/>
          <s v="1.7-1.8"/>
          <s v="1.8-1.9"/>
          <s v="1.9-2"/>
          <s v="2-2.1"/>
          <s v="2.1-2.2"/>
          <s v="2.2-2.3"/>
          <s v="2.3-2.4"/>
          <s v="2.4-2.5"/>
          <s v="2.5-2.6"/>
          <s v="2.6-2.7"/>
          <s v="2.7-2.8"/>
          <s v="2.8-2.9"/>
          <s v="2.9-3"/>
          <s v="3-3.1"/>
          <s v="3.1-3.2"/>
          <s v="3.2-3.3"/>
          <s v="3.3-3.4"/>
          <s v="3.4-3.5"/>
          <s v="3.5-3.6"/>
          <s v="3.6-3.7"/>
          <s v="3.7-3.8"/>
          <s v="3.8-3.9"/>
          <s v="3.9-4"/>
          <s v="4-4.1"/>
          <s v="4.1-4.2"/>
          <s v="4.2-4.3"/>
          <s v="4.3-4.4"/>
          <s v="4.4-4.5"/>
          <s v="4.5-4.6"/>
          <s v="4.6-4.7"/>
          <s v="4.7-4.8"/>
          <s v="4.8-4.9"/>
          <s v="4.9-5"/>
          <s v="5-5.1"/>
          <s v="5.1-5.2"/>
          <s v="5.2-5.3"/>
          <s v="5.3-5.4"/>
          <s v="5.4-5.5"/>
          <s v="5.5-5.6"/>
          <s v="5.6-5.7"/>
          <s v="5.7-5.8"/>
          <s v="5.8-5.9"/>
          <s v="5.9-6"/>
          <s v="6-6.1"/>
          <s v="6.1-6.2"/>
          <s v="6.2-6.3"/>
          <s v="6.3-6.4"/>
          <s v="6.4-6.5"/>
          <s v="6.5-6.6"/>
          <s v="6.6-6.7"/>
          <s v="6.7-6.8"/>
          <s v="6.8-6.9"/>
          <s v="6.9-7"/>
          <s v="7-7.1"/>
          <s v="7.1-7.2"/>
          <s v="7.2-7.3"/>
          <s v="7.3-7.4"/>
          <s v="7.4-7.5"/>
          <s v="7.5-7.6"/>
          <s v="7.6-7.7"/>
          <s v="7.7-7.8"/>
          <s v="7.8-7.9"/>
          <s v="7.9-8"/>
          <s v="8-8.1"/>
          <s v="8.1-8.2"/>
          <s v="8.2-8.3"/>
          <s v="8.3-8.4"/>
          <s v="8.4-8.5"/>
          <s v="8.5-8.6"/>
          <s v="8.6-8.7"/>
          <s v="8.7-8.8"/>
          <s v="8.8-8.9"/>
          <s v="8.9-9"/>
          <s v="9-9.1"/>
          <s v="9.1-9.2"/>
          <s v="9.2-9.3"/>
          <s v="9.3-9.4"/>
          <s v="9.4-9.5"/>
          <s v="9.5-9.6"/>
          <s v="9.6-9.7"/>
          <s v="9.7-9.8"/>
          <s v="9.8-9.9"/>
          <s v="9.9-10"/>
          <s v="10-10.1"/>
          <s v="10.1-10.2"/>
          <s v="10.2-10.3"/>
          <s v="10.3-10.4"/>
          <s v="10.4-10.5"/>
          <s v="10.5-10.6"/>
          <s v="10.6-10.7"/>
          <s v="10.7-10.8"/>
          <s v="10.8-10.9"/>
          <s v="10.9-11"/>
          <s v="11-11.1"/>
          <s v="11.1-11.2"/>
          <s v="11.2-11.3"/>
          <s v="11.3-11.4"/>
          <s v="11.4-11.5"/>
          <s v="11.5-11.6"/>
          <s v="11.6-11.7"/>
          <s v="11.7-11.8"/>
          <s v="11.8-11.9"/>
          <s v="11.9-12"/>
          <s v="12-12.1"/>
          <s v="12.1-12.2"/>
          <s v="12.2-12.3"/>
          <s v="12.3-12.4"/>
          <s v="12.4-12.5"/>
          <s v="12.5-12.6"/>
          <s v="12.6-12.7"/>
          <s v="12.7-12.8"/>
          <s v="12.8-12.9"/>
          <s v="12.9-13"/>
          <s v="13-13.1"/>
          <s v="13.1-13.2"/>
          <s v="13.2-13.3"/>
          <s v="13.3-13.4"/>
          <s v="13.4-13.5"/>
          <s v="13.5-13.6"/>
          <s v="13.6-13.7"/>
          <s v="13.7-13.8"/>
          <s v="13.8-13.9"/>
          <s v="13.9-14"/>
          <s v="14-14.1"/>
          <s v="14.1-14.2"/>
          <s v="14.2-14.3"/>
          <s v="14.3-14.4"/>
          <s v="14.4-14.5"/>
          <s v="14.5-14.6"/>
          <s v="14.6-14.7"/>
          <s v="14.7-14.8"/>
          <s v="14.8-14.9"/>
          <s v="14.9-15"/>
          <s v="15-15.1"/>
          <s v="15.1-15.2"/>
          <s v="15.2-15.3"/>
          <s v="15.3-15.4"/>
          <s v="15.4-15.5"/>
          <s v="15.5-15.6"/>
          <s v="15.6-15.7"/>
          <s v="15.7-15.8"/>
          <s v="15.8-15.9"/>
          <s v="15.9-16"/>
          <s v="16-16.1"/>
          <s v="16.1-16.2"/>
          <s v="16.2-16.3"/>
          <s v="16.3-16.4"/>
          <s v="16.4-16.5"/>
          <s v="16.5-16.6"/>
          <s v="16.6-16.7"/>
          <s v="16.7-16.8"/>
          <s v="16.8-16.9"/>
          <s v="16.9-17"/>
          <s v="17-17.1"/>
          <s v="17.1-17.2"/>
          <s v="17.2-17.3"/>
          <s v="17.3-17.4"/>
          <s v="17.4-17.5"/>
          <s v="17.5-17.6"/>
          <s v="17.6-17.7"/>
          <s v="17.7-17.8"/>
          <s v="17.8-17.9"/>
          <s v="17.9-18"/>
          <s v="18-18.1"/>
          <s v="18.1-18.2"/>
          <s v="18.2-18.3"/>
          <s v="18.3-18.4"/>
          <s v="18.4-18.5"/>
          <s v="18.5-18.6"/>
          <s v="18.6-18.7"/>
          <s v="18.7-18.8"/>
          <s v="18.8-18.9"/>
          <s v="18.9-19"/>
          <s v="19-19.1"/>
          <s v="19.1-19.2"/>
          <s v="19.2-19.3"/>
          <s v="19.3-19.4"/>
          <s v="19.4-19.5"/>
          <s v="19.5-19.6"/>
          <s v="19.6-19.7"/>
          <s v="19.7-19.8"/>
          <s v="19.8-19.9"/>
          <s v="19.9-20"/>
          <s v="20-20.1"/>
          <s v="20.1-20.2"/>
          <s v="20.2-20.3"/>
          <s v="20.3-20.4"/>
          <s v="20.4-20.5"/>
          <s v="20.5-20.6"/>
          <s v="20.6-20.7"/>
          <s v="20.7-20.8"/>
          <s v="20.8-20.9"/>
          <s v="20.9-21"/>
          <s v="21-21.1"/>
          <s v="21.1-21.2"/>
          <s v="21.2-21.3"/>
          <s v="21.3-21.4"/>
          <s v="21.4-21.5"/>
          <s v="21.5-21.6"/>
          <s v="21.6-21.7"/>
          <s v="21.7-21.8"/>
          <s v="21.8-21.9"/>
          <s v="21.9-22"/>
          <s v="22-22.1"/>
          <s v="22.1-22.2"/>
          <s v="22.2-22.3"/>
          <s v="22.3-22.4"/>
          <s v="22.4-22.5"/>
          <s v="22.5-22.6"/>
          <s v="22.6-22.7"/>
          <s v="22.7-22.8"/>
          <s v="22.8-22.9"/>
          <s v="22.9-23"/>
          <s v="23-23.1"/>
          <s v="23.1-23.2"/>
          <s v="23.2-23.3"/>
          <s v="23.3-23.4"/>
          <s v="23.4-23.5"/>
          <s v="23.5-23.6"/>
          <s v="23.6-23.7"/>
          <s v="23.7-23.8"/>
          <s v="23.8-23.9"/>
          <s v="23.9-24"/>
          <s v="24-24.1"/>
          <s v="24.1-24.2"/>
          <s v="24.2-24.3"/>
          <s v="24.3-24.4"/>
          <s v="24.4-24.5"/>
          <s v="24.5-24.6"/>
          <s v="24.6-24.7"/>
          <s v="24.7-24.8"/>
          <s v="24.8-24.9"/>
          <s v="24.9-25"/>
          <s v="25-25.1"/>
          <s v="25.1-25.2"/>
          <s v="25.2-25.3"/>
          <s v="25.3-25.4"/>
          <s v="25.4-25.5"/>
          <s v="25.5-25.6"/>
          <s v="25.6-25.7"/>
          <s v="25.7-25.8"/>
          <s v="25.8-25.9"/>
          <s v="25.9-26"/>
          <s v="26-26.1"/>
          <s v="26.1-26.2"/>
          <s v="26.2-26.3"/>
          <s v="26.3-26.4"/>
          <s v="26.4-26.5"/>
          <s v="26.5-26.6"/>
          <s v="26.6-26.7"/>
          <s v="26.7-26.8"/>
          <s v="26.8-26.9"/>
          <s v="26.9-27"/>
          <s v="27-27.1"/>
          <s v="27.1-27.2"/>
          <s v="27.2-27.3"/>
          <s v="27.3-27.4"/>
          <s v="27.4-27.5"/>
          <s v="27.5-27.6"/>
          <s v="27.6-27.7"/>
          <s v="27.7-27.8"/>
          <s v="27.8-27.9"/>
          <s v="27.9-28"/>
          <s v="28-28.1"/>
          <s v="28.1-28.2"/>
          <s v="28.2-28.3"/>
          <s v="28.3-28.4"/>
          <s v="28.4-28.5"/>
          <s v="28.5-28.6"/>
          <s v="28.6-28.7"/>
          <s v="28.7-28.8"/>
          <s v="28.8-28.9"/>
          <s v="28.9-29"/>
          <s v="29-29.1"/>
          <s v="29.1-29.2"/>
          <s v="29.2-29.3"/>
          <s v="29.3-29.4"/>
          <s v="29.4-29.5"/>
          <s v="29.5-29.6"/>
          <s v="29.6-29.7"/>
          <s v="29.7-29.8"/>
          <s v="29.8-29.9"/>
          <s v="29.9-30"/>
          <s v="30-30.1"/>
          <s v="30.1-30.2"/>
          <s v="30.2-30.3"/>
          <s v="30.3-30.4"/>
          <s v="30.4-30.5"/>
          <s v="30.5-30.6"/>
          <s v="30.6-30.7"/>
          <s v="30.7-30.8"/>
          <s v="30.8-30.9"/>
          <s v="30.9-31"/>
          <s v="31-31.1"/>
          <s v="31.1-31.2"/>
          <s v="31.2-31.3"/>
          <s v="31.3-31.4"/>
          <s v="31.4-31.5"/>
          <s v="31.5-31.6"/>
          <s v="31.6-31.7"/>
          <s v="31.7-31.8"/>
          <s v="31.8-31.9"/>
          <s v="31.9-32"/>
          <s v="32-32.1"/>
          <s v="32.1-32.2"/>
          <s v="32.2-32.3"/>
          <s v="32.3-32.4"/>
          <s v="32.4-32.5"/>
          <s v="32.5-32.6"/>
          <s v="32.6-32.7"/>
          <s v="32.7-32.8"/>
          <s v="32.8-32.9"/>
          <s v="32.9-33"/>
          <s v="33-33.1"/>
          <s v="33.1-33.2"/>
          <s v="33.2-33.3"/>
          <s v="33.3-33.4"/>
          <s v="33.4-33.5"/>
          <s v="33.5-33.6"/>
          <s v="33.6-33.7"/>
          <s v="33.7-33.8"/>
          <s v="33.8-33.9"/>
          <s v="33.9-34"/>
          <s v="34-34.1"/>
          <s v="34.1-34.2"/>
          <s v="34.2-34.3"/>
          <s v="34.3-34.4"/>
          <s v="34.4-34.5"/>
          <s v="34.5-34.6"/>
          <s v="34.6-34.7"/>
          <s v="34.7-34.8"/>
          <s v="34.8-34.9"/>
          <s v="34.9-35"/>
          <s v="35-35.1"/>
          <s v="35.1-35.2"/>
          <s v="35.2-35.3"/>
          <s v="35.3-35.4"/>
          <s v="35.4-35.5"/>
          <s v="35.5-35.6"/>
          <s v="35.6-35.7"/>
          <s v="35.7-35.8"/>
          <s v="35.8-35.9"/>
          <s v="35.9-36"/>
          <s v="36-36.1"/>
          <s v="36.1-36.2"/>
          <s v="36.2-36.3"/>
          <s v="36.3-36.4"/>
          <s v="36.4-36.5"/>
          <s v="36.5-36.6"/>
          <s v="36.6-36.7"/>
          <s v="36.7-36.8"/>
          <s v="36.8-36.9"/>
          <s v="36.9-37"/>
          <s v="37-37.1"/>
          <s v="37.1-37.2"/>
          <s v="37.2-37.3"/>
          <s v="37.3-37.4"/>
          <s v="37.4-37.5"/>
          <s v="37.5-37.6"/>
          <s v="37.6-37.7"/>
          <s v="37.7-37.8"/>
          <s v="37.8-37.9"/>
          <s v="37.9-38"/>
          <s v="38-38.1"/>
          <s v="38.1-38.2"/>
          <s v="38.2-38.3"/>
          <s v="38.3-38.4"/>
          <s v="38.4-38.5"/>
          <s v="38.5-38.6"/>
          <s v="38.6-38.7"/>
          <s v="38.7-38.8"/>
          <s v="38.8-38.9"/>
          <s v="38.9-39"/>
          <s v="39-39.1"/>
          <s v="39.1-39.2"/>
          <s v="39.2-39.3"/>
          <s v="39.3-39.4"/>
          <s v="39.4-39.5"/>
          <s v="39.5-39.6"/>
          <s v="39.6-39.7"/>
          <s v="39.7-39.8"/>
          <s v="39.8-39.9"/>
          <s v="39.9-40"/>
          <s v="40-40.1"/>
          <s v="40.1-40.2"/>
          <s v="40.2-40.3"/>
          <s v="40.3-40.4"/>
          <s v="40.4-40.5"/>
          <s v="40.5-40.6"/>
          <s v="40.6-40.7"/>
          <s v="40.7-40.8"/>
          <s v="40.8-40.9"/>
          <s v="40.9-41"/>
          <s v="41-41.1"/>
          <s v="41.1-41.2"/>
          <s v="41.2-41.3"/>
          <s v="41.3-41.4"/>
          <s v="41.4-41.5"/>
          <s v="41.5-41.6"/>
          <s v="41.6-41.7"/>
          <s v="41.7-41.8"/>
          <s v="41.8-41.9"/>
          <s v="41.9-42"/>
          <s v="42-42.1"/>
          <s v="42.1-42.2"/>
          <s v="42.2-42.3"/>
          <s v="42.3-42.4"/>
          <s v="42.4-42.5"/>
          <s v="42.5-42.6"/>
          <s v="42.6-42.7"/>
          <s v="42.7-42.8"/>
          <s v="42.8-42.9"/>
          <s v="42.9-43"/>
          <s v="43-43.1"/>
          <s v="43.1-43.2"/>
          <s v="43.2-43.3"/>
          <s v="43.3-43.4"/>
          <s v="43.4-43.5"/>
          <s v="43.5-43.6"/>
          <s v="43.6-43.7"/>
          <s v="43.7-43.8"/>
          <s v="43.8-43.9"/>
          <s v="43.9-44"/>
          <s v="44-44.1"/>
          <s v="44.1-44.2"/>
          <s v="44.2-44.3"/>
          <s v="44.3-44.4"/>
          <s v="44.4-44.5"/>
          <s v="44.5-44.6"/>
          <s v="44.6-44.7"/>
          <s v="44.7-44.8"/>
          <s v="44.8-44.9"/>
          <s v="44.9-45"/>
          <s v="45-45.1"/>
          <s v="45.1-45.2"/>
          <s v="45.2-45.3"/>
          <s v="45.3-45.4"/>
          <s v="45.4-45.5"/>
          <s v="45.5-45.6"/>
          <s v="45.6-45.7"/>
          <s v="45.7-45.8"/>
          <s v="45.8-45.9"/>
          <s v="45.9-46"/>
          <s v="46-46.1"/>
          <s v="46.1-46.2"/>
          <s v="46.2-46.3"/>
          <s v="46.3-46.4"/>
          <s v="46.4-46.5"/>
          <s v="46.5-46.6"/>
          <s v="46.6-46.7"/>
          <s v="46.7-46.8"/>
          <s v="46.8-46.9"/>
          <s v="46.9-47"/>
          <s v="47-47.1"/>
          <s v="47.1-47.2"/>
          <s v="47.2-47.3"/>
          <s v="47.3-47.4"/>
          <s v="47.4-47.5"/>
          <s v="47.5-47.6"/>
          <s v="47.6-47.7"/>
          <s v="47.7-47.8"/>
          <s v="47.8-47.9"/>
          <s v="47.9-48"/>
          <s v="48-48.1"/>
          <s v="48.1-48.2"/>
          <s v="48.2-48.3"/>
          <s v="48.3-48.4"/>
          <s v="48.4-48.5"/>
          <s v="48.5-48.6"/>
          <s v="48.6-48.7"/>
          <s v="48.7-48.8"/>
          <s v="48.8-48.9"/>
          <s v="48.9-49"/>
          <s v="49-49.1"/>
          <s v="49.1-49.2"/>
          <s v="49.2-49.3"/>
          <s v="49.3-49.4"/>
          <s v="49.4-49.5"/>
          <s v="49.5-49.6"/>
          <s v="49.6-49.7"/>
          <s v="49.7-49.8"/>
          <s v="49.8-49.9"/>
          <s v="49.9-50"/>
          <s v="50-50.1"/>
          <s v="50.1-50.2"/>
          <s v="50.2-50.3"/>
          <s v="50.3-50.4"/>
          <s v="50.4-50.5"/>
          <s v="50.5-50.6"/>
          <s v="50.6-50.7"/>
          <s v="50.7-50.8"/>
          <s v="50.8-50.9"/>
          <s v="50.9-51"/>
          <s v="51-51.1"/>
          <s v="51.1-51.2"/>
          <s v="51.2-51.3"/>
          <s v="51.3-51.4"/>
          <s v="51.4-51.5"/>
          <s v="51.5-51.6"/>
          <s v="51.6-51.7"/>
          <s v="51.7-51.8"/>
          <s v="51.8-51.9"/>
          <s v="51.9-52"/>
          <s v="52-52.1"/>
          <s v="52.1-52.2"/>
          <s v="52.2-52.3"/>
          <s v="52.3-52.4"/>
          <s v="52.4-52.5"/>
          <s v="52.5-52.6"/>
          <s v="52.6-52.7"/>
          <s v="52.7-52.8"/>
          <s v="52.8-52.9"/>
          <s v="52.9-53"/>
          <s v="53-53.1"/>
          <s v="53.1-53.2"/>
          <s v="53.2-53.3"/>
          <s v="53.3-53.4"/>
          <s v="53.4-53.5"/>
          <s v="53.5-53.6"/>
          <s v="53.6-53.7"/>
          <s v="53.7-53.8"/>
          <s v="53.8-53.9"/>
          <s v="53.9-54"/>
          <s v="54-54.1"/>
          <s v="54.1-54.2"/>
          <s v="54.2-54.3"/>
          <s v="54.3-54.4"/>
          <s v="54.4-54.5"/>
          <s v="54.5-54.6"/>
          <s v="54.6-54.7"/>
          <s v="54.7-54.8"/>
          <s v="54.8-54.9"/>
          <s v="54.9-55"/>
          <s v="55-55.1"/>
          <s v="55.1-55.2"/>
          <s v="55.2-55.3"/>
          <s v="55.3-55.4"/>
          <s v="55.4-55.5"/>
          <s v="55.5-55.6"/>
          <s v="55.6-55.7"/>
          <s v="55.7-55.8"/>
          <s v="55.8-55.9"/>
          <s v="55.9-56"/>
          <s v="56-56.1"/>
          <s v="56.1-56.2"/>
          <s v="56.2-56.3"/>
          <s v="56.3-56.4"/>
          <s v="56.4-56.5"/>
          <s v="56.5-56.6"/>
          <s v="56.6-56.7"/>
          <s v="56.7-56.8"/>
          <s v="56.8-56.9"/>
          <s v="56.9-57"/>
          <s v="57-57.1"/>
          <s v="57.1-57.2"/>
          <s v="57.2-57.3"/>
          <s v="57.3-57.4"/>
          <s v="57.4-57.5"/>
          <s v="57.5-57.6"/>
          <s v="57.6-57.7"/>
          <s v="57.7-57.8"/>
          <s v="57.8-57.9"/>
          <s v="57.9-58"/>
          <s v="58-58.1"/>
          <s v="58.1-58.2"/>
          <s v="58.2-58.3"/>
          <s v="58.3-58.4"/>
          <s v="58.4-58.5"/>
          <s v="58.5-58.6"/>
          <s v="58.6-58.7"/>
          <s v="58.7-58.8"/>
          <s v="58.8-58.9"/>
          <s v="58.9-59"/>
          <s v="59-59.1"/>
          <s v="59.1-59.2"/>
          <s v="59.2-59.3"/>
          <s v="59.3-59.4"/>
          <s v="59.4-59.5"/>
          <s v="59.5-59.6"/>
          <s v="59.6-59.7"/>
          <s v="59.7-59.8"/>
          <s v="59.8-59.9"/>
          <s v="59.9-60"/>
          <s v="60-60.1"/>
          <s v="60.1-60.2"/>
          <s v="60.2-60.3"/>
          <s v="60.3-60.4"/>
          <s v="60.4-60.5"/>
          <s v="60.5-60.6"/>
          <s v="60.6-60.7"/>
          <s v="60.7-60.8"/>
          <s v="60.8-60.9"/>
          <s v="60.9-61"/>
          <s v="61-61.1"/>
          <s v="61.1-61.2"/>
          <s v="61.2-61.3"/>
          <s v="61.3-61.4"/>
          <s v="61.4-61.5"/>
          <s v="61.5-61.6"/>
          <s v="61.6-61.7"/>
          <s v="61.7-61.8"/>
          <s v="61.8-61.9"/>
          <s v="61.9-62"/>
          <s v="62-62.1"/>
          <s v="62.1-62.2"/>
          <s v="62.2-62.3"/>
          <s v="62.3-62.4"/>
          <s v="62.4-62.5"/>
          <s v="62.5-62.6"/>
          <s v="62.6-62.7"/>
          <s v="62.7-62.8"/>
          <s v="62.8-62.9"/>
          <s v="62.9-63"/>
          <s v="63-63.1"/>
          <s v="63.1-63.2"/>
          <s v="63.2-63.3"/>
          <s v="63.3-63.4"/>
          <s v="63.4-63.5"/>
          <s v="63.5-63.6"/>
          <s v="63.6-63.7"/>
          <s v="63.7-63.8"/>
          <s v="63.8-63.9"/>
          <s v="63.9-64"/>
          <s v="64-64.1"/>
          <s v="64.1-64.2"/>
          <s v="64.2-64.3"/>
          <s v="64.3-64.4"/>
          <s v="64.4-64.5"/>
          <s v="64.5-64.6"/>
          <s v="64.6-64.7"/>
          <s v="64.7-64.8"/>
          <s v="64.8-64.9"/>
          <s v="64.9-65"/>
          <s v="65-65.1"/>
          <s v="65.1-65.2"/>
          <s v="65.2-65.3"/>
          <s v="65.3-65.4"/>
          <s v="65.4-65.5"/>
          <s v="65.5-65.6"/>
          <s v="65.6-65.7"/>
          <s v="65.7-65.8"/>
          <s v="65.8-65.9"/>
          <s v="65.9-66"/>
          <s v="66-66.1"/>
          <s v="66.1-66.2"/>
          <s v="66.2-66.3"/>
          <s v="66.3-66.4"/>
          <s v="66.4-66.5"/>
          <s v="66.5-66.6"/>
          <s v="66.6-66.7"/>
          <s v="66.7-66.8"/>
          <s v="66.8-66.9"/>
          <s v="66.9-67"/>
          <s v="67-67.1"/>
          <s v="67.1-67.2"/>
          <s v="67.2-67.3"/>
          <s v="67.3-67.4"/>
          <s v="67.4-67.5"/>
          <s v="67.5-67.6"/>
          <s v="67.6-67.7"/>
          <s v="67.7-67.8"/>
          <s v="67.8-67.9"/>
          <s v="67.9-68"/>
          <s v="68-68.1"/>
          <s v="68.1-68.2"/>
          <s v="68.2-68.3"/>
          <s v="68.3-68.4"/>
          <s v="68.4-68.5"/>
          <s v="68.5-68.6"/>
          <s v="68.6-68.7"/>
          <s v="68.7-68.8"/>
          <s v="68.8-68.9"/>
          <s v="68.9-69"/>
          <s v="69-69.1"/>
          <s v="69.1-69.2"/>
          <s v="69.2-69.3"/>
          <s v="69.3-69.4"/>
          <s v="69.4-69.5"/>
          <s v="69.5-69.6"/>
          <s v="69.6-69.7"/>
          <s v="69.7-69.8"/>
          <s v="69.8-69.9"/>
          <s v="69.9-70"/>
          <s v="70-70.1"/>
          <s v="70.1-70.2"/>
          <s v="70.2-70.3"/>
          <s v="70.3-70.4"/>
          <s v="70.4-70.5"/>
          <s v="70.5-70.6"/>
          <s v="70.6-70.7"/>
          <s v="70.7-70.8"/>
          <s v="70.8-70.9"/>
          <s v="70.9-71"/>
          <s v="71-71.1"/>
          <s v="71.1-71.2"/>
          <s v="71.2-71.3"/>
          <s v="71.3-71.4"/>
          <s v="71.4-71.5"/>
          <s v="71.5-71.6"/>
          <s v="71.6-71.7"/>
          <s v="71.7-71.8"/>
          <s v="71.8-71.9"/>
          <s v="71.9-72"/>
          <s v="72-72.1"/>
          <s v="72.1-72.2"/>
          <s v="72.2-72.3"/>
          <s v="72.3-72.4"/>
          <s v="72.4-72.5"/>
          <s v="72.5-72.6"/>
          <s v="72.6-72.7"/>
          <s v="72.7-72.8"/>
          <s v="72.8-72.9"/>
          <s v="72.9-73"/>
          <s v="73-73.1"/>
          <s v="73.1-73.2"/>
          <s v="73.2-73.3"/>
          <s v="73.3-73.4"/>
          <s v="73.4-73.5"/>
          <s v="73.5-73.6"/>
          <s v="73.6-73.7"/>
          <s v="73.7-73.8"/>
          <s v="73.8-73.9"/>
          <s v="73.9-74"/>
          <s v="74-74.1"/>
          <s v="74.1-74.2"/>
          <s v="74.2-74.3"/>
          <s v="74.3-74.4"/>
          <s v="74.4-74.5"/>
          <s v="74.5-74.6"/>
          <s v="74.6-74.7"/>
          <s v="74.7-74.8"/>
          <s v="74.8-74.9"/>
          <s v="74.9-75"/>
          <s v="75-75.1"/>
          <s v="75.1-75.2"/>
          <s v="75.2-75.3"/>
          <s v="75.3-75.4"/>
          <s v="75.4-75.5"/>
          <s v="75.5-75.6"/>
          <s v="75.6-75.7"/>
          <s v="75.7-75.8"/>
          <s v="75.8-75.9"/>
          <s v="75.9-76"/>
          <s v="76-76.1"/>
          <s v="76.1-76.2"/>
          <s v="76.2-76.3"/>
          <s v="76.3-76.4"/>
          <s v="76.4-76.5"/>
          <s v="76.5-76.6"/>
          <s v="76.6-76.7"/>
          <s v="76.7-76.8"/>
          <s v="76.8-76.9"/>
          <s v="76.9-77"/>
          <s v="77-77.1"/>
          <s v="77.1-77.2"/>
          <s v="77.2-77.3"/>
          <s v="77.3-77.4"/>
          <s v="77.4-77.5"/>
          <s v="77.5-77.6"/>
          <s v="77.6-77.7"/>
          <s v="77.7-77.8"/>
          <s v="77.8-77.9"/>
          <s v="77.9-78"/>
          <s v="78-78.1"/>
          <s v="78.1-78.2"/>
          <s v="78.2-78.3"/>
          <s v="78.3-78.4"/>
          <s v="78.4-78.5"/>
          <s v="78.5-78.6"/>
          <s v="78.6-78.7"/>
          <s v="78.7-78.8"/>
          <s v="78.8-78.9"/>
          <s v="78.9-79"/>
          <s v="79-79.1"/>
          <s v="79.1-79.2"/>
          <s v="79.2-79.3"/>
          <s v="79.3-79.4"/>
          <s v="79.4-79.5"/>
          <s v="79.5-79.6"/>
          <s v="79.6-79.7"/>
          <s v="79.7-79.8"/>
          <s v="79.8-79.9"/>
          <s v="79.9-80"/>
          <s v="80-80.1"/>
          <s v="80.1-80.2"/>
          <s v="80.2-80.3"/>
          <s v="80.3-80.4"/>
          <s v="80.4-80.5"/>
          <s v="80.5-80.6"/>
          <s v="80.6-80.7"/>
          <s v="80.7-80.8"/>
          <s v="80.8-80.9"/>
          <s v="80.9-81"/>
          <s v="81-81.1"/>
          <s v="81.1-81.2"/>
          <s v="81.2-81.3"/>
          <s v="81.3-81.4"/>
          <s v="81.4-81.5"/>
          <s v="81.5-81.6"/>
          <s v="81.6-81.7"/>
          <s v="81.7-81.8"/>
          <s v="81.8-81.9"/>
          <s v="81.9-82"/>
          <s v="82-82.1"/>
          <s v="82.1-82.2"/>
          <s v="82.2-82.3"/>
          <s v="82.3-82.4"/>
          <s v="82.4-82.5"/>
          <s v="82.5-82.6"/>
          <s v="82.6-82.7"/>
          <s v="82.7-82.8"/>
          <s v="82.8-82.9"/>
          <s v="82.9-83"/>
          <s v="83-83.1"/>
          <s v="83.1-83.2"/>
          <s v="83.2-83.3"/>
          <s v="83.3-83.4"/>
          <s v="83.4-83.5"/>
          <s v="83.5-83.6"/>
          <s v="83.6-83.7"/>
          <s v="83.7-83.8"/>
          <s v="83.8-83.9"/>
          <s v="83.9-84"/>
          <s v="84-84.1"/>
          <s v="84.1-84.2"/>
          <s v="84.2-84.3"/>
          <s v="84.3-84.4"/>
          <s v="84.4-84.5"/>
          <s v="84.5-84.6"/>
          <s v="84.6-84.7"/>
          <s v="84.7-84.8"/>
          <s v="84.8-84.9"/>
          <s v="84.9-85"/>
          <s v="85-85.1"/>
          <s v="85.1-85.2"/>
          <s v="85.2-85.3"/>
          <s v="85.3-85.4"/>
          <s v="85.4-85.5"/>
          <s v="85.5-85.6"/>
          <s v="85.6-85.7"/>
          <s v="85.7-85.8"/>
          <s v="85.8-85.9"/>
          <s v="85.9-86"/>
          <s v="86-86.1"/>
          <s v="86.1-86.2"/>
          <s v="86.2-86.3"/>
          <s v="86.3-86.4"/>
          <s v="86.4-86.5"/>
          <s v="86.5-86.6"/>
          <s v="86.6-86.7"/>
          <s v="86.7-86.8"/>
          <s v="86.8-86.9"/>
          <s v="86.9-87"/>
          <s v="87-87.1"/>
          <s v="87.1-87.2"/>
          <s v="87.2-87.3"/>
          <s v="87.3-87.4"/>
          <s v="87.4-87.5"/>
          <s v="87.5-87.6"/>
          <s v="87.6-87.7"/>
          <s v="87.7-87.8"/>
          <s v="87.8-87.9"/>
          <s v="87.9-88"/>
          <s v="88-88.1"/>
          <s v="88.1-88.2"/>
          <s v="88.2-88.3"/>
          <s v="88.3-88.4"/>
          <s v="88.4-88.5"/>
          <s v="88.5-88.6"/>
          <s v="88.6-88.7"/>
          <s v="88.7-88.8"/>
          <s v="88.8-88.9"/>
          <s v="88.9-89"/>
          <s v="89-89.1"/>
          <s v="89.1-89.2"/>
          <s v="89.2-89.3"/>
          <s v="89.3-89.4"/>
          <s v="89.4-89.5"/>
          <s v="89.5-89.6"/>
          <s v="89.6-89.7"/>
          <s v="89.7-89.8"/>
          <s v="89.8-89.9"/>
          <s v="89.9-90"/>
          <s v="90-90.1"/>
          <s v="90.1-90.2"/>
          <s v="90.2-90.3"/>
          <s v="90.3-90.4"/>
          <s v="90.4-90.5"/>
          <s v="90.5-90.6"/>
          <s v="90.6-90.7"/>
          <s v="90.7-90.8"/>
          <s v="90.8-90.9"/>
          <s v="90.9-91"/>
          <s v="91-91.1"/>
          <s v="91.1-91.2"/>
          <s v="91.2-91.3"/>
          <s v="91.3-91.4"/>
          <s v="91.4-91.5"/>
          <s v="91.5-91.6"/>
          <s v="91.6-91.7"/>
          <s v="91.7-91.8"/>
          <s v="91.8-91.9"/>
          <s v="91.9-92"/>
          <s v="92-92.1"/>
          <s v="92.1-92.2"/>
          <s v="92.2-92.3"/>
          <s v="92.3-92.4"/>
          <s v="92.4-92.5"/>
          <s v="92.5-92.6"/>
          <s v="92.6-92.7"/>
          <s v="92.7-92.8"/>
          <s v="92.8-92.9"/>
          <s v="92.9-93"/>
          <s v="93-93.1"/>
          <s v="93.1-93.2"/>
          <s v="93.2-93.3"/>
          <s v="93.3-93.4"/>
          <s v="93.4-93.5"/>
          <s v="93.5-93.6"/>
          <s v="93.6-93.7"/>
          <s v="93.7-93.8"/>
          <s v="93.8-93.9"/>
          <s v="93.9-94"/>
          <s v="94-94.1"/>
          <s v="94.1-94.2"/>
          <s v="94.2-94.3"/>
          <s v="94.3-94.4"/>
          <s v="94.4-94.5"/>
          <s v="94.5-94.6"/>
          <s v="94.6-94.7"/>
          <s v="94.7-94.8"/>
          <s v="94.8-94.9"/>
          <s v="94.9-95"/>
          <s v="95-95.1"/>
          <s v="95.1-95.2"/>
          <s v="95.2-95.3"/>
          <s v="95.3-95.4"/>
          <s v="95.4-95.5"/>
          <s v="95.5-95.6"/>
          <s v="95.6-95.7"/>
          <s v="95.7-95.8"/>
          <s v="95.8-95.9"/>
          <s v="95.9-96"/>
          <s v="96-96.1"/>
          <s v="96.1-96.2"/>
          <s v="96.2-96.3"/>
          <s v="96.3-96.4"/>
          <s v="96.4-96.5"/>
          <s v="96.5-96.6"/>
          <s v="96.6-96.7"/>
          <s v="96.7-96.8"/>
          <s v="96.8-96.9"/>
          <s v="96.9-97"/>
          <s v="97-97.1"/>
          <s v="97.1-97.2"/>
          <s v="97.2-97.3"/>
          <s v="97.3-97.4"/>
          <s v="97.4-97.5"/>
          <s v="97.5-97.6"/>
          <s v="97.6-97.7"/>
          <s v="97.7-97.8"/>
          <s v="97.8-97.9"/>
          <s v="97.9-98"/>
          <s v="98-98.1"/>
          <s v="98.1-98.2"/>
          <s v="98.2-98.3"/>
          <s v="98.3-98.4"/>
          <s v="98.4-98.5"/>
          <s v="98.5-98.6"/>
          <s v="98.6-98.7"/>
          <s v="98.7-98.8"/>
          <s v="98.8-98.9"/>
          <s v="98.9-99"/>
          <s v="99-99.1"/>
          <s v="99.1-99.2"/>
          <s v="99.2-99.3"/>
          <s v="99.3-99.4"/>
          <s v="99.4-99.5"/>
          <s v="99.5-99.6"/>
          <s v="99.6-99.7"/>
          <s v="99.7-99.8"/>
          <s v="99.8-99.9"/>
          <s v="99.9-100"/>
          <s v="100-100.1"/>
          <s v="100.1-100.2"/>
          <s v="100.2-100.3"/>
          <s v="100.3-100.4"/>
          <s v="100.4-100.5"/>
          <s v="100.5-100.6"/>
          <s v="100.6-100.7"/>
          <s v="100.7-100.8"/>
          <s v="100.8-100.9"/>
          <s v="100.9-101"/>
          <s v="101-101.1"/>
          <s v="101.1-101.2"/>
          <s v="101.2-101.3"/>
          <s v="101.3-101.4"/>
          <s v="101.4-101.5"/>
          <s v="101.5-101.6"/>
          <s v="101.6-101.7"/>
          <s v="101.7-101.8"/>
          <s v="101.8-101.9"/>
          <s v="101.9-102"/>
          <s v="102-102.1"/>
          <s v="102.1-102.2"/>
          <s v="102.2-102.3"/>
          <s v="102.3-102.4"/>
          <s v="102.4-102.5"/>
          <s v="102.5-102.6"/>
          <s v="102.6-102.7"/>
          <s v="102.7-102.8"/>
          <s v="102.8-102.9"/>
          <s v="102.9-103"/>
          <s v="103-103.1"/>
          <s v="103.1-103.2"/>
          <s v="103.2-103.3"/>
          <s v="103.3-103.4"/>
          <s v="103.4-103.5"/>
          <s v="103.5-103.6"/>
          <s v="103.6-103.7"/>
          <s v="103.7-103.8"/>
          <s v="103.8-103.9"/>
          <s v="103.9-104"/>
          <s v="104-104.1"/>
          <s v="104.1-104.2"/>
          <s v="104.2-104.3"/>
          <s v="104.3-104.4"/>
          <s v="104.4-104.5"/>
          <s v="104.5-104.6"/>
          <s v="104.6-104.7"/>
          <s v="104.7-104.8"/>
          <s v="104.8-104.9"/>
          <s v="104.9-105"/>
          <s v="105-105.1"/>
          <s v="105.1-105.2"/>
          <s v="105.2-105.3"/>
          <s v="105.3-105.4"/>
          <s v="105.4-105.5"/>
          <s v="105.5-105.6"/>
          <s v="105.6-105.7"/>
          <s v="105.7-105.8"/>
          <s v="105.8-105.9"/>
          <s v="105.9-106"/>
          <s v="106-106.1"/>
          <s v="106.1-106.2"/>
          <s v="106.2-106.3"/>
          <s v="106.3-106.4"/>
          <s v="106.4-106.5"/>
          <s v="106.5-106.6"/>
          <s v="106.6-106.7"/>
          <s v="106.7-106.8"/>
          <s v="106.8-106.9"/>
          <s v="106.9-107"/>
          <s v="107-107.1"/>
          <s v="107.1-107.2"/>
          <s v="107.2-107.3"/>
          <s v="107.3-107.4"/>
          <s v="107.4-107.5"/>
          <s v="107.5-107.6"/>
          <s v="107.6-107.7"/>
          <s v="107.7-107.8"/>
          <s v="107.8-107.9"/>
          <s v="107.9-108"/>
          <s v="108-108.1"/>
          <s v="108.1-108.2"/>
          <s v="108.2-108.3"/>
          <s v="108.3-108.4"/>
          <s v="108.4-108.5"/>
          <s v="108.5-108.6"/>
          <s v="108.6-108.7"/>
          <s v="108.7-108.8"/>
          <s v="108.8-108.9"/>
          <s v="108.9-109"/>
          <s v="109-109.1"/>
          <s v="109.1-109.2"/>
          <s v="109.2-109.3"/>
          <s v="109.3-109.4"/>
          <s v="109.4-109.5"/>
          <s v="109.5-109.6"/>
          <s v="109.6-109.7"/>
          <s v="109.7-109.8"/>
          <s v="109.8-109.9"/>
          <s v="109.9-110"/>
          <s v="110-110.1"/>
          <s v="110.1-110.2"/>
          <s v="110.2-110.3"/>
          <s v="110.3-110.4"/>
          <s v="110.4-110.5"/>
          <s v="110.5-110.6"/>
          <s v="110.6-110.7"/>
          <s v="110.7-110.8"/>
          <s v="110.8-110.9"/>
          <s v="110.9-111"/>
          <s v="111-111.1"/>
          <s v="111.1-111.2"/>
          <s v="111.2-111.3"/>
          <s v="111.3-111.4"/>
          <s v="111.4-111.5"/>
          <s v="111.5-111.6"/>
          <s v="111.6-111.7"/>
          <s v="111.7-111.8"/>
          <s v="111.8-111.9"/>
          <s v="111.9-112"/>
          <s v="112-112.1"/>
          <s v="112.1-112.2"/>
          <s v="112.2-112.3"/>
          <s v="112.3-112.4"/>
          <s v="112.4-112.5"/>
          <s v="112.5-112.6"/>
          <s v="112.6-112.7"/>
          <s v="112.7-112.8"/>
          <s v="112.8-112.9"/>
          <s v="112.9-113"/>
          <s v="113-113.1"/>
          <s v="113.1-113.2"/>
          <s v="113.2-113.3"/>
          <s v="113.3-113.4"/>
          <s v="113.4-113.5"/>
          <s v="113.5-113.6"/>
          <s v="113.6-113.7"/>
          <s v="113.7-113.8"/>
          <s v="113.8-113.9"/>
          <s v="113.9-114"/>
          <s v="114-114.1"/>
          <s v="114.1-114.2"/>
          <s v="114.2-114.3"/>
          <s v="114.3-114.4"/>
          <s v="114.4-114.5"/>
          <s v="114.5-114.6"/>
          <s v="114.6-114.7"/>
          <s v="114.7-114.8"/>
          <s v="114.8-114.9"/>
          <s v="114.9-115"/>
          <s v="115-115.1"/>
          <s v="115.1-115.2"/>
          <s v="115.2-115.3"/>
          <s v="115.3-115.4"/>
          <s v="115.4-115.5"/>
          <s v="115.5-115.6"/>
          <s v="115.6-115.7"/>
          <s v="115.7-115.8"/>
          <s v="115.8-115.9"/>
          <s v="115.9-116"/>
          <s v="116-116.1"/>
          <s v="116.1-116.2"/>
          <s v="116.2-116.3"/>
          <s v="116.3-116.4"/>
          <s v="116.4-116.5"/>
          <s v="116.5-116.6"/>
          <s v="116.6-116.7"/>
          <s v="116.7-116.8"/>
          <s v="116.8-116.9"/>
          <s v="116.9-117"/>
          <s v="117-117.1"/>
          <s v="117.1-117.2"/>
          <s v="117.2-117.3"/>
          <s v="117.3-117.4"/>
          <s v="117.4-117.5"/>
          <s v="117.5-117.6"/>
          <s v="117.6-117.7"/>
          <s v="117.7-117.8"/>
          <s v="117.8-117.9"/>
          <s v="117.9-118"/>
          <s v="118-118.1"/>
          <s v="118.1-118.2"/>
          <s v="118.2-118.3"/>
          <s v="118.3-118.4"/>
          <s v="118.4-118.5"/>
          <s v="118.5-118.6"/>
          <s v="118.6-118.7"/>
          <s v="118.7-118.8"/>
          <s v="118.8-118.9"/>
          <s v="118.9-119"/>
          <s v="119-119.1"/>
          <s v="119.1-119.2"/>
          <s v="119.2-119.3"/>
          <s v="119.3-119.4"/>
          <s v="119.4-119.5"/>
          <s v="119.5-119.6"/>
          <s v="119.6-119.7"/>
          <s v="119.7-119.8"/>
          <s v="119.8-119.9"/>
          <s v="119.9-120"/>
          <s v="120-120.1"/>
          <s v="120.1-120.2"/>
          <s v="120.2-120.3"/>
          <s v="120.3-120.4"/>
          <s v="120.4-120.5"/>
          <s v="120.5-120.6"/>
          <s v="120.6-120.7"/>
          <s v="120.7-120.8"/>
          <s v="120.8-120.9"/>
          <s v="120.9-121"/>
          <s v="121-121.1"/>
          <s v="121.1-121.2"/>
          <s v="121.2-121.3"/>
          <s v="121.3-121.4"/>
          <s v="121.4-121.5"/>
          <s v="121.5-121.6"/>
          <s v="121.6-121.7"/>
          <s v="121.7-121.8"/>
          <s v="121.8-121.9"/>
          <s v="121.9-122"/>
          <s v="122-122.1"/>
          <s v="122.1-122.2"/>
          <s v="122.2-122.3"/>
          <s v="122.3-122.4"/>
          <s v="122.4-122.5"/>
          <s v="122.5-122.6"/>
          <s v="122.6-122.7"/>
          <s v="122.7-122.8"/>
          <s v="122.8-122.9"/>
          <s v="122.9-123"/>
          <s v="123-123.1"/>
          <s v="123.1-123.2"/>
          <s v="123.2-123.3"/>
          <s v="123.3-123.4"/>
          <s v="123.4-123.5"/>
          <s v="123.5-123.6"/>
          <s v="123.6-123.7"/>
          <s v="123.7-123.8"/>
          <s v="123.8-123.9"/>
          <s v="123.9-124"/>
          <s v="124-124.1"/>
          <s v="124.1-124.2"/>
          <s v="124.2-124.3"/>
          <s v="124.3-124.4"/>
          <s v="124.4-124.5"/>
          <s v="124.5-124.6"/>
          <s v="124.6-124.7"/>
          <s v="124.7-124.8"/>
          <s v="124.8-124.9"/>
          <s v="124.9-125"/>
          <s v="125-125.1"/>
          <s v="125.1-125.2"/>
          <s v="125.2-125.3"/>
          <s v="125.3-125.4"/>
          <s v="125.4-125.5"/>
          <s v="125.5-125.6"/>
          <s v="125.6-125.7"/>
          <s v="125.7-125.8"/>
          <s v="125.8-125.9"/>
          <s v="125.9-126"/>
          <s v="126-126.1"/>
          <s v="126.1-126.2"/>
          <s v="126.2-126.3"/>
          <s v="126.3-126.4"/>
          <s v="126.4-126.5"/>
          <s v="126.5-126.6"/>
          <s v="126.6-126.7"/>
          <s v="126.7-126.8"/>
          <s v="126.8-126.9"/>
          <s v="126.9-127"/>
          <s v="127-127.1"/>
          <s v="127.1-127.2"/>
          <s v="127.2-127.3"/>
          <s v="127.3-127.4"/>
          <s v="127.4-127.5"/>
          <s v="127.5-127.6"/>
          <s v="127.6-127.7"/>
          <s v="127.7-127.8"/>
          <s v="127.8-127.9"/>
          <s v="127.9-128"/>
          <s v="128-128.1"/>
          <s v="128.1-128.2"/>
          <s v="128.2-128.3"/>
          <s v="128.3-128.4"/>
          <s v="128.4-128.5"/>
          <s v="128.5-128.6"/>
          <s v="128.6-128.7"/>
          <s v="128.7-128.8"/>
          <s v="128.8-128.9"/>
          <s v="128.9-129"/>
          <s v="129-129.1"/>
          <s v="129.1-129.2"/>
          <s v="129.2-129.3"/>
          <s v="129.3-129.4"/>
          <s v="129.4-129.5"/>
          <s v="129.5-129.6"/>
          <s v="129.6-129.7"/>
          <s v="129.7-129.8"/>
          <s v="129.8-129.9"/>
          <s v="129.9-130"/>
          <s v="130-130.1"/>
          <s v="130.1-130.2"/>
          <s v="130.2-130.3"/>
          <s v="130.3-130.4"/>
          <s v="130.4-130.5"/>
          <s v="130.5-130.6"/>
          <s v="130.6-130.7"/>
          <s v="130.7-130.8"/>
          <s v="130.8-130.9"/>
          <s v="130.9-131"/>
          <s v="131-131.1"/>
          <s v="131.1-131.2"/>
          <s v="131.2-131.3"/>
          <s v="131.3-131.4"/>
          <s v="131.4-131.5"/>
          <s v="131.5-131.6"/>
          <s v="131.6-131.7"/>
          <s v="131.7-131.8"/>
          <s v="131.8-131.9"/>
          <s v="131.9-132"/>
          <s v="132-132.1"/>
          <s v="132.1-132.2"/>
          <s v="132.2-132.3"/>
          <s v="132.3-132.4"/>
          <s v="132.4-132.5"/>
          <s v="132.5-132.6"/>
          <s v="132.6-132.7"/>
          <s v="132.7-132.8"/>
          <s v="132.8-132.9"/>
          <s v="132.9-133"/>
          <s v="133-133.1"/>
          <s v="133.1-133.2"/>
          <s v="133.2-133.3"/>
          <s v="133.3-133.4"/>
          <s v="133.4-133.5"/>
          <s v="133.5-133.6"/>
          <s v="133.6-133.7"/>
          <s v="133.7-133.8"/>
          <s v="133.8-133.9"/>
          <s v="133.9-134"/>
          <s v="134-134.1"/>
          <s v="134.1-134.2"/>
          <s v="134.2-134.3"/>
          <s v="134.3-134.4"/>
          <s v="134.4-134.5"/>
          <s v="134.5-134.6"/>
          <s v="134.6-134.7"/>
          <s v="134.7-134.8"/>
          <s v="134.8-134.9"/>
          <s v="134.9-135"/>
          <s v="135-135.1"/>
          <s v="135.1-135.2"/>
          <s v="135.2-135.3"/>
          <s v="135.3-135.4"/>
          <s v="135.4-135.5"/>
          <s v="135.5-135.6"/>
          <s v="135.6-135.7"/>
          <s v="135.7-135.8"/>
          <s v="135.8-135.9"/>
          <s v="135.9-136"/>
          <s v="136-136.1"/>
          <s v="136.1-136.2"/>
          <s v="136.2-136.3"/>
          <s v="136.3-136.4"/>
          <s v="136.4-136.5"/>
          <s v="136.5-136.6"/>
          <s v="136.6-136.7"/>
          <s v="136.7-136.8"/>
          <s v="136.8-136.9"/>
          <s v="136.9-137"/>
          <s v="137-137.1"/>
          <s v="137.1-137.2"/>
          <s v="137.2-137.3"/>
          <s v="137.3-137.4"/>
          <s v="137.4-137.5"/>
          <s v="137.5-137.6"/>
          <s v="137.6-137.7"/>
          <s v="137.7-137.8"/>
          <s v="137.8-137.9"/>
          <s v="137.9-138"/>
          <s v="138-138.1"/>
          <s v="138.1-138.2"/>
          <s v="138.2-138.3"/>
          <s v="138.3-138.4"/>
          <s v="138.4-138.5"/>
          <s v="138.5-138.6"/>
          <s v="138.6-138.7"/>
          <s v="138.7-138.8"/>
          <s v="138.8-138.9"/>
          <s v="138.9-139"/>
          <s v="139-139.1"/>
          <s v="139.1-139.2"/>
          <s v="139.2-139.3"/>
          <s v="139.3-139.4"/>
          <s v="139.4-139.5"/>
          <s v="139.5-139.6"/>
          <s v="139.6-139.7"/>
          <s v="139.7-139.8"/>
          <s v="139.8-139.9"/>
          <s v="139.9-140"/>
          <s v="140-140.1"/>
          <s v="140.1-140.2"/>
          <s v="140.2-140.3"/>
          <s v="140.3-140.4"/>
          <s v="140.4-140.5"/>
          <s v="140.5-140.6"/>
          <s v="140.6-140.7"/>
          <s v="140.7-140.8"/>
          <s v="140.8-140.9"/>
          <s v="140.9-141"/>
          <s v="141-141.1"/>
          <s v="141.1-141.2"/>
          <s v="141.2-141.3"/>
          <s v="141.3-141.4"/>
          <s v="141.4-141.5"/>
          <s v="141.5-141.6"/>
          <s v="141.6-141.7"/>
          <s v="141.7-141.8"/>
          <s v="141.8-141.9"/>
          <s v="141.9-142"/>
          <s v="142-142.1"/>
          <s v="142.1-142.2"/>
          <s v="142.2-142.3"/>
          <s v="142.3-142.4"/>
          <s v="142.4-142.5"/>
          <s v="142.5-142.6"/>
          <s v="142.6-142.7"/>
          <s v="142.7-142.8"/>
          <s v="142.8-142.9"/>
          <s v="142.9-143"/>
          <s v="143-143.1"/>
          <s v="143.1-143.2"/>
          <s v="143.2-143.3"/>
          <s v="143.3-143.4"/>
          <s v="143.4-143.5"/>
          <s v="143.5-143.6"/>
          <s v="143.6-143.7"/>
          <s v="143.7-143.8"/>
          <s v="143.8-143.9"/>
          <s v="143.9-144"/>
          <s v="144-144.1"/>
          <s v="144.1-144.2"/>
          <s v="144.2-144.3"/>
          <s v="144.3-144.4"/>
          <s v="144.4-144.5"/>
          <s v="144.5-144.6"/>
          <s v="144.6-144.7"/>
          <s v="144.7-144.8"/>
          <s v="144.8-144.9"/>
          <s v="144.9-145"/>
          <s v="145-145.1"/>
          <s v="145.1-145.2"/>
          <s v="145.2-145.3"/>
          <s v="145.3-145.4"/>
          <s v="145.4-145.5"/>
          <s v="145.5-145.6"/>
          <s v="145.6-145.7"/>
          <s v="145.7-145.8"/>
          <s v="145.8-145.9"/>
          <s v="145.9-146"/>
          <s v="146-146.1"/>
          <s v="146.1-146.2"/>
          <s v="146.2-146.3"/>
          <s v="146.3-146.4"/>
          <s v="146.4-146.5"/>
          <s v="146.5-146.6"/>
          <s v="146.6-146.7"/>
          <s v="146.7-146.8"/>
          <s v="146.8-146.9"/>
          <s v="146.9-147"/>
          <s v="147-147.1"/>
          <s v="147.1-147.2"/>
          <s v="147.2-147.3"/>
          <s v="147.3-147.4"/>
          <s v="147.4-147.5"/>
          <s v="147.5-147.6"/>
          <s v="147.6-147.7"/>
          <s v="147.7-147.8"/>
          <s v="147.8-147.9"/>
          <s v="147.9-148"/>
          <s v="148-148.1"/>
          <s v="148.1-148.2"/>
          <s v="148.2-148.3"/>
          <s v="148.3-148.4"/>
          <s v="148.4-148.5"/>
          <s v="148.5-148.6"/>
          <s v="148.6-148.7"/>
          <s v="148.7-148.8"/>
          <s v="148.8-148.9"/>
          <s v="148.9-149"/>
          <s v="149-149.1"/>
          <s v="149.1-149.2"/>
          <s v="149.2-149.3"/>
          <s v="149.3-149.4"/>
          <s v="149.4-149.5"/>
          <s v="149.5-149.6"/>
          <s v="149.6-149.7"/>
          <s v="149.7-149.8"/>
          <s v="149.8-149.9"/>
          <s v="149.9-150"/>
          <s v="150-150.1"/>
          <s v="150.1-150.2"/>
          <s v="150.2-150.3"/>
          <s v="150.3-150.4"/>
          <s v="150.4-150.5"/>
          <s v="150.5-150.6"/>
          <s v="150.6-150.7"/>
          <s v="150.7-150.8"/>
          <s v="150.8-150.9"/>
          <s v="150.9-151"/>
          <s v="151-151.1"/>
          <s v="151.1-151.2"/>
          <s v="151.2-151.3"/>
          <s v="151.3-151.4"/>
          <s v="151.4-151.5"/>
          <s v="151.5-151.6"/>
          <s v="151.6-151.7"/>
          <s v="151.7-151.8"/>
          <s v="151.8-151.9"/>
          <s v="151.9-152"/>
          <s v="152-152.1"/>
          <s v="152.1-152.2"/>
          <s v="152.2-152.3"/>
          <s v="152.3-152.4"/>
          <s v="152.4-152.5"/>
          <s v="152.5-152.6"/>
          <s v="152.6-152.7"/>
          <s v="152.7-152.8"/>
          <s v="152.8-152.9"/>
          <s v="152.9-153"/>
          <s v="153-153.1"/>
          <s v="153.1-153.2"/>
          <s v="153.2-153.3"/>
          <s v="153.3-153.4"/>
          <s v="153.4-153.5"/>
          <s v="153.5-153.6"/>
          <s v="153.6-153.7"/>
          <s v="153.7-153.8"/>
          <s v="153.8-153.9"/>
          <s v="153.9-154"/>
          <s v="154-154.1"/>
          <s v="154.1-154.2"/>
          <s v="154.2-154.3"/>
          <s v="154.3-154.4"/>
          <s v="154.4-154.5"/>
          <s v="154.5-154.6"/>
          <s v="154.6-154.7"/>
          <s v="154.7-154.8"/>
          <s v="154.8-154.9"/>
          <s v="154.9-155"/>
          <s v="155-155.1"/>
          <s v="155.1-155.2"/>
          <s v="155.2-155.3"/>
          <s v="155.3-155.4"/>
          <s v="155.4-155.5"/>
          <s v="155.5-155.6"/>
          <s v="155.6-155.7"/>
          <s v="155.7-155.8"/>
          <s v="155.8-155.9"/>
          <s v="155.9-156"/>
          <s v="156-156.1"/>
          <s v="156.1-156.2"/>
          <s v="156.2-156.3"/>
          <s v="156.3-156.4"/>
          <s v="156.4-156.5"/>
          <s v="156.5-156.6"/>
          <s v="156.6-156.7"/>
          <s v="156.7-156.8"/>
          <s v="156.8-156.9"/>
          <s v="156.9-157"/>
          <s v="157-157.1"/>
          <s v="157.1-157.2"/>
          <s v="157.2-157.3"/>
          <s v="157.3-157.4"/>
          <s v="157.4-157.5"/>
          <s v="157.5-157.6"/>
          <s v="157.6-157.7"/>
          <s v="157.7-157.8"/>
          <s v="157.8-157.9"/>
          <s v="157.9-158"/>
          <s v="158-158.1"/>
          <s v="158.1-158.2"/>
          <s v="158.2-158.3"/>
          <s v="158.3-158.4"/>
          <s v="158.4-158.5"/>
          <s v="158.5-158.6"/>
          <s v="158.6-158.7"/>
          <s v="158.7-158.8"/>
          <s v="158.8-158.9"/>
          <s v="158.9-159"/>
          <s v="159-159.1"/>
          <s v="159.1-159.2"/>
          <s v="159.2-159.3"/>
          <s v="159.3-159.4"/>
          <s v="159.4-159.5"/>
          <s v="159.5-159.6"/>
          <s v="159.6-159.7"/>
          <s v="159.7-159.8"/>
          <s v="159.8-159.9"/>
          <s v="159.9-160"/>
          <s v="160-160.1"/>
          <s v="160.1-160.2"/>
          <s v="160.2-160.3"/>
          <s v="160.3-160.4"/>
          <s v="160.4-160.5"/>
          <s v="160.5-160.6"/>
          <s v="160.6-160.7"/>
          <s v="160.7-160.8"/>
          <s v="160.8-160.9"/>
          <s v="160.9-161"/>
          <s v="161-161.1"/>
          <s v="161.1-161.2"/>
          <s v="161.2-161.3"/>
          <s v="161.3-161.4"/>
          <s v="161.4-161.5"/>
          <s v="161.5-161.6"/>
          <s v="161.6-161.7"/>
          <s v="161.7-161.8"/>
          <s v="161.8-161.9"/>
          <s v="161.9-162"/>
          <s v="162-162.1"/>
          <s v="162.1-162.2"/>
          <s v="162.2-162.3"/>
          <s v="162.3-162.4"/>
          <s v="162.4-162.5"/>
          <s v="162.5-162.6"/>
          <s v="162.6-162.7"/>
          <s v="162.7-162.8"/>
          <s v="162.8-162.9"/>
          <s v="162.9-163"/>
          <s v="163-163.1"/>
          <s v="163.1-163.2"/>
          <s v="163.2-163.3"/>
          <s v="163.3-163.4"/>
          <s v="163.4-163.5"/>
          <s v="163.5-163.6"/>
          <s v="163.6-163.7"/>
          <s v="163.7-163.8"/>
          <s v="163.8-163.9"/>
          <s v="163.9-164"/>
          <s v="164-164.1"/>
          <s v="164.1-164.2"/>
          <s v="164.2-164.3"/>
          <s v="164.3-164.4"/>
          <s v="164.4-164.5"/>
          <s v="164.5-164.6"/>
          <s v="164.6-164.7"/>
          <s v="164.7-164.8"/>
          <s v="164.8-164.9"/>
          <s v="164.9-165"/>
          <s v="165-165.1"/>
          <s v="165.1-165.2"/>
          <s v="165.2-165.3"/>
          <s v="165.3-165.4"/>
          <s v="165.4-165.5"/>
          <s v="165.5-165.6"/>
          <s v="165.6-165.7"/>
          <s v="165.7-165.8"/>
          <s v="165.8-165.9"/>
          <s v="165.9-166"/>
          <s v="166-166.1"/>
          <s v="166.1-166.2"/>
          <s v="166.2-166.3"/>
          <s v="166.3-166.4"/>
          <s v="166.4-166.5"/>
          <s v="166.5-166.6"/>
          <s v="166.6-166.7"/>
          <s v="166.7-166.8"/>
          <s v="166.8-166.9"/>
          <s v="166.9-167"/>
          <s v="167-167.1"/>
          <s v="167.1-167.2"/>
          <s v="167.2-167.3"/>
          <s v="167.3-167.4"/>
          <s v="167.4-167.5"/>
          <s v="167.5-167.6"/>
          <s v="167.6-167.7"/>
          <s v="167.7-167.8"/>
          <s v="167.8-167.9"/>
          <s v="167.9-168"/>
          <s v="168-168.1"/>
          <s v="168.1-168.2"/>
          <s v="168.2-168.3"/>
          <s v="168.3-168.4"/>
          <s v="168.4-168.5"/>
          <s v="168.5-168.6"/>
          <s v="168.6-168.7"/>
          <s v="168.7-168.8"/>
          <s v="168.8-168.9"/>
          <s v="168.9-169"/>
          <s v="169-169.1"/>
          <s v="169.1-169.2"/>
          <s v="169.2-169.3"/>
          <s v="169.3-169.4"/>
          <s v="169.4-169.5"/>
          <s v="169.5-169.6"/>
          <s v="169.6-169.7"/>
          <s v="169.7-169.8"/>
          <s v="169.8-169.9"/>
          <s v="169.9-170"/>
          <s v="170-170.1"/>
          <s v="170.1-170.2"/>
          <s v="170.2-170.3"/>
          <s v="170.3-170.4"/>
          <s v="170.4-170.5"/>
          <s v="170.5-170.6"/>
          <s v="170.6-170.7"/>
          <s v="170.7-170.8"/>
          <s v="170.8-170.9"/>
          <s v="170.9-171"/>
          <s v="171-171.1"/>
          <s v="171.1-171.2"/>
          <s v="171.2-171.3"/>
          <s v="171.3-171.4"/>
          <s v="171.4-171.5"/>
          <s v="171.5-171.6"/>
          <s v="171.6-171.7"/>
          <s v="171.7-171.8"/>
          <s v="171.8-171.9"/>
          <s v="171.9-172"/>
          <s v="172-172.1"/>
          <s v="172.1-172.2"/>
          <s v="172.2-172.3"/>
          <s v="172.3-172.4"/>
          <s v="172.4-172.5"/>
          <s v="172.5-172.6"/>
          <s v="172.6-172.7"/>
          <s v="172.7-172.8"/>
          <s v="172.8-172.9"/>
          <s v="172.9-173"/>
          <s v="173-173.1"/>
          <s v="173.1-173.2"/>
          <s v="173.2-173.3"/>
          <s v="173.3-173.4"/>
          <s v="173.4-173.5"/>
          <s v="173.5-173.6"/>
          <s v="173.6-173.7"/>
          <s v="173.7-173.8"/>
          <s v="173.8-173.9"/>
          <s v="173.9-174"/>
          <s v="174-174.1"/>
          <s v="174.1-174.2"/>
          <s v="174.2-174.3"/>
          <s v="174.3-174.4"/>
          <s v="174.4-174.5"/>
          <s v="174.5-174.6"/>
          <s v="174.6-174.7"/>
          <s v="174.7-174.8"/>
          <s v="174.8-174.9"/>
          <s v="174.9-175"/>
          <s v="175-175.1"/>
          <s v="175.1-175.2"/>
          <s v="175.2-175.3"/>
          <s v="175.3-175.4"/>
          <s v="175.4-175.5"/>
          <s v="175.5-175.6"/>
          <s v="175.6-175.7"/>
          <s v="175.7-175.8"/>
          <s v="175.8-175.9"/>
          <s v="175.9-176"/>
          <s v="176-176.1"/>
          <s v="176.1-176.2"/>
          <s v="176.2-176.3"/>
          <s v="176.3-176.4"/>
          <s v="176.4-176.5"/>
          <s v="176.5-176.6"/>
          <s v="176.6-176.7"/>
          <s v="176.7-176.8"/>
          <s v="176.8-176.9"/>
          <s v="176.9-177"/>
          <s v="177-177.1"/>
          <s v="177.1-177.2"/>
          <s v="177.2-177.3"/>
          <s v="177.3-177.4"/>
          <s v="177.4-177.5"/>
          <s v="177.5-177.6"/>
          <s v="177.6-177.7"/>
          <s v="177.7-177.8"/>
          <s v="177.8-177.9"/>
          <s v="177.9-178"/>
          <s v="178-178.1"/>
          <s v="178.1-178.2"/>
          <s v="178.2-178.3"/>
          <s v="178.3-178.4"/>
          <s v="178.4-178.5"/>
          <s v="178.5-178.6"/>
          <s v="178.6-178.7"/>
          <s v="178.7-178.8"/>
          <s v="178.8-178.9"/>
          <s v="178.9-179"/>
          <s v="179-179.1"/>
          <s v="179.1-179.2"/>
          <s v="179.2-179.3"/>
          <s v="179.3-179.4"/>
          <s v="179.4-179.5"/>
          <s v="179.5-179.6"/>
          <s v="179.6-179.7"/>
          <s v="179.7-179.8"/>
          <s v="179.8-179.9"/>
          <s v="179.9-180"/>
          <s v="180-180.1"/>
          <s v="180.1-180.2"/>
          <s v="180.2-180.3"/>
          <s v="180.3-180.4"/>
          <s v="180.4-180.5"/>
          <s v="180.5-180.6"/>
          <s v="180.6-180.7"/>
          <s v="180.7-180.8"/>
          <s v="180.8-180.9"/>
          <s v="180.9-181"/>
          <s v="181-181.1"/>
          <s v="181.1-181.2"/>
          <s v="181.2-181.3"/>
          <s v="181.3-181.4"/>
          <s v="181.4-181.5"/>
          <s v="181.5-181.6"/>
          <s v="181.6-181.7"/>
          <s v="181.7-181.8"/>
          <s v="181.8-181.9"/>
          <s v="181.9-182"/>
          <s v="182-182.1"/>
          <s v="182.1-182.2"/>
          <s v="182.2-182.3"/>
          <s v="182.3-182.4"/>
          <s v="182.4-182.5"/>
          <s v="182.5-182.6"/>
          <s v="182.6-182.7"/>
          <s v="182.7-182.8"/>
          <s v="182.8-182.9"/>
          <s v="182.9-183"/>
          <s v="183-183.1"/>
          <s v="183.1-183.2"/>
          <s v="183.2-183.3"/>
          <s v="183.3-183.4"/>
          <s v="183.4-183.5"/>
          <s v="183.5-183.6"/>
          <s v="183.6-183.7"/>
          <s v="183.7-183.8"/>
          <s v="183.8-183.9"/>
          <s v="183.9-184"/>
          <s v="184-184.1"/>
          <s v="184.1-184.2"/>
          <s v="184.2-184.3"/>
          <s v="184.3-184.4"/>
          <s v="184.4-184.5"/>
          <s v="184.5-184.6"/>
          <s v="184.6-184.7"/>
          <s v="184.7-184.8"/>
          <s v="184.8-184.9"/>
          <s v="184.9-185"/>
          <s v="185-185.1"/>
          <s v="185.1-185.2"/>
          <s v="185.2-185.3"/>
          <s v="185.3-185.4"/>
          <s v="185.4-185.5"/>
          <s v="185.5-185.6"/>
          <s v="185.6-185.7"/>
          <s v="185.7-185.8"/>
          <s v="185.8-185.9"/>
          <s v="185.9-186"/>
          <s v="&gt;186"/>
        </groupItems>
      </fieldGroup>
    </cacheField>
    <cacheField name="Log return" numFmtId="0">
      <sharedItems containsSemiMixedTypes="0" containsString="0" containsNumber="1" minValue="-1.36" maxValue="2.27" count="171">
        <n v="2.27"/>
        <n v="2.17"/>
        <n v="2.09"/>
        <n v="2.0699999999999998"/>
        <n v="2.0299999999999998"/>
        <n v="1.95"/>
        <n v="1.81"/>
        <n v="1.76"/>
        <n v="1.57"/>
        <n v="1.56"/>
        <n v="1.55"/>
        <n v="1.34"/>
        <n v="1.28"/>
        <n v="1.26"/>
        <n v="1.2"/>
        <n v="1.1599999999999999"/>
        <n v="1.1299999999999999"/>
        <n v="1.1200000000000001"/>
        <n v="1.1100000000000001"/>
        <n v="1.0900000000000001"/>
        <n v="1.06"/>
        <n v="1.05"/>
        <n v="1.04"/>
        <n v="1.01"/>
        <n v="1"/>
        <n v="0.97"/>
        <n v="0.94"/>
        <n v="0.93"/>
        <n v="0.9"/>
        <n v="0.87"/>
        <n v="0.84"/>
        <n v="0.83"/>
        <n v="0.79"/>
        <n v="0.78"/>
        <n v="0.77"/>
        <n v="0.76"/>
        <n v="0.74"/>
        <n v="0.72"/>
        <n v="0.69"/>
        <n v="0.68"/>
        <n v="0.67"/>
        <n v="0.65"/>
        <n v="0.64"/>
        <n v="0.63"/>
        <n v="0.62"/>
        <n v="0.6"/>
        <n v="0.59"/>
        <n v="0.56999999999999995"/>
        <n v="0.56000000000000005"/>
        <n v="0.54"/>
        <n v="0.53"/>
        <n v="0.52"/>
        <n v="0.51"/>
        <n v="0.5"/>
        <n v="0.49"/>
        <n v="0.48"/>
        <n v="0.47"/>
        <n v="0.46"/>
        <n v="0.45"/>
        <n v="0.44"/>
        <n v="0.43"/>
        <n v="0.42"/>
        <n v="0.41"/>
        <n v="0.4"/>
        <n v="0.39"/>
        <n v="0.38"/>
        <n v="0.37"/>
        <n v="0.36"/>
        <n v="0.35"/>
        <n v="0.34"/>
        <n v="0.33"/>
        <n v="0.32"/>
        <n v="0.31"/>
        <n v="0.3"/>
        <n v="0.28999999999999998"/>
        <n v="0.28000000000000003"/>
        <n v="0.27"/>
        <n v="0.26"/>
        <n v="0.25"/>
        <n v="0.24"/>
        <n v="0.23"/>
        <n v="0.22"/>
        <n v="0.21"/>
        <n v="0.2"/>
        <n v="0.19"/>
        <n v="0.18"/>
        <n v="0.17"/>
        <n v="0.16"/>
        <n v="0.15"/>
        <n v="0.14000000000000001"/>
        <n v="0.13"/>
        <n v="0.12"/>
        <n v="0.11"/>
        <n v="0.1"/>
        <n v="0.09"/>
        <n v="0.08"/>
        <n v="7.0000000000000007E-2"/>
        <n v="0.06"/>
        <n v="0.05"/>
        <n v="0.04"/>
        <n v="0.03"/>
        <n v="0.02"/>
        <n v="0.01"/>
        <n v="0"/>
        <n v="-0.01"/>
        <n v="-0.02"/>
        <n v="-0.03"/>
        <n v="-0.04"/>
        <n v="-0.05"/>
        <n v="-0.06"/>
        <n v="-7.0000000000000007E-2"/>
        <n v="-0.08"/>
        <n v="-0.09"/>
        <n v="-0.1"/>
        <n v="-0.11"/>
        <n v="-0.12"/>
        <n v="-0.13"/>
        <n v="-0.14000000000000001"/>
        <n v="-0.15"/>
        <n v="-0.16"/>
        <n v="-0.17"/>
        <n v="-0.18"/>
        <n v="-0.19"/>
        <n v="-0.2"/>
        <n v="-0.21"/>
        <n v="-0.22"/>
        <n v="-0.23"/>
        <n v="-0.24"/>
        <n v="-0.25"/>
        <n v="-0.26"/>
        <n v="-0.27"/>
        <n v="-0.28999999999999998"/>
        <n v="-0.3"/>
        <n v="-0.31"/>
        <n v="-0.32"/>
        <n v="-0.33"/>
        <n v="-0.34"/>
        <n v="-0.35"/>
        <n v="-0.37"/>
        <n v="-0.39"/>
        <n v="-0.4"/>
        <n v="-0.41"/>
        <n v="-0.43"/>
        <n v="-0.44"/>
        <n v="-0.45"/>
        <n v="-0.46"/>
        <n v="-0.48"/>
        <n v="-0.51"/>
        <n v="-0.54"/>
        <n v="-0.55000000000000004"/>
        <n v="-0.56000000000000005"/>
        <n v="-0.56999999999999995"/>
        <n v="-0.59"/>
        <n v="-0.6"/>
        <n v="-0.62"/>
        <n v="-0.63"/>
        <n v="-0.65"/>
        <n v="-0.67"/>
        <n v="-0.68"/>
        <n v="-0.78"/>
        <n v="-0.8"/>
        <n v="-0.87"/>
        <n v="-0.92"/>
        <n v="-0.93"/>
        <n v="-0.97"/>
        <n v="-0.99"/>
        <n v="-1"/>
        <n v="-1.07"/>
        <n v="-1.1399999999999999"/>
        <n v="-1.22"/>
        <n v="-1.36"/>
      </sharedItems>
      <fieldGroup base="10">
        <rangePr autoStart="0" autoEnd="0" startNum="-1.4" endNum="2.2999999999999998" groupInterval="0.1"/>
        <groupItems count="39">
          <s v="&lt;-1.4"/>
          <s v="-1.4--1.3"/>
          <s v="-1.3--1.2"/>
          <s v="-1.2--1.1"/>
          <s v="-1.1--1"/>
          <s v="-1--0.9"/>
          <s v="-0.9--0.8"/>
          <s v="-0.8--0.7"/>
          <s v="-0.7--0.6"/>
          <s v="-0.6--0.5"/>
          <s v="-0.5--0.4"/>
          <s v="-0.4--0.3"/>
          <s v="-0.3--0.2"/>
          <s v="-0.2--0.0999999999999997"/>
          <s v="-0.0999999999999999-1.38777878078145E-16"/>
          <s v="2.22044604925031E-16-0.1"/>
          <s v="0.1-0.2"/>
          <s v="0.2-0.3"/>
          <s v="0.3-0.4"/>
          <s v="0.4-0.5"/>
          <s v="0.5-0.6"/>
          <s v="0.6-0.7"/>
          <s v="0.7-0.8"/>
          <s v="0.8-0.9"/>
          <s v="0.9-1"/>
          <s v="1-1.1"/>
          <s v="1.1-1.2"/>
          <s v="1.2-1.3"/>
          <s v="1.3-1.4"/>
          <s v="1.4-1.5"/>
          <s v="1.5-1.6"/>
          <s v="1.6-1.7"/>
          <s v="1.7-1.8"/>
          <s v="1.8-1.9"/>
          <s v="1.9-2"/>
          <s v="2-2.1"/>
          <s v="2.1-2.2"/>
          <s v="2.2-2.3"/>
          <s v="&gt;2.3"/>
        </groupItems>
      </fieldGroup>
    </cacheField>
    <cacheField name="Return Rank" numFmtId="0">
      <sharedItems containsSemiMixedTypes="0" containsString="0" containsNumber="1" containsInteger="1" minValue="0" maxValue="433"/>
    </cacheField>
    <cacheField name="David Return" numFmtId="10">
      <sharedItems containsMixedTypes="1" containsNumber="1" minValue="-0.94" maxValue="185.85900000000001"/>
    </cacheField>
    <cacheField name="Tom Return" numFmtId="10">
      <sharedItems containsMixedTypes="1" containsNumber="1" minValue="-0.95599999999999996" maxValue="122.056"/>
    </cacheField>
    <cacheField name="S&amp;P Return" numFmtId="10">
      <sharedItems containsSemiMixedTypes="0" containsString="0" containsNumber="1" minValue="-0.40699999999999997" maxValue="3.6930000000000001"/>
    </cacheField>
    <cacheField name="S&amp;P David" numFmtId="10">
      <sharedItems containsMixedTypes="1" containsNumber="1" minValue="-0.40699999999999997" maxValue="3.6930000000000001"/>
    </cacheField>
    <cacheField name="S&amp;P Tom" numFmtId="10">
      <sharedItems containsMixedTypes="1" containsNumber="1" minValue="-0.38800000000000001" maxValue="3.39"/>
    </cacheField>
    <cacheField name="Difference Vs. S&amp;P Return" numFmtId="10">
      <sharedItems containsSemiMixedTypes="0" containsString="0" containsNumber="1" minValue="-3.5019999999999998" maxValue="183.70400000000001"/>
    </cacheField>
    <cacheField name="David Difference Vs. S&amp;P Return" numFmtId="10">
      <sharedItems containsMixedTypes="1" containsNumber="1" minValue="-3.5019999999999998" maxValue="183.70400000000001"/>
    </cacheField>
    <cacheField name="Tom Difference Vs. S&amp;P Return" numFmtId="10">
      <sharedItems containsMixedTypes="1" containsNumber="1" minValue="-2.5659999999999998" maxValue="120.709"/>
    </cacheField>
    <cacheField name="Improvement Vs. S&amp;P Return" numFmtId="10">
      <sharedItems containsSemiMixedTypes="0" containsString="0" containsNumber="1" minValue="-341" maxValue="145.79999999999998" count="1122">
        <n v="58.2"/>
        <n v="43.4"/>
        <n v="51.5"/>
        <n v="25.8"/>
        <n v="37.6"/>
        <n v="29.5"/>
        <n v="17.5"/>
        <n v="14.1"/>
        <n v="10.4"/>
        <n v="7.2"/>
        <n v="6.6"/>
        <n v="4"/>
        <n v="7.1"/>
        <n v="3.2"/>
        <n v="4.0999999999999996"/>
        <n v="2.4"/>
        <n v="8.5"/>
        <n v="3.6"/>
        <n v="3.4"/>
        <n v="4.7"/>
        <n v="1.4"/>
        <n v="2.8"/>
        <n v="1.9"/>
        <n v="1.8"/>
        <n v="1.2"/>
        <n v="1.6"/>
        <n v="1.1000000000000001"/>
        <n v="2.1"/>
        <n v="0.7"/>
        <n v="0.5"/>
        <n v="0.9"/>
        <n v="0.6"/>
        <n v="1"/>
        <n v="0.1"/>
        <n v="0.4"/>
        <n v="0"/>
        <n v="2.9"/>
        <n v="0.3"/>
        <n v="2"/>
        <n v="-0.1"/>
        <n v="-0.3"/>
        <n v="-0.2"/>
        <n v="0.2"/>
        <n v="0.8"/>
        <n v="1.3"/>
        <n v="-0.5"/>
        <n v="-0.4"/>
        <n v="-0.6"/>
        <n v="-0.7"/>
        <n v="-0.8"/>
        <n v="-0.9"/>
        <n v="-1"/>
        <n v="-1.5219454329774613" u="1"/>
        <n v="1.24" u="1"/>
        <n v="-0.17910447761194037" u="1"/>
        <n v="-0.24" u="1"/>
        <n v="0.56958762886597925" u="1"/>
        <n v="0.62557077625570767" u="1"/>
        <n v="-0.32803889789303081" u="1"/>
        <n v="-0.20383036935704518" u="1"/>
        <n v="0.05" u="1"/>
        <n v="5.3675675675675683" u="1"/>
        <n v="-0.26854599406528179" u="1"/>
        <n v="-0.87" u="1"/>
        <n v="3.9975399753997554E-2" u="1"/>
        <n v="-0.62567486502699454" u="1"/>
        <n v="-0.7055961070559611" u="1"/>
        <n v="0.35999999999999993" u="1"/>
        <n v="0.36" u="1"/>
        <n v="13.972222222222223" u="1"/>
        <n v="-2.3629489603024574" u="1"/>
        <n v="0.17808219178082196" u="1"/>
        <n v="0.73" u="1"/>
        <n v="-0.28542094455852163" u="1"/>
        <n v="-7.0000000000000007E-2" u="1"/>
        <n v="-0.83548521449396085" u="1"/>
        <n v="0.60683760683760679" u="1"/>
        <n v="3.58" u="1"/>
        <n v="-0.49" u="1"/>
        <n v="0.8470191226096736" u="1"/>
        <n v="-0.39212007504690427" u="1"/>
        <n v="-0.16756032171581769" u="1"/>
        <n v="1.0774840474020055" u="1"/>
        <n v="2.044722719141324" u="1"/>
        <n v="-3.4824561403508767" u="1"/>
        <n v="0.30417881438289629" u="1"/>
        <n v="51.453537936913889" u="1"/>
        <n v="-0.79716981132075471" u="1"/>
        <n v="0.10242085661080062" u="1"/>
        <n v="-0.71739130434782605" u="1"/>
        <n v="-7.3582089552238799" u="1"/>
        <n v="-1.3471502590673576" u="1"/>
        <n v="-0.1709511568123393" u="1"/>
        <n v="0.74" u="1"/>
        <n v="7.13" u="1"/>
        <n v="-0.51789387083504734" u="1"/>
        <n v="7.9400333148250901E-2" u="1"/>
        <n v="-0.21180555555555547" u="1"/>
        <n v="21" u="1"/>
        <n v="-0.81766200762388808" u="1"/>
        <n v="-0.73015873015873023" u="1"/>
        <n v="-0.53024453024453022" u="1"/>
        <n v="1.1814159292035398" u="1"/>
        <n v="-290" u="1"/>
        <n v="7.2142857142857064E-2" u="1"/>
        <n v="-2.5120772946859927E-2" u="1"/>
        <n v="0.91311369509043927" u="1"/>
        <n v="0.21" u="1"/>
        <n v="31.542234332425071" u="1"/>
        <n v="-9.9123398516520522E-2" u="1"/>
        <n v="-8.7885985748218473E-2" u="1"/>
        <n v="-0.27075812274368227" u="1"/>
        <n v="-0.88950937375349026" u="1"/>
        <n v="-7.6576576576576641E-2" u="1"/>
        <n v="-1.0187861271676302" u="1"/>
        <n v="4.9717514124293816E-2" u="1"/>
        <n v="-0.9579524680073126" u="1"/>
        <n v="2.3543859649122809" u="1"/>
        <n v="9.6146788990825682E-2" u="1"/>
        <n v="-8.0232558139534782E-2" u="1"/>
        <n v="-0.56687898089171973" u="1"/>
        <n v="-0.44025157232704404" u="1"/>
        <n v="0.23306627822286963" u="1"/>
        <n v="1.1938325991189425" u="1"/>
        <n v="0.98839340256566888" u="1"/>
        <n v="-0.05" u="1"/>
        <n v="0.43" u="1"/>
        <n v="-1.0281602002503127" u="1"/>
        <n v="-0.71743929359823388" u="1"/>
        <n v="0.01" u="1"/>
        <n v="0.93843283582089576" u="1"/>
        <n v="-0.46204311152764754" u="1"/>
        <n v="-0.36" u="1"/>
        <n v="0.91748251748251752" u="1"/>
        <n v="3.2666666666666671" u="1"/>
        <n v="-3.8481012658227849" u="1"/>
        <n v="-2.7216494845360826" u="1"/>
        <n v="1.5428675665815392" u="1"/>
        <n v="0.3138258961228968" u="1"/>
        <n v="0.78029079159935355" u="1"/>
        <n v="-0.62" u="1"/>
        <n v="-0.39149242970439802" u="1"/>
        <n v="7.0000000000000007E-2" u="1"/>
        <n v="-0.38260869565217398" u="1"/>
        <n v="-6.9295774647887329" u="1"/>
        <n v="-0.47864625302175667" u="1"/>
        <n v="2.4818003913894326" u="1"/>
        <n v="-0.67801047120418856" u="1"/>
        <n v="0.3246869409660107" u="1"/>
        <n v="0.68373812038014781" u="1"/>
        <n v="-0.33872010342598591" u="1"/>
        <n v="2.789237668161435" u="1"/>
        <n v="6.6122448979591741E-2" u="1"/>
        <n v="-1.0834236186348822E-2" u="1"/>
        <n v="-0.42688679245283018" u="1"/>
        <n v="-2.3875000000000002" u="1"/>
        <n v="5.4794520547945251E-2" u="1"/>
        <n v="-0.60284167794316645" u="1"/>
        <n v="-0.87099296325254105" u="1"/>
        <n v="1.78" u="1"/>
        <n v="1.7426710097719866" u="1"/>
        <n v="-0.35637342908438063" u="1"/>
        <n v="-3.9928315412186373" u="1"/>
        <n v="3.8176033934252507E-2" u="1"/>
        <n v="-0.80487804878048785" u="1"/>
        <n v="-0.74" u="1"/>
        <n v="1.3748395378690628" u="1"/>
        <n v="12.118644067796613" u="1"/>
        <n v="-0.85488767455980574" u="1"/>
        <n v="-0.5084870848708487" u="1"/>
        <n v="-0.44221585482330483" u="1"/>
        <n v="0.17852684144818964" u="1"/>
        <n v="-0.65695253955037469" u="1"/>
        <n v="-3.3064516129032255" u="1"/>
        <n v="-1.6245487364620939" u="1"/>
        <n v="-0.6797385620915033" u="1"/>
        <n v="50.857142857142854" u="1"/>
        <n v="0.43633655994043186" u="1"/>
        <n v="0.34852546916890081" u="1"/>
        <n v="-0.21" u="1"/>
        <n v="3.35" u="1"/>
        <n v="0.35869565217391308" u="1"/>
        <n v="-0.30441898527004907" u="1"/>
        <n v="-2.6038001407459599E-2" u="1"/>
        <n v="-0.96318752706799482" u="1"/>
        <n v="0.31435732187611864" u="1"/>
        <n v="-0.75" u="1"/>
        <n v="-0.35892116182572614" u="1"/>
        <n v="-4.3053435114503822" u="1"/>
        <n v="0.3626184323858741" u="1"/>
        <n v="0.99228989976869708" u="1"/>
        <n v="-19.454545454545453" u="1"/>
        <n v="-0.82457627118644072" u="1"/>
        <n v="51" u="1"/>
        <n v="-0.13826679649464468" u="1"/>
        <n v="-10.739130434782609" u="1"/>
        <n v="-0.33902976846747512" u="1"/>
        <n v="0.35466377440347086" u="1"/>
        <n v="0.6330275229357798" u="1"/>
        <n v="-0.29094412331406549" u="1"/>
        <n v="-0.25178919973975278" u="1"/>
        <n v="-0.70415277356774775" u="1"/>
        <n v="-0.43" u="1"/>
        <n v="15.571428571428571" u="1"/>
        <n v="-1.1893830703012913" u="1"/>
        <n v="-0.83333333333333326" u="1"/>
        <n v="-0.01" u="1"/>
        <n v="-4.6338028169014089" u="1"/>
        <n v="0.29765886287625409" u="1"/>
        <n v="-0.29366812227074235" u="1"/>
        <n v="-8.6077411900635448E-2" u="1"/>
        <n v="-0.87753179463024022" u="1"/>
        <n v="0.62" u="1"/>
        <n v="7.0335570469798769E-2" u="1"/>
        <n v="0.58333333333333348" u="1"/>
        <n v="-0.12" u="1"/>
        <n v="1.3417721518987342" u="1"/>
        <n v="0.1273617914625611" u="1"/>
        <n v="2.12" u="1"/>
        <n v="-0.37254901960784315" u="1"/>
        <n v="-0.91666666666666674" u="1"/>
        <n v="-0.88" u="1"/>
        <n v="-0.92887537993920977" u="1"/>
        <n v="44.867738589211626" u="1"/>
        <n v="-24.185185185185187" u="1"/>
        <n v="0.18" u="1"/>
        <n v="-0.60045146726862297" u="1"/>
        <n v="1.9674355495250959E-2" u="1"/>
        <n v="43" u="1"/>
        <n v="-6.6666666666666721E-2" u="1"/>
        <n v="-0.71504357711254263" u="1"/>
        <n v="-1.1103360811667724" u="1"/>
        <n v="-0.80166880616174585" u="1"/>
        <n v="-0.14489795918367354" u="1"/>
        <n v="-2.4255319148936172" u="1"/>
        <n v="0.66591676040494951" u="1"/>
        <n v="6.0390763765541866E-2" u="1"/>
        <n v="9.4683175528040842E-2" u="1"/>
        <n v="0.37" u="1"/>
        <n v="0.75" u="1"/>
        <n v="1.2852112676056335" u="1"/>
        <n v="1.01" u="1"/>
        <n v="0.14569536423841067" u="1"/>
        <n v="37.619999999999997" u="1"/>
        <n v="-0.64473684210526316" u="1"/>
        <n v="6.163636363636364" u="1"/>
        <n v="0.61283185840707954" u="1"/>
        <n v="-2.6845637583892641E-2" u="1"/>
        <n v="-5.4055555555555559" u="1"/>
        <n v="-0.68656716417910446" u="1"/>
        <n v="1.1721907841552026E-2" u="1"/>
        <n v="0.99142091152815015" u="1"/>
        <n v="-0.11083743842364535" u="1"/>
        <n v="1.3028322440087143" u="1"/>
        <n v="-0.41534391534391524" u="1"/>
        <n v="0.1038338658146964" u="1"/>
        <n v="-0.91870560378847677" u="1"/>
        <n v="1.5147058823529411" u="1"/>
        <n v="0.76" u="1"/>
        <n v="-0.18219983207388757" u="1"/>
        <n v="10.692307692307692" u="1"/>
        <n v="-0.47227533460803062" u="1"/>
        <n v="-0.14999999999999997" u="1"/>
        <n v="0.22157996146435455" u="1"/>
        <n v="-0.15" u="1"/>
        <n v="0.35707591377694481" u="1"/>
        <n v="0.27244094488188986" u="1"/>
        <n v="-0.23730297723292459" u="1"/>
        <n v="0.12" u="1"/>
        <n v="-2.330645161290323" u="1"/>
        <n v="2.010691823899371" u="1"/>
        <n v="-0.24065633546034637" u="1"/>
        <n v="0.88" u="1"/>
        <n v="-0.69669669669669665" u="1"/>
        <n v="0.43270365997638738" u="1"/>
        <n v="3.225664739884393" u="1"/>
        <n v="-0.10422343324250682" u="1"/>
        <n v="-0.18" u="1"/>
        <n v="-0.43856332703213619" u="1"/>
        <n v="1.56" u="1"/>
        <n v="-2.1309450277949338E-2" u="1"/>
        <n v="2.14" u="1"/>
        <n v="-0.17805383022774321" u="1"/>
        <n v="0.18490083173384519" u="1"/>
        <n v="3.16" u="1"/>
        <n v="-0.4375" u="1"/>
        <n v="-0.63" u="1"/>
        <n v="0.40112994350282494" u="1"/>
        <n v="1.7310924369747898" u="1"/>
        <n v="-2.7672811059907838" u="1"/>
        <n v="-5.7990559676331821E-2" u="1"/>
        <n v="0.32388316151202723" u="1"/>
        <n v="-6.2631578947368425" u="1"/>
        <n v="2.6969696969696968" u="1"/>
        <n v="0.47356321839080473" u="1"/>
        <n v="-1.1513117754728492" u="1"/>
        <n v="0.52853380158033381" u="1"/>
        <n v="1.6020469596628537" u="1"/>
        <n v="0.80543933054393313" u="1"/>
        <n v="-0.75552825552825553" u="1"/>
        <n v="1.29" u="1"/>
        <n v="-0.41233283803863297" u="1"/>
        <n v="-0.74972737186477645" u="1"/>
        <n v="1.8560541913632513" u="1"/>
        <n v="4.2631578947368416" u="1"/>
        <n v="0.47054747054747037" u="1"/>
        <n v="-0.37" u="1"/>
        <n v="0.12833763996554695" u="1"/>
        <n v="-2.532258064516129" u="1"/>
        <n v="-0.32764811490125667" u="1"/>
        <n v="3.353470919324578" u="1"/>
        <n v="-4.9397590361445642E-2" u="1"/>
        <n v="0.85392385392385406" u="1"/>
        <n v="2.6149068322981361" u="1"/>
        <n v="-1.7080745341614907" u="1"/>
        <n v="-0.57037747920665383" u="1"/>
        <n v="-7.9295154185022865E-3" u="1"/>
        <n v="1.7308429118773945" u="1"/>
        <n v="-1.4873646209386282" u="1"/>
        <n v="29.544057377049182" u="1"/>
        <n v="-0.54775943396226412" u="1"/>
        <n v="-0.11720930232558135" u="1"/>
        <n v="-2.4018126888217521" u="1"/>
        <n v="-0.18642993024730503" u="1"/>
        <n v="-0.84101382488479259" u="1"/>
        <n v="-0.22363636363636352" u="1"/>
        <n v="-0.93846153846153846" u="1"/>
        <n v="-0.76" u="1"/>
        <n v="-1.2469470827679783" u="1"/>
        <n v="-1.6990068754774639" u="1"/>
        <n v="-2.2383512544802868" u="1"/>
        <n v="0.21006776379477254" u="1"/>
        <n v="0.15" u="1"/>
        <n v="-5.7441860465116283" u="1"/>
        <n v="-0.63583252190847128" u="1"/>
        <n v="2.4422310756972112" u="1"/>
        <n v="-0.88525345622119811" u="1"/>
        <n v="-0.78581427904806345" u="1"/>
        <n v="0.2631366208569117" u="1"/>
        <n v="-0.28647568287808128" u="1"/>
        <n v="-0.73928157589803012" u="1"/>
        <n v="3.976765375854213" u="1"/>
        <n v="-0.41666666666666663" u="1"/>
        <n v="-5.8965102286401838E-2" u="1"/>
        <n v="-80.25" u="1"/>
        <n v="-0.17281728172817276" u="1"/>
        <n v="-0.21814791796146674" u="1"/>
        <n v="-0.14783427495291901" u="1"/>
        <n v="-1.6228501228501229" u="1"/>
        <n v="0.94503311258278155" u="1"/>
        <n v="4.6503284487114707" u="1"/>
        <n v="10.43" u="1"/>
        <n v="58.23" u="1"/>
        <n v="0.31" u="1"/>
        <n v="-0.95770567786790273" u="1"/>
        <n v="0.63" u="1"/>
        <n v="-0.06" u="1"/>
        <n v="2.088951310861423" u="1"/>
        <n v="-0.59446254071661242" u="1"/>
        <n v="1.57" u="1"/>
        <n v="43.43" u="1"/>
        <n v="-2.7234042553191489" u="1"/>
        <n v="9.2725569778332864E-2" u="1"/>
        <n v="-0.20902845927379776" u="1"/>
        <n v="-0.57319952774498228" u="1"/>
        <n v="-0.83914209115281502" u="1"/>
        <n v="-0.44" u="1"/>
        <n v="-1.0809595202398801" u="1"/>
        <n v="-0.89" u="1"/>
        <n v="0.69513641755634648" u="1"/>
        <n v="-0.95667870036101088" u="1"/>
        <n v="0.09" u="1"/>
        <n v="1.3168724279835389" u="1"/>
        <n v="-1.6281264747522228E-2" u="1"/>
        <n v="4.4534606205250604" u="1"/>
        <n v="-0.33004926108374388" u="1"/>
        <n v="4.1379310344827447E-2" u="1"/>
        <n v="-2.6515151515151514" u="1"/>
        <n v="0.35414424111948328" u="1"/>
        <n v="-6.8283343969368193E-2" u="1"/>
        <n v="-5.3311793214862679E-2" u="1"/>
        <n v="-2.2421602787456445" u="1"/>
        <n v="1.0970738504412445" u="1"/>
        <n v="-0.7441860465116279" u="1"/>
        <n v="0.67021276595744683" u="1"/>
        <n v="0.7865168539325843" u="1"/>
        <n v="7.1000000000000005" u="1"/>
        <n v="37.622648335745296" u="1"/>
        <n v="0.24740124740124747" u="1"/>
        <n v="-5.15713134568897E-2" u="1"/>
        <n v="-4.4260027662517132E-2" u="1"/>
        <n v="-7.6923076923076983E-2" u="1"/>
        <n v="9.3644721233689197" u="1"/>
        <n v="0.67195767195767198" u="1"/>
        <n v="-0.30090270812437303" u="1"/>
        <n v="0.40087623220153334" u="1"/>
        <n v="-1.2845849802371543" u="1"/>
        <n v="0.95687468290208022" u="1"/>
        <n v="-0.25" u="1"/>
        <n v="-0.51" u="1"/>
        <n v="1.6162691652470187" u="1"/>
        <n v="-0.35675675675675678" u="1"/>
        <n v="-0.42058936088786836" u="1"/>
        <n v="-1.6589492430988424" u="1"/>
        <n v="0.38" u="1"/>
        <n v="0.4098697738176833" u="1"/>
        <n v="-0.44779874213836479" u="1"/>
        <n v="-2.1826923076923075" u="1"/>
        <n v="3.5783994795055341E-2" u="1"/>
        <n v="3.6622902990517878" u="1"/>
        <n v="-0.17193122750899648" u="1"/>
        <n v="-0.29781771501925558" u="1"/>
        <n v="2.0526315789473681" u="1"/>
        <n v="0.06" u="1"/>
        <n v="-0.52" u="1"/>
        <n v="1.1689373297002725" u="1"/>
        <n v="0.49285714285714266" u="1"/>
        <n v="-0.64995178399228548" u="1"/>
        <n v="0.19481605351170583" u="1"/>
        <n v="18.085106382978722" u="1"/>
        <n v="0.44" u="1"/>
        <n v="-0.19321148825065282" u="1"/>
        <n v="-7.9856972586412334E-2" u="1"/>
        <n v="0.73935155753337556" u="1"/>
        <n v="-2.0133689839572191" u="1"/>
        <n v="-0.09" u="1"/>
        <n v="-0.18206670311645712" u="1"/>
        <n v="0.78" u="1"/>
        <n v="1.9462616822429906" u="1"/>
        <n v="-0.88152327221438653" u="1"/>
        <n v="0.24117647058823516" u="1"/>
        <n v="4.4006734006734014" u="1"/>
        <n v="-0.11918063314711358" u="1"/>
        <n v="-0.52288911495422186" u="1"/>
        <n v="-0.64" u="1"/>
        <n v="1.7955568898228758" u="1"/>
        <n v="-0.23570520965692487" u="1"/>
        <n v="1.8035714285714286" u="1"/>
        <n v="-2.3218390804597702" u="1"/>
        <n v="-0.54713804713804715" u="1"/>
        <n v="0.11238720262510227" u="1"/>
        <n v="0.55462184873949583" u="1"/>
        <n v="3.838709677419355" u="1"/>
        <n v="12.899999999999997" u="1"/>
        <n v="0.35918626827717737" u="1"/>
        <n v="14.06" u="1"/>
        <n v="19.714285714285715" u="1"/>
        <n v="0.38250728862973782" u="1"/>
        <n v="-9.0199479618386924E-2" u="1"/>
        <n v="-0.67975830815709981" u="1"/>
        <n v="-0.65" u="1"/>
        <n v="-0.43307086614173229" u="1"/>
        <n v="2.5400313971742543" u="1"/>
        <n v="-1.2551210428305399" u="1"/>
        <n v="8.4681784930504751" u="1"/>
        <n v="0.25" u="1"/>
        <n v="-6.2093023255813966" u="1"/>
        <n v="0.91" u="1"/>
        <n v="-0.62149080348499508" u="1"/>
        <n v="4.2009132420091326" u="1"/>
        <n v="-0.57878787878787885" u="1"/>
        <n v="-0.38" u="1"/>
        <n v="0.20792079207920788" u="1"/>
        <n v="7.22" u="1"/>
        <n v="-2.3545706371191133E-2" u="1"/>
        <n v="-0.55630478759271762" u="1"/>
        <n v="0.4566862910008409" u="1"/>
        <n v="0.41614906832298137" u="1"/>
        <n v="2.9041626331076653E-3" u="1"/>
        <n v="0.24129930394431565" u="1"/>
        <n v="1.86" u="1"/>
        <n v="2.4448979591836735" u="1"/>
        <n v="-5.7724957555178147E-2" u="1"/>
        <n v="2.8152818991097921" u="1"/>
        <n v="-0.11295336787564769" u="1"/>
        <n v="2.6162790697674465E-2" u="1"/>
        <n v="-2.2944162436548221" u="1"/>
        <n v="-0.78" u="1"/>
        <n v="2.3934897079944673E-3" u="1"/>
        <n v="3.579655946148093" u="1"/>
        <n v="0.81184336198662854" u="1"/>
        <n v="-4.3125" u="1"/>
        <n v="-4.2068965517241379" u="1"/>
        <n v="-0.03" u="1"/>
        <n v="0.69390843738176344" u="1"/>
        <n v="0.59490740740740733" u="1"/>
        <n v="5.7180406212664288" u="1"/>
        <n v="0.53" u="1"/>
        <n v="6.1413461538461531" u="1"/>
        <n v="1.7836849507735586" u="1"/>
        <n v="-0.34565619223659899" u="1"/>
        <n v="1.2814814814814812" u="1"/>
        <n v="1.59" u="1"/>
        <n v="3.1554621848739499" u="1"/>
        <n v="-0.22" u="1"/>
        <n v="-0.21844660194174756" u="1"/>
        <n v="-1.4318344039971451" u="1"/>
        <n v="1.6136851795029155" u="1"/>
        <n v="-1.0314136125654449" u="1"/>
        <n v="2.8550724637681157" u="1"/>
        <n v="3.2821917808219179" u="1"/>
        <n v="-0.79" u="1"/>
        <n v="-0.63142292490118579" u="1"/>
        <n v="2.5658515658515659" u="1"/>
        <n v="-0.72822491730981254" u="1"/>
        <n v="0.32" u="1"/>
        <n v="-2.1098901098901099" u="1"/>
        <n v="0.26086956521739141" u="1"/>
        <n v="0.65" u="1"/>
        <n v="0.25334821428571419" u="1"/>
        <n v="-0.84582803896653969" u="1"/>
        <n v="1.61" u="1"/>
        <n v="-0.44630281690140849" u="1"/>
        <n v="0.16142557651991604" u="1"/>
        <n v="-0.8798043326345214" u="1"/>
        <n v="-0.5954738330975955" u="1"/>
        <n v="-0.45" u="1"/>
        <n v="-0.23633879781420775" u="1"/>
        <n v="0.22899159663865545" u="1"/>
        <n v="29.54" u="1"/>
        <n v="-3.6818181818181817" u="1"/>
        <n v="0.25249999999999995" u="1"/>
        <n v="-2.4647302904564317" u="1"/>
        <n v="-0.37816979051819188" u="1"/>
        <n v="1.0561959654178676" u="1"/>
        <n v="-0.13453430433116131" u="1"/>
        <n v="-5.4826616682286784E-2" u="1"/>
        <n v="19.372881355932204" u="1"/>
        <n v="-0.92" u="1"/>
        <n v="-0.39821795750514055" u="1"/>
        <n v="0.70216962524654836" u="1"/>
        <n v="-1.6040462427745663" u="1"/>
        <n v="0.19" u="1"/>
        <n v="7.222552607502287" u="1"/>
        <n v="-0.64453125" u="1"/>
        <n v="2.6662636033857319" u="1"/>
        <n v="5.1498525073746304" u="1"/>
        <n v="6.052631578947369" u="1"/>
        <n v="-1.5637181409295353" u="1"/>
        <n v="1.36" u="1"/>
        <n v="-0.38202247191011235" u="1"/>
        <n v="7.0663811563169254E-2" u="1"/>
        <n v="0.03" u="1"/>
        <n v="0.43626570915619389" u="1"/>
        <n v="-2.3689922480620154" u="1"/>
        <n v="0.61755485893416928" u="1"/>
        <n v="-0.56328616352201255" u="1"/>
        <n v="-0.26" u="1"/>
        <n v="-1.7411764705882353" u="1"/>
        <n v="-0.53" u="1"/>
        <n v="-3.4812880765883181E-3" u="1"/>
        <n v="-1.0847880299251871" u="1"/>
        <n v="0.7401377582968065" u="1"/>
        <n v="-1.2343096234309623" u="1"/>
        <n v="0.22" u="1"/>
        <n v="10.735294117647058" u="1"/>
        <n v="30" u="1"/>
        <n v="-0.83866415804327377" u="1"/>
        <n v="5.1084674597620783E-2" u="1"/>
        <n v="-4.5108695652173916" u="1"/>
        <n v="-0.27027027027027017" u="1"/>
        <n v="1.7618694362017804" u="1"/>
        <n v="32.808823529411761" u="1"/>
        <n v="4.3309352517985609" u="1"/>
        <n v="0.10461538461538455" u="1"/>
        <n v="-0.32" u="1"/>
        <n v="-0.26086956521739135" u="1"/>
        <n v="-0.81752779594506209" u="1"/>
        <n v="-0.74425087108013943" u="1"/>
        <n v="-0.54" u="1"/>
        <n v="-0.22828154724159788" u="1"/>
        <n v="-0.20889894419306199" u="1"/>
        <n v="1.0077101002313031" u="1"/>
        <n v="0.45" u="1"/>
        <n v="3.1142857142857134" u="1"/>
        <n v="-1.5479616306954436" u="1"/>
        <n v="-0.34065934065934067" u="1"/>
        <n v="-4.2352941176470589" u="1"/>
        <n v="1.62" u="1"/>
        <n v="-0.84969325153374242" u="1"/>
        <n v="-0.408119658119658" u="1"/>
        <n v="-0.7593722755013077" u="1"/>
        <n v="7.3848238482384865E-2" u="1"/>
        <n v="-1.5070422535211268" u="1"/>
        <n v="0.16438356164383555" u="1"/>
        <n v="-0.66" u="1"/>
        <n v="-0.78334910122989587" u="1"/>
        <n v="-0.30523255813953487" u="1"/>
        <n v="3.0756302521008405" u="1"/>
        <n v="-0.38961038961038963" u="1"/>
        <n v="-1.6756756756756757" u="1"/>
        <n v="26" u="1"/>
        <n v="-0.89381933438985739" u="1"/>
        <n v="-0.64102564102564097" u="1"/>
        <n v="-0.14803625377643517" u="1"/>
        <n v="2.1428571428571428" u="1"/>
        <n v="0.66417910447761197" u="1"/>
        <n v="1.1575931232091694" u="1"/>
        <n v="0.45079950799507995" u="1"/>
        <n v="1.8551660516605164" u="1"/>
        <n v="-0.19" u="1"/>
        <n v="-1.6052631578947369" u="1"/>
        <n v="-3.6509433962264155" u="1"/>
        <n v="-2.670103092783505" u="1"/>
        <n v="-0.25299145299145298" u="1"/>
        <n v="-0.67" u="1"/>
        <n v="1.1727272727272724" u="1"/>
        <n v="9.5744680851063774E-2" u="1"/>
        <n v="-1.47331583552056" u="1"/>
        <n v="-0.46314102564102566" u="1"/>
        <n v="-0.7010135135135136" u="1"/>
        <n v="0.26" u="1"/>
        <n v="-8.3636363636363633" u="1"/>
        <n v="-0.26944971537001899" u="1"/>
        <n v="1.37" u="1"/>
        <n v="0.99186991869918706" u="1"/>
        <n v="-1.4797611147976113" u="1"/>
        <n v="-0.42245370370370372" u="1"/>
        <n v="-0.39" u="1"/>
        <n v="0.81330868761552666" u="1"/>
        <n v="9.4004085801838624" u="1"/>
        <n v="-2.6044444444444443" u="1"/>
        <n v="1.0383141762452108" u="1"/>
        <n v="1.448545861297539" u="1"/>
        <n v="0.54" u="1"/>
        <n v="-7.8125E-2" u="1"/>
        <n v="-0.14349775784753363" u="1"/>
        <n v="-0.11" u="1"/>
        <n v="-0.53675304071919627" u="1"/>
        <n v="-0.27731092436974791" u="1"/>
        <n v="0.79809004092769453" u="1"/>
        <n v="89.680534918276365" u="1"/>
        <n v="-0.54803493449781659" u="1"/>
        <n v="-0.99112801013941698" u="1"/>
        <n v="8.6153846153846168" u="1"/>
        <n v="2.8498467824310523" u="1"/>
        <n v="-0.75982996811902237" u="1"/>
        <n v="-0.18537859007832902" u="1"/>
        <n v="0.31339332980412915" u="1"/>
        <n v="-0.26556016597510373" u="1"/>
        <n v="0.1298701298701298" u="1"/>
        <n v="14.059452411994785" u="1"/>
        <n v="-0.12134977287475657" u="1"/>
        <n v="-4.0238095238095237" u="1"/>
        <n v="-1.3113043478260871" u="1"/>
        <n v="0.55000000000000004" u="1"/>
        <n v="-0.44920235096557515" u="1"/>
        <n v="11.942408376963352" u="1"/>
        <n v="1.63" u="1"/>
        <n v="-0.63268108479231033" u="1"/>
        <n v="0.56076134699853575" u="1"/>
        <n v="-0.61782347900599821" u="1"/>
        <n v="-0.80915032679738563" u="1"/>
        <n v="2.86" u="1"/>
        <n v="10.427264409881062" u="1"/>
        <n v="-0.81" u="1"/>
        <n v="0.66594827586206895" u="1"/>
        <n v="18" u="1"/>
        <n v="0.14074855034264622" u="1"/>
        <n v="0.67" u="1"/>
        <n v="1.3619108551930048" u="1"/>
        <n v="-3.4262295081967213" u="1"/>
        <n v="24.56912535268037" u="1"/>
        <n v="-0.46" u="1"/>
        <n v="-1.8640167364016738" u="1"/>
        <n v="-0.93" u="1"/>
        <n v="-0.83741830065359468" u="1"/>
        <n v="-0.28094390026714156" u="1"/>
        <n v="-1.2897196261682244" u="1"/>
        <n v="33.398230088495573" u="1"/>
        <n v="25.79" u="1"/>
        <n v="0.68" u="1"/>
        <n v="-0.76179775280898876" u="1"/>
        <n v="0.32490974729241862" u="1"/>
        <n v="-0.59410029498525074" u="1"/>
        <n v="-0.13" u="1"/>
        <n v="-1.2082018927444795" u="1"/>
        <n v="0.67126890203813283" u="1"/>
        <n v="81.05" u="1"/>
        <n v="-0.26004922067268244" u="1"/>
        <n v="4.8" u="1"/>
        <n v="-0.94" u="1"/>
        <n v="0.11" u="1"/>
        <n v="24.52941176470588" u="1"/>
        <n v="0.36441336441336447" u="1"/>
        <n v="1.9151973131821998" u="1"/>
        <n v="-0.94645754461871279" u="1"/>
        <n v="0.38355726167626369" u="1"/>
        <n v="1.2343629343629345" u="1"/>
        <n v="-0.35238841033672685" u="1"/>
        <n v="-11" u="1"/>
        <n v="-0.72250423011844334" u="1"/>
        <n v="-0.70392584514721923" u="1"/>
        <n v="0.44165535956580737" u="1"/>
        <n v="6.5273972602739727" u="1"/>
        <n v="-0.51807980049875313" u="1"/>
        <n v="-0.27" u="1"/>
        <n v="-0.85081967213114762" u="1"/>
        <n v="-0.55000000000000004" u="1"/>
        <n v="58.22630744849446" u="1"/>
        <n v="-0.19086852042567803" u="1"/>
        <n v="0.28552887735236854" u="1"/>
        <n v="-0.19832869080779936" u="1"/>
        <n v="-341" u="1"/>
        <n v="3.4031007751937978" u="1"/>
        <n v="14" u="1"/>
        <n v="30.235294117647058" u="1"/>
        <n v="58.950680272108848" u="1"/>
        <n v="-1.6486810551558753" u="1"/>
        <n v="12.424332344213649" u="1"/>
        <n v="-53.25" u="1"/>
        <n v="-0.56769230769230772" u="1"/>
        <n v="2.0296684118673651" u="1"/>
        <n v="-1.1255349500713265" u="1"/>
        <n v="0.81" u="1"/>
        <n v="1.1299999999999999" u="1"/>
        <n v="0.43633125556544972" u="1"/>
        <n v="9.2926490984743593E-2" u="1"/>
        <n v="-0.54734848484848486" u="1"/>
        <n v="-0.33" u="1"/>
        <n v="0.30592991913746626" u="1"/>
        <n v="2.5952380952380949" u="1"/>
        <n v="10.425000000000001" u="1"/>
        <n v="-0.56000000000000005" u="1"/>
        <n v="3.9560357675111772" u="1"/>
        <n v="0.24943820224719104" u="1"/>
        <n v="-0.84304285026480497" u="1"/>
        <n v="0.14850821320817964" u="1"/>
        <n v="0.67848904267589383" u="1"/>
        <n v="1.3756613756613758" u="1"/>
        <n v="1.9596928982725526" u="1"/>
        <n v="-0.3223602484472049" u="1"/>
        <n v="0.46" u="1"/>
        <n v="-2.6455981941309252" u="1"/>
        <n v="-0.4371157070989381" u="1"/>
        <n v="-2.5089058524173025" u="1"/>
        <n v="-0.49398353388220395" u="1"/>
        <n v="-1.3071253071253073" u="1"/>
        <n v="-0.68" u="1"/>
        <n v="-5.925170068027211" u="1"/>
        <n v="-0.1450577663671373" u="1"/>
        <n v="-0.34245840042941489" u="1"/>
        <n v="0.2247403210576015" u="1"/>
        <n v="0.13" u="1"/>
        <n v="1.5892156862745099" u="1"/>
        <n v="1.6296296296296253E-2" u="1"/>
        <n v="0.46904315196998114" u="1"/>
        <n v="4.6500000000000004" u="1"/>
        <n v="0.94" u="1"/>
        <n v="-2.7843137254901964" u="1"/>
        <n v="-0.41222313371616071" u="1"/>
        <n v="2.09" u="1"/>
        <n v="-0.53369272237196763" u="1"/>
        <n v="-0.69" u="1"/>
        <n v="-3.7332482450542437E-2" u="1"/>
        <n v="1.1683913452492942" u="1"/>
        <n v="-0.48850913376546845" u="1"/>
        <n v="-0.39845094664371761" u="1"/>
        <n v="1.5327313769751694" u="1"/>
        <n v="0.11559009227780459" u="1"/>
        <n v="-0.20606826801517064" u="1"/>
        <n v="0.22339889056984369" u="1"/>
        <n v="0.27" u="1"/>
        <n v="4.1500000000000004" u="1"/>
        <n v="0.95" u="1"/>
        <n v="1.41" u="1"/>
        <n v="1.5739557739557739" u="1"/>
        <n v="1.92" u="1"/>
        <n v="-1.9076305220883534" u="1"/>
        <n v="-0.76091954022988495" u="1"/>
        <n v="5.5592322964923779E-2" u="1"/>
        <n v="-1.6418803418803418" u="1"/>
        <n v="8.1553398058252499E-2" u="1"/>
        <n v="4.5913682277319706E-3" u="1"/>
        <n v="-0.94210195091252358" u="1"/>
        <n v="0.08" u="1"/>
        <n v="0.17956064947468953" u="1"/>
        <n v="10" u="1"/>
        <n v="1.5856481481481479" u="1"/>
        <n v="0.56000000000000005" u="1"/>
        <n v="1.4736842105263159" u="1"/>
        <n v="-0.36139747995418098" u="1"/>
        <n v="1.6745644599303136" u="1"/>
        <n v="-1.1944847605224964" u="1"/>
        <n v="-0.7480537862703468" u="1"/>
        <n v="-1.1140142517814726" u="1"/>
        <n v="-0.72067039106145248" u="1"/>
        <n v="-7.0469798657717964E-2" u="1"/>
        <n v="-4.3111527647610171E-2" u="1"/>
        <n v="9.0909090909090773E-2" u="1"/>
        <n v="-0.60661879487980019" u="1"/>
        <n v="-0.31912442396313356" u="1"/>
        <n v="-0.82" u="1"/>
        <n v="0.75075075075075071" u="1"/>
        <n v="-0.62391681109185448" u="1"/>
        <n v="-0.70894071914480072" u="1"/>
        <n v="-0.39240506329113922" u="1"/>
        <n v="-0.63240954580446496" u="1"/>
        <n v="0.21832358674463936" u="1"/>
        <n v="0.56777108433734924" u="1"/>
        <n v="1.1599999999999999" u="1"/>
        <n v="-2.8580246913580245" u="1"/>
        <n v="-1.2657952069716774" u="1"/>
        <n v="-0.64849354375896706" u="1"/>
        <n v="-0.23" u="1"/>
        <n v="-0.24773561811505507" u="1"/>
        <n v="3.96" u="1"/>
        <n v="8" u="1"/>
        <n v="-0.83" u="1"/>
        <n v="1.1304464047046241" u="1"/>
        <n v="-2.0612485276796231" u="1"/>
        <n v="-1.9621212121212122" u="1"/>
        <n v="-1.6800000000000002" u="1"/>
        <n v="-2.2333333333333334" u="1"/>
        <n v="5.96875" u="1"/>
        <n v="-0.25178147268408546" u="1"/>
        <n v="-0.44855967078189296" u="1"/>
        <n v="0.34" u="1"/>
        <n v="0.69" u="1"/>
        <n v="-1.0104393214441061" u="1"/>
        <n v="-1.2776412776412949E-2" u="1"/>
        <n v="-1.4489208633093524" u="1"/>
        <n v="-0.86164623467600698" u="1"/>
        <n v="3.2187958883994128" u="1"/>
        <n v="-0.47" u="1"/>
        <n v="6.8949560388708919E-2" u="1"/>
        <n v="-0.35070821529745055" u="1"/>
        <n v="2.6838235294117645" u="1"/>
        <n v="0.75471698113207553" u="1"/>
        <n v="-0.95" u="1"/>
        <n v="1.2418604651162792" u="1"/>
        <n v="-0.50953206239168114" u="1"/>
        <n v="1.4098029307731177" u="1"/>
        <n v="5.0384286934244127E-2" u="1"/>
        <n v="0.63247863247863245" u="1"/>
        <n v="3.8292682926829271" u="1"/>
        <n v="-3.5149253731343282" u="1"/>
        <n v="-2.0181818181818181" u="1"/>
        <n v="-1.1361256544502618" u="1"/>
        <n v="-0.08" u="1"/>
        <n v="15.002632733655114" u="1"/>
        <n v="0.42424242424242425" u="1"/>
        <n v="-5.3540587219343516E-2" u="1"/>
        <n v="2.44" u="1"/>
        <n v="2.3280212483399736" u="1"/>
        <n v="3.0762711864406782" u="1"/>
        <n v="0.8579088471849865" u="1"/>
        <n v="7" u="1"/>
        <n v="100" u="1"/>
        <n v="-0.96" u="1"/>
        <n v="-1.1419239904988123" u="1"/>
        <n v="-0.52571230020847814" u="1"/>
        <n v="0.36776859504132231" u="1"/>
        <n v="-2.8010471204188478" u="1"/>
        <n v="-0.18871252204585526" u="1"/>
        <n v="-0.64634146341463405" u="1"/>
        <n v="-1.0467445742904842" u="1"/>
        <n v="-0.36947094535993064" u="1"/>
        <n v="0.108626198083067" u="1"/>
        <n v="-0.50813008130081305" u="1"/>
        <n v="-0.28000000000000003" u="1"/>
        <n v="-0.56999999999999995" u="1"/>
        <n v="0.11583011583011582" u="1"/>
        <n v="-0.42979942693409734" u="1"/>
        <n v="0.11517761033369212" u="1"/>
        <n v="51.45" u="1"/>
        <n v="0.23" u="1"/>
        <n v="-0.89881956155143328" u="1"/>
        <n v="0.41" u="1"/>
        <n v="-4.5" u="1"/>
        <n v="-0.46228884130383052" u="1"/>
        <n v="4.0257186081694405" u="1"/>
        <n v="0.83" u="1"/>
        <n v="1.17" u="1"/>
        <n v="-2.1761978361669239" u="1"/>
        <n v="-0.59459459459459463" u="1"/>
        <n v="-0.92122538293216638" u="1"/>
        <n v="-0.34" u="1"/>
        <n v="3.98" u="1"/>
        <n v="1.6341463414634148" u="1"/>
        <n v="-0.57999999999999996" u="1"/>
        <n v="6.58" u="1"/>
        <n v="-2.5593220338983049" u="1"/>
        <n v="-1.0033917467495761" u="1"/>
        <n v="-1.4865350089766607" u="1"/>
        <n v="4.4463484292125663" u="1"/>
        <n v="0.47" u="1"/>
        <n v="0.33756491633006336" u="1"/>
        <n v="1.3095823095823094" u="1"/>
        <n v="-0.66820276497695852" u="1"/>
        <n v="1.19" u="1"/>
        <n v="-0.27653856490190809" u="1"/>
        <n v="9.5022624434389025E-2" u="1"/>
        <n v="-1.399135446685879" u="1"/>
        <n v="1.6303191489361701" u="1"/>
        <n v="43.428956027520194" u="1"/>
        <n v="0.73557187827911852" u="1"/>
        <n v="4.3333333333333339" u="1"/>
        <n v="-0.30434782608695643" u="1"/>
        <n v="-0.18468468468468471" u="1"/>
        <n v="8.24" u="1"/>
        <n v="10.793103448275861" u="1"/>
        <n v="-0.34458456973293761" u="1"/>
        <n v="-0.1068904593639578" u="1"/>
        <n v="6.5840613679948863" u="1"/>
        <n v="0.34502923976608185" u="1"/>
        <n v="-0.68875951634572319" u="1"/>
        <n v="-0.42186922792759507" u="1"/>
        <n v="6.5757575757575752" u="1"/>
        <n v="-2.0290697674418605" u="1"/>
        <n v="-0.84643510054844606" u="1"/>
        <n v="-0.83255086071987483" u="1"/>
        <n v="2.1362962962962961" u="1"/>
        <n v="-2.3149606299212602" u="1"/>
        <n v="-0.37810945273631846" u="1"/>
        <n v="0.04" u="1"/>
        <n v="5" u="1"/>
        <n v="6.2857142857142917E-2" u="1"/>
        <n v="-0.71" u="1"/>
        <n v="-0.48727057430432208" u="1"/>
        <n v="8.3669103709721089" u="1"/>
        <n v="0.29029029029029019" u="1"/>
        <n v="145.79999999999998" u="1"/>
        <n v="-0.75214899713467043" u="1"/>
        <n v="23.94047619047619" u="1"/>
        <n v="-0.47836734693877558" u="1"/>
        <n v="-0.14693877551020407" u="1"/>
        <n v="0.74948979591836729" u="1"/>
        <n v="0.25744167337087709" u="1"/>
        <n v="0.28000000000000003" u="1"/>
        <n v="0.64537521815008736" u="1"/>
        <n v="4.1957894736842105" u="1"/>
        <n v="-0.70139534883720933" u="1"/>
        <n v="-0.63157894736842113" u="1"/>
        <n v="-0.22734761120263591" u="1"/>
        <n v="-2.8207547169811322" u="1"/>
        <n v="0.68839966130397956" u="1"/>
        <n v="3.0946859903381649" u="1"/>
        <n v="3.23" u="1"/>
        <n v="-0.51934523809523803" u="1"/>
        <n v="-0.41" u="1"/>
        <n v="-0.14039665970772441" u="1"/>
        <n v="-1.2468030690537084" u="1"/>
        <n v="1.0114991482112439" u="1"/>
        <n v="1.3487595419847327" u="1"/>
        <n v="-0.69888734353268422" u="1"/>
        <n v="8.4700000000000006" u="1"/>
        <n v="-1.6858638743455499" u="1"/>
        <n v="-0.74292643492320132" u="1"/>
        <n v="-1.2473641524736414" u="1"/>
        <n v="0.57999999999999996" u="1"/>
        <n v="0.73102155576382377" u="1"/>
        <n v="-0.57821552723059089" u="1"/>
        <n v="-4.3595505617977528" u="1"/>
        <n v="61.964575330772526" u="1"/>
        <n v="17.510000000000002" u="1"/>
        <n v="-0.26846057571964943" u="1"/>
        <n v="-8.6269744835965945E-2" u="1"/>
        <n v="-3.6343612334801767E-2" u="1"/>
        <n v="58" u="1"/>
        <n v="-0.84" u="1"/>
        <n v="-0.69880823401950165" u="1"/>
        <n v="0.43288590604026855" u="1"/>
        <n v="-0.22796795338674436" u="1"/>
        <n v="7.3243647234678466E-2" u="1"/>
        <n v="9.5145631067961256E-2" u="1"/>
        <n v="-0.47841726618705044" u="1"/>
        <n v="0.3031674208144795" u="1"/>
        <n v="0.7491278147795748" u="1"/>
        <n v="0.40933435348125502" u="1"/>
        <n v="8.0981595092024516E-2" u="1"/>
        <n v="-0.44089012517385251" u="1"/>
        <n v="-0.27756892230576447" u="1"/>
        <n v="19.018694885361551" u="1"/>
        <n v="6.9072164948453585E-2" u="1"/>
        <n v="0.48968209704406018" u="1"/>
        <n v="-0.19516407599309152" u="1"/>
        <n v="1.8530774321641408E-2" u="1"/>
        <n v="0.17016317016317017" u="1"/>
        <n v="-0.85" u="1"/>
        <n v="-0.66964285714285721" u="1"/>
        <n v="-0.11051502145922742" u="1"/>
        <n v="2.7980392156862743" u="1"/>
        <n v="-0.32487309644670048" u="1"/>
        <n v="7.9396984924623215E-2" u="1"/>
        <n v="0.40096153846153859" u="1"/>
        <n v="0.42813141683778233" u="1"/>
        <n v="-0.04" u="1"/>
        <n v="0.35" u="1"/>
        <n v="-0.61217587373167981" u="1"/>
        <n v="17.511060040218329" u="1"/>
        <n v="25.79043280182232" u="1"/>
        <n v="-0.63417890520694253" u="1"/>
        <n v="2.3028455284552845" u="1"/>
        <n v="0.75938337801608591" u="1"/>
        <n v="-2.2768595041322315" u="1"/>
        <n v="-0.48" u="1"/>
        <n v="1.5617977528089884" u="1"/>
        <n v="2.8730158730158726" u="1"/>
        <n v="-0.52504317789291877" u="1"/>
        <n v="-0.70383275261324041" u="1"/>
        <n v="2.8588235294117648" u="1"/>
        <n v="85.245475638051062" u="1"/>
        <n v="4.1474025974025972" u="1"/>
        <n v="1.0061643835616438" u="1"/>
        <n v="-14.914893617021278" u="1"/>
        <n v="-0.14000000000000001" u="1"/>
        <n v="0.98603839441535779" u="1"/>
        <n v="-0.83751743375174337" u="1"/>
        <n v="0.19077134986225897" u="1"/>
        <n v="-0.80564430244941432" u="1"/>
        <n v="-0.49557982319292776" u="1"/>
        <n v="-0.7541806020066889" u="1"/>
        <n v="-0.79004467134652201" u="1"/>
        <n v="-0.44648829431438131" u="1"/>
        <n v="-0.27966101694915257" u="1"/>
        <n v="1.170926517571885" u="1"/>
        <n v="-0.43080260303687623" u="1"/>
        <n v="-0.25453277545327757" u="1"/>
        <n v="-0.3667117726657646" u="1"/>
        <n v="-0.17" u="1"/>
        <n v="8.615682478218778E-2" u="1"/>
        <n v="-1.9408450704225355" u="1"/>
        <n v="-0.61538461538461542" u="1"/>
        <n v="3" u="1"/>
        <n v="-0.28999999999999998" u="1"/>
        <n v="0.51332149200710486" u="1"/>
        <n v="-0.59" u="1"/>
        <n v="-8.1227436823104737E-2" u="1"/>
        <n v="0.54211663066954641" u="1"/>
        <n v="2.3880597014925398E-2" u="1"/>
        <n v="-1.3790170132325141" u="1"/>
        <n v="-2" u="1"/>
        <n v="7.1328790459965941" u="1"/>
        <n v="-0.41074681238615651" u="1"/>
        <n v="-4.08" u="1"/>
        <n v="-0.33541341653666146" u="1"/>
        <n v="-0.81219681219681217" u="1"/>
        <n v="0.85" u="1"/>
        <n v="0.83158813263525344" u="1"/>
        <n v="-0.43383584589614743" u="1"/>
        <n v="-0.71646795827123699" u="1"/>
        <n v="-0.16540722082283799" u="1"/>
        <n v="-0.92810880829015541" u="1"/>
        <n v="-0.35" u="1"/>
        <n v="38" u="1"/>
        <n v="-0.36571094207138677" u="1"/>
        <n v="-0.70782483847810473" u="1"/>
        <n v="3.1579252390611421" u="1"/>
        <n v="-2.4551724137931035" u="1"/>
        <n v="-1.1391694725028059" u="1"/>
        <n v="-0.51782363977485923" u="1"/>
        <n v="-8.5833333333333339" u="1"/>
        <n v="0.11170784103114939" u="1"/>
        <n v="-2.9411764705883359E-3" u="1"/>
        <n v="-0.23809523809523803" u="1"/>
        <n v="6.3052256532066515" u="1"/>
        <n v="-4.1923076923076925" u="1"/>
        <n v="10.528037383177571" u="1"/>
        <n v="2.1176718684099538" u="1"/>
        <n v="1.23" u="1"/>
        <n v="0.02" u="1"/>
        <n v="-0.36111111111111105" u="1"/>
        <n v="2.79" u="1"/>
        <n v="0.88405088062622306" u="1"/>
        <n v="-0.32603489565514887" u="1"/>
        <n v="-0.11377870563674319" u="1"/>
        <n v="-1.2201352366641622" u="1"/>
        <n v="-0.72" u="1"/>
        <n v="-0.18913612565445037" u="1"/>
        <n v="-9.3945720250521947E-2" u="1"/>
        <n v="2.5816582914572859" u="1"/>
        <n v="2.0262295081967219" u="1"/>
        <n v="0.14000000000000001" u="1"/>
        <n v="-2.666666666666667" u="1"/>
        <n v="-0.95532390171258375" u="1"/>
        <n v="-0.42211838006230534" u="1"/>
        <n v="0.52663384064458363" u="1"/>
        <n v="0.69793322734499208" u="1"/>
        <n v="-11.210526315789474" u="1"/>
        <n v="-0.66900995899238436" u="1"/>
        <n v="7.2000000000000011" u="1"/>
        <n v="-2.3967391304347827" u="1"/>
        <n v="-0.73" u="1"/>
        <n v="-0.49339933993399343" u="1"/>
        <n v="-0.31972111553784854" u="1"/>
        <n v="1.1887755102040816" u="1"/>
        <n v="0.28999999999999998" u="1"/>
        <n v="-0.40168878166465621" u="1"/>
        <n v="-0.39416058394160591" u="1"/>
        <n v="-5.6786703601107935E-2" u="1"/>
        <n v="-0.96340825927861995" u="1"/>
        <n v="-16.03846153846154" u="1"/>
        <n v="0.99" u="1"/>
        <n v="-15.8" u="1"/>
        <n v="-0.29064296915839" u="1"/>
        <n v="-0.65705128205128194" u="1"/>
        <n v="1.9003160011490952" u="1"/>
        <n v="-0.59416840226123191" u="1"/>
        <n v="-0.56013745704467355" u="1"/>
        <n v="-0.74328859060402674" u="1"/>
        <n v="-0.42" u="1"/>
        <n v="1.1932367149758449" u="1"/>
        <n v="-7.9473684210526319" u="1"/>
        <n v="0.26048714479025703" u="1"/>
        <n v="-2.1834215167548501" u="1"/>
        <n v="0.5639698965192852" u="1"/>
        <n v="0.27899686520376177" u="1"/>
        <n v="-1.6571798188874516" u="1"/>
        <n v="-0.59454756380510432" u="1"/>
        <n v="0.36899563318777284" u="1"/>
        <n v="-0.32692307692307698" u="1"/>
        <n v="-0.68133911965282079" u="1"/>
        <n v="0.1794692737430168" u="1"/>
        <n v="-2.78125" u="1"/>
        <n v="4.0588235294117645" u="1"/>
        <n v="0.63480309660047118" u="1"/>
        <n v="2.04" u="1"/>
        <n v="-0.86" u="1"/>
        <n v="0.18276972624798704" u="1"/>
        <n v="-0.02" u="1"/>
        <n v="1.1162507608034082" u="1"/>
      </sharedItems>
    </cacheField>
    <cacheField name="David Improvement Vs. S&amp;P Return" numFmtId="9">
      <sharedItems containsMixedTypes="1" containsNumber="1" minValue="-1" maxValue="58.2"/>
    </cacheField>
    <cacheField name="Tom Improvement Vs. S&amp;P Return" numFmtId="9">
      <sharedItems containsMixedTypes="1" containsNumber="1" minValue="-1" maxValue="51.5"/>
    </cacheField>
    <cacheField name="Field1" numFmtId="0" formula="'Log return'" databaseField="0"/>
    <cacheField name="Field2" numFmtId="0" formula=" 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4">
  <r>
    <x v="0"/>
    <x v="0"/>
    <n v="0"/>
    <n v="1"/>
    <x v="0"/>
    <s v="$152B"/>
    <s v="David"/>
    <n v="12"/>
    <n v="1.85"/>
    <n v="185.85900000000001"/>
    <n v="2.27"/>
    <n v="433"/>
    <n v="185.85900000000001"/>
    <s v=""/>
    <n v="2.1549999999999998"/>
    <n v="2.1549999999999998"/>
    <s v=""/>
    <n v="183.70400000000001"/>
    <n v="183.70400000000001"/>
    <s v=""/>
    <n v="58.2"/>
    <n v="58.2"/>
    <s v=""/>
  </r>
  <r>
    <x v="1"/>
    <x v="0"/>
    <n v="0"/>
    <n v="1"/>
    <x v="0"/>
    <s v="$152B"/>
    <s v="David"/>
    <n v="12"/>
    <n v="2.33"/>
    <n v="147.52600000000001"/>
    <n v="2.17"/>
    <n v="432"/>
    <n v="147.52600000000001"/>
    <s v=""/>
    <n v="2.343"/>
    <n v="2.343"/>
    <s v=""/>
    <n v="145.18299999999999"/>
    <n v="145.18299999999999"/>
    <s v=""/>
    <n v="43.4"/>
    <n v="43.4"/>
    <s v=""/>
  </r>
  <r>
    <x v="2"/>
    <x v="0"/>
    <n v="0"/>
    <n v="1"/>
    <x v="0"/>
    <s v="$152B"/>
    <s v="Tom"/>
    <m/>
    <n v="2.82"/>
    <n v="122.056"/>
    <n v="2.09"/>
    <n v="431"/>
    <s v=""/>
    <n v="122.056"/>
    <n v="1.3460000000000001"/>
    <s v=""/>
    <n v="1.3460000000000001"/>
    <n v="120.709"/>
    <s v=""/>
    <n v="120.709"/>
    <n v="51.5"/>
    <s v=""/>
    <n v="51.5"/>
  </r>
  <r>
    <x v="3"/>
    <x v="1"/>
    <n v="1"/>
    <n v="1"/>
    <x v="1"/>
    <s v="$896B"/>
    <s v="David"/>
    <n v="9"/>
    <n v="15.31"/>
    <n v="116.61"/>
    <n v="2.0699999999999998"/>
    <n v="430"/>
    <n v="116.61"/>
    <s v=""/>
    <n v="3.39"/>
    <n v="3.39"/>
    <s v=""/>
    <n v="113.22"/>
    <n v="113.22"/>
    <s v=""/>
    <n v="25.8"/>
    <n v="25.8"/>
    <s v=""/>
  </r>
  <r>
    <x v="4"/>
    <x v="0"/>
    <n v="1"/>
    <n v="1"/>
    <x v="0"/>
    <s v="$152B"/>
    <s v="David"/>
    <n v="12"/>
    <n v="3.25"/>
    <n v="105.753"/>
    <n v="2.0299999999999998"/>
    <n v="429"/>
    <n v="105.753"/>
    <s v=""/>
    <n v="1.764"/>
    <n v="1.764"/>
    <s v=""/>
    <n v="103.99"/>
    <n v="103.99"/>
    <s v=""/>
    <n v="37.6"/>
    <n v="37.6"/>
    <s v=""/>
  </r>
  <r>
    <x v="5"/>
    <x v="0"/>
    <n v="1"/>
    <n v="1"/>
    <x v="0"/>
    <s v="$152B"/>
    <s v="David"/>
    <n v="12"/>
    <n v="3.87"/>
    <n v="88.433000000000007"/>
    <n v="1.95"/>
    <n v="428"/>
    <n v="88.433000000000007"/>
    <s v=""/>
    <n v="1.9279999999999999"/>
    <n v="1.9279999999999999"/>
    <s v=""/>
    <n v="86.504999999999995"/>
    <n v="86.504999999999995"/>
    <s v=""/>
    <n v="29.5"/>
    <n v="29.5"/>
    <s v=""/>
  </r>
  <r>
    <x v="6"/>
    <x v="2"/>
    <n v="1"/>
    <n v="1"/>
    <x v="2"/>
    <s v="$63B"/>
    <s v="David"/>
    <n v="7"/>
    <n v="23.71"/>
    <n v="63.436999999999998"/>
    <n v="1.81"/>
    <n v="427"/>
    <n v="63.436999999999998"/>
    <s v=""/>
    <n v="2.4809999999999999"/>
    <n v="2.4809999999999999"/>
    <s v=""/>
    <n v="60.956000000000003"/>
    <n v="60.956000000000003"/>
    <s v=""/>
    <n v="17.5"/>
    <n v="17.5"/>
    <s v=""/>
  </r>
  <r>
    <x v="7"/>
    <x v="3"/>
    <n v="1"/>
    <n v="1"/>
    <x v="3"/>
    <s v="$188B"/>
    <s v="David"/>
    <n v="8"/>
    <n v="1.81"/>
    <n v="56.753"/>
    <n v="1.76"/>
    <n v="426"/>
    <n v="56.753"/>
    <s v=""/>
    <n v="2.835"/>
    <n v="2.835"/>
    <s v=""/>
    <n v="53.917999999999999"/>
    <n v="53.917999999999999"/>
    <s v=""/>
    <n v="14.1"/>
    <n v="14.1"/>
    <s v=""/>
  </r>
  <r>
    <x v="8"/>
    <x v="4"/>
    <n v="1"/>
    <n v="1"/>
    <x v="4"/>
    <s v="$150B"/>
    <s v="David"/>
    <n v="5"/>
    <n v="6.55"/>
    <n v="36.47"/>
    <n v="1.57"/>
    <n v="425"/>
    <n v="36.47"/>
    <s v=""/>
    <n v="2.2789999999999999"/>
    <n v="2.2789999999999999"/>
    <s v=""/>
    <n v="34.191000000000003"/>
    <n v="34.191000000000003"/>
    <s v=""/>
    <n v="10.4"/>
    <n v="10.4"/>
    <s v=""/>
  </r>
  <r>
    <x v="9"/>
    <x v="3"/>
    <n v="1"/>
    <n v="1"/>
    <x v="3"/>
    <s v="$188B"/>
    <s v="David"/>
    <n v="8"/>
    <n v="2.9"/>
    <n v="34.948999999999998"/>
    <n v="1.56"/>
    <n v="424"/>
    <n v="34.948999999999998"/>
    <s v=""/>
    <n v="3.3719999999999999"/>
    <n v="3.3719999999999999"/>
    <s v=""/>
    <n v="31.577000000000002"/>
    <n v="31.577000000000002"/>
    <s v=""/>
    <n v="7.2"/>
    <n v="7.2"/>
    <s v=""/>
  </r>
  <r>
    <x v="10"/>
    <x v="5"/>
    <n v="1"/>
    <n v="1"/>
    <x v="5"/>
    <s v="$44B"/>
    <s v="David"/>
    <n v="7"/>
    <n v="1.61"/>
    <n v="34.591999999999999"/>
    <n v="1.55"/>
    <n v="423"/>
    <n v="34.591999999999999"/>
    <s v=""/>
    <n v="3.6930000000000001"/>
    <n v="3.6930000000000001"/>
    <s v=""/>
    <n v="30.899000000000001"/>
    <n v="30.899000000000001"/>
    <s v=""/>
    <n v="6.6"/>
    <n v="6.6"/>
    <s v=""/>
  </r>
  <r>
    <x v="11"/>
    <x v="6"/>
    <n v="1"/>
    <n v="1"/>
    <x v="6"/>
    <s v="$259B"/>
    <s v="Tom"/>
    <m/>
    <n v="12.52"/>
    <n v="20.847999999999999"/>
    <n v="1.34"/>
    <n v="422"/>
    <s v=""/>
    <n v="20.847999999999999"/>
    <n v="3.39"/>
    <s v=""/>
    <n v="3.39"/>
    <n v="17.457999999999998"/>
    <s v=""/>
    <n v="17.457999999999998"/>
    <n v="4"/>
    <s v=""/>
    <n v="4"/>
  </r>
  <r>
    <x v="12"/>
    <x v="7"/>
    <n v="1"/>
    <n v="1"/>
    <x v="7"/>
    <s v="$112B"/>
    <s v="Tom"/>
    <m/>
    <n v="31.84"/>
    <n v="18.096"/>
    <n v="1.28"/>
    <n v="421"/>
    <s v=""/>
    <n v="18.096"/>
    <n v="1.3480000000000001"/>
    <s v=""/>
    <n v="1.3480000000000001"/>
    <n v="16.747"/>
    <s v=""/>
    <n v="16.747"/>
    <n v="7.1"/>
    <s v=""/>
    <n v="7.1"/>
  </r>
  <r>
    <x v="13"/>
    <x v="5"/>
    <n v="1"/>
    <n v="1"/>
    <x v="5"/>
    <s v="$44B"/>
    <s v="David"/>
    <n v="7"/>
    <n v="3.14"/>
    <n v="17.276"/>
    <n v="1.26"/>
    <n v="420"/>
    <n v="17.276"/>
    <s v=""/>
    <n v="3.3250000000000002"/>
    <n v="3.3250000000000002"/>
    <s v=""/>
    <n v="13.951000000000001"/>
    <n v="13.951000000000001"/>
    <s v=""/>
    <n v="3.2"/>
    <n v="3.2"/>
    <s v=""/>
  </r>
  <r>
    <x v="14"/>
    <x v="4"/>
    <n v="1"/>
    <n v="1"/>
    <x v="4"/>
    <s v="$150B"/>
    <s v="David"/>
    <n v="5"/>
    <n v="15.48"/>
    <n v="14.853999999999999"/>
    <n v="1.2"/>
    <n v="419"/>
    <n v="14.853999999999999"/>
    <s v=""/>
    <n v="2.08"/>
    <n v="2.08"/>
    <s v=""/>
    <n v="12.773999999999999"/>
    <n v="12.773999999999999"/>
    <s v=""/>
    <n v="4.0999999999999996"/>
    <n v="4.0999999999999996"/>
    <s v=""/>
  </r>
  <r>
    <x v="15"/>
    <x v="3"/>
    <n v="1"/>
    <n v="1"/>
    <x v="3"/>
    <s v="$188B"/>
    <s v="David"/>
    <n v="8"/>
    <n v="7.27"/>
    <n v="13.349"/>
    <n v="1.1599999999999999"/>
    <n v="418"/>
    <n v="13.349"/>
    <s v=""/>
    <n v="2.4510000000000001"/>
    <n v="2.4510000000000001"/>
    <s v=""/>
    <n v="10.898"/>
    <n v="10.898"/>
    <s v=""/>
    <n v="3.2"/>
    <n v="3.2"/>
    <s v=""/>
  </r>
  <r>
    <x v="16"/>
    <x v="8"/>
    <n v="1"/>
    <n v="1"/>
    <x v="8"/>
    <s v="$26B"/>
    <s v="Tom"/>
    <m/>
    <n v="18.579999999999998"/>
    <n v="12.504"/>
    <n v="1.1299999999999999"/>
    <n v="417"/>
    <s v=""/>
    <n v="12.504"/>
    <n v="2.92"/>
    <s v=""/>
    <n v="2.92"/>
    <n v="9.5839999999999996"/>
    <s v=""/>
    <n v="9.5839999999999996"/>
    <n v="2.4"/>
    <s v=""/>
    <n v="2.4"/>
  </r>
  <r>
    <x v="17"/>
    <x v="9"/>
    <n v="1"/>
    <n v="1"/>
    <x v="9"/>
    <s v="$1,165B"/>
    <s v="David"/>
    <n v="6"/>
    <n v="20.010000000000002"/>
    <n v="12.302"/>
    <n v="1.1200000000000001"/>
    <n v="416"/>
    <n v="12.302"/>
    <s v=""/>
    <n v="1.6839999999999999"/>
    <n v="1.6839999999999999"/>
    <s v=""/>
    <n v="10.618"/>
    <n v="10.618"/>
    <s v=""/>
    <n v="4"/>
    <n v="4"/>
    <s v=""/>
  </r>
  <r>
    <x v="18"/>
    <x v="10"/>
    <n v="1"/>
    <n v="1"/>
    <x v="10"/>
    <s v="$49B"/>
    <s v="Tom"/>
    <m/>
    <n v="32.32"/>
    <n v="11.943"/>
    <n v="1.1100000000000001"/>
    <n v="415"/>
    <s v=""/>
    <n v="11.943"/>
    <n v="0.36699999999999999"/>
    <s v=""/>
    <n v="0.36699999999999999"/>
    <n v="11.576000000000001"/>
    <s v=""/>
    <n v="11.576000000000001"/>
    <n v="8.5"/>
    <s v=""/>
    <n v="8.5"/>
  </r>
  <r>
    <x v="19"/>
    <x v="9"/>
    <n v="1"/>
    <n v="1"/>
    <x v="9"/>
    <s v="$1,165B"/>
    <s v="David"/>
    <n v="6"/>
    <n v="21.73"/>
    <n v="11.246"/>
    <n v="1.0900000000000001"/>
    <n v="414"/>
    <n v="11.246"/>
    <s v=""/>
    <n v="1.6739999999999999"/>
    <n v="1.6739999999999999"/>
    <s v=""/>
    <n v="9.5719999999999992"/>
    <n v="9.5719999999999992"/>
    <s v=""/>
    <n v="3.6"/>
    <n v="3.6"/>
    <s v=""/>
  </r>
  <r>
    <x v="20"/>
    <x v="11"/>
    <n v="1"/>
    <n v="1"/>
    <x v="11"/>
    <s v="$44B"/>
    <s v="Tom"/>
    <m/>
    <n v="45.44"/>
    <n v="10.602"/>
    <n v="1.06"/>
    <n v="413"/>
    <s v=""/>
    <n v="10.602"/>
    <n v="1.665"/>
    <s v=""/>
    <n v="1.665"/>
    <n v="8.9369999999999994"/>
    <s v=""/>
    <n v="8.9369999999999994"/>
    <n v="3.4"/>
    <s v=""/>
    <n v="3.4"/>
  </r>
  <r>
    <x v="21"/>
    <x v="0"/>
    <n v="1"/>
    <n v="1"/>
    <x v="0"/>
    <s v="$152B"/>
    <s v="David"/>
    <n v="12"/>
    <n v="30.99"/>
    <n v="10.182"/>
    <n v="1.05"/>
    <n v="412"/>
    <n v="10.182"/>
    <s v=""/>
    <n v="0.97899999999999998"/>
    <n v="0.97899999999999998"/>
    <s v=""/>
    <n v="9.2029999999999994"/>
    <n v="9.2029999999999994"/>
    <s v=""/>
    <n v="4.7"/>
    <n v="4.7"/>
    <s v=""/>
  </r>
  <r>
    <x v="22"/>
    <x v="3"/>
    <n v="1"/>
    <n v="1"/>
    <x v="3"/>
    <s v="$188B"/>
    <s v="David"/>
    <n v="8"/>
    <n v="9.42"/>
    <n v="10.074999999999999"/>
    <n v="1.04"/>
    <n v="411"/>
    <n v="10.074999999999999"/>
    <s v=""/>
    <n v="3.6890000000000001"/>
    <n v="3.6890000000000001"/>
    <s v=""/>
    <n v="6.3869999999999996"/>
    <n v="6.3869999999999996"/>
    <s v=""/>
    <n v="1.4"/>
    <n v="1.4"/>
    <s v=""/>
  </r>
  <r>
    <x v="23"/>
    <x v="1"/>
    <n v="1"/>
    <n v="1"/>
    <x v="1"/>
    <s v="$896B"/>
    <s v="David"/>
    <n v="9"/>
    <n v="177.58"/>
    <n v="9.14"/>
    <n v="1.01"/>
    <n v="410"/>
    <n v="9.14"/>
    <s v=""/>
    <n v="1.6759999999999999"/>
    <n v="1.6759999999999999"/>
    <s v=""/>
    <n v="7.4640000000000004"/>
    <n v="7.4640000000000004"/>
    <s v=""/>
    <n v="2.8"/>
    <n v="2.8"/>
    <s v=""/>
  </r>
  <r>
    <x v="6"/>
    <x v="12"/>
    <n v="1"/>
    <n v="1"/>
    <x v="6"/>
    <s v="$259B"/>
    <s v="Tom"/>
    <m/>
    <n v="27.09"/>
    <n v="9.0960000000000001"/>
    <n v="1"/>
    <n v="409"/>
    <s v=""/>
    <n v="9.0960000000000001"/>
    <n v="2.4809999999999999"/>
    <s v=""/>
    <n v="2.4809999999999999"/>
    <n v="6.6150000000000002"/>
    <s v=""/>
    <n v="6.6150000000000002"/>
    <n v="1.9"/>
    <s v=""/>
    <n v="1.9"/>
  </r>
  <r>
    <x v="24"/>
    <x v="13"/>
    <n v="1"/>
    <n v="1"/>
    <x v="12"/>
    <s v="$133B"/>
    <s v="Tom"/>
    <m/>
    <n v="30.52"/>
    <n v="8.8960000000000008"/>
    <n v="1"/>
    <n v="408"/>
    <s v=""/>
    <n v="8.8960000000000008"/>
    <n v="2.5550000000000002"/>
    <s v=""/>
    <n v="2.5550000000000002"/>
    <n v="6.34"/>
    <s v=""/>
    <n v="6.34"/>
    <n v="1.8"/>
    <s v=""/>
    <n v="1.8"/>
  </r>
  <r>
    <x v="25"/>
    <x v="14"/>
    <n v="1"/>
    <n v="1"/>
    <x v="13"/>
    <s v="$148B"/>
    <s v="David"/>
    <n v="8"/>
    <n v="32.840000000000003"/>
    <n v="8.3119999999999994"/>
    <n v="0.97"/>
    <n v="407"/>
    <n v="8.3119999999999994"/>
    <s v=""/>
    <n v="2.331"/>
    <n v="2.331"/>
    <s v=""/>
    <n v="5.9809999999999999"/>
    <n v="5.9809999999999999"/>
    <s v=""/>
    <n v="1.8"/>
    <n v="1.8"/>
    <s v=""/>
  </r>
  <r>
    <x v="26"/>
    <x v="3"/>
    <n v="1"/>
    <n v="1"/>
    <x v="3"/>
    <s v="$188B"/>
    <s v="David"/>
    <n v="8"/>
    <n v="12.03"/>
    <n v="7.6760000000000002"/>
    <n v="0.94"/>
    <n v="406"/>
    <n v="7.6760000000000002"/>
    <s v=""/>
    <n v="2.87"/>
    <n v="2.87"/>
    <s v=""/>
    <n v="4.8049999999999997"/>
    <n v="4.8049999999999997"/>
    <s v=""/>
    <n v="1.2"/>
    <n v="1.2"/>
    <s v=""/>
  </r>
  <r>
    <x v="22"/>
    <x v="15"/>
    <n v="1"/>
    <n v="1"/>
    <x v="14"/>
    <s v="$610M"/>
    <s v="Tom"/>
    <m/>
    <n v="1.97"/>
    <n v="7.5179999999999998"/>
    <n v="0.93"/>
    <n v="405"/>
    <s v=""/>
    <n v="7.5179999999999998"/>
    <n v="2.2589999999999999"/>
    <s v=""/>
    <n v="2.2589999999999999"/>
    <n v="5.26"/>
    <s v=""/>
    <n v="5.26"/>
    <n v="1.6"/>
    <s v=""/>
    <n v="1.6"/>
  </r>
  <r>
    <x v="27"/>
    <x v="16"/>
    <n v="1"/>
    <n v="1"/>
    <x v="15"/>
    <s v="N/A Corporate Action Details"/>
    <s v="David"/>
    <n v="7"/>
    <s v="$0 N/A Corporate Action Details"/>
    <n v="6.97"/>
    <n v="0.9"/>
    <n v="404"/>
    <n v="6.97"/>
    <s v=""/>
    <n v="2.7410000000000001"/>
    <n v="2.7410000000000001"/>
    <s v=""/>
    <n v="4.2300000000000004"/>
    <n v="4.2300000000000004"/>
    <s v=""/>
    <n v="1.1000000000000001"/>
    <n v="1.1000000000000001"/>
    <s v=""/>
  </r>
  <r>
    <x v="28"/>
    <x v="2"/>
    <n v="1"/>
    <n v="1"/>
    <x v="2"/>
    <s v="$63B"/>
    <s v="David"/>
    <n v="7"/>
    <n v="193.09"/>
    <n v="6.9119999999999999"/>
    <n v="0.9"/>
    <n v="403"/>
    <n v="6.9119999999999999"/>
    <s v=""/>
    <n v="2.008"/>
    <n v="2.008"/>
    <s v=""/>
    <n v="4.9039999999999999"/>
    <n v="4.9039999999999999"/>
    <s v=""/>
    <n v="1.6"/>
    <n v="1.6"/>
    <s v=""/>
  </r>
  <r>
    <x v="10"/>
    <x v="17"/>
    <n v="1"/>
    <n v="1"/>
    <x v="14"/>
    <s v="$610M"/>
    <s v="Tom"/>
    <m/>
    <n v="2.4300000000000002"/>
    <n v="6.3920000000000003"/>
    <n v="0.87"/>
    <n v="402"/>
    <s v=""/>
    <n v="6.3920000000000003"/>
    <n v="1.371"/>
    <s v=""/>
    <n v="1.371"/>
    <n v="5.0209999999999999"/>
    <s v=""/>
    <n v="5.0209999999999999"/>
    <n v="2.1"/>
    <s v=""/>
    <n v="2.1"/>
  </r>
  <r>
    <x v="16"/>
    <x v="3"/>
    <n v="1"/>
    <n v="1"/>
    <x v="3"/>
    <s v="$188B"/>
    <s v="David"/>
    <n v="8"/>
    <n v="15.22"/>
    <n v="5.8579999999999997"/>
    <n v="0.84"/>
    <n v="401"/>
    <n v="5.8579999999999997"/>
    <s v=""/>
    <n v="2.92"/>
    <n v="2.92"/>
    <s v=""/>
    <n v="2.9380000000000002"/>
    <n v="2.9380000000000002"/>
    <s v=""/>
    <n v="0.7"/>
    <n v="0.7"/>
    <s v=""/>
  </r>
  <r>
    <x v="29"/>
    <x v="18"/>
    <n v="1"/>
    <n v="1"/>
    <x v="16"/>
    <s v="$9B"/>
    <s v="David"/>
    <n v="10"/>
    <n v="9.7100000000000009"/>
    <n v="5.8209999999999997"/>
    <n v="0.83"/>
    <n v="400"/>
    <n v="5.8209999999999997"/>
    <s v=""/>
    <n v="3.468"/>
    <n v="3.468"/>
    <s v=""/>
    <n v="2.3530000000000002"/>
    <n v="2.3530000000000002"/>
    <s v=""/>
    <n v="0.5"/>
    <n v="0.5"/>
    <s v=""/>
  </r>
  <r>
    <x v="30"/>
    <x v="19"/>
    <n v="1"/>
    <n v="1"/>
    <x v="17"/>
    <s v="$24B"/>
    <s v="David"/>
    <n v="13"/>
    <n v="67"/>
    <n v="5.7460000000000004"/>
    <n v="0.83"/>
    <n v="399"/>
    <n v="5.7460000000000004"/>
    <s v=""/>
    <n v="1.3620000000000001"/>
    <n v="1.3620000000000001"/>
    <s v=""/>
    <n v="4.3840000000000003"/>
    <n v="4.3840000000000003"/>
    <s v=""/>
    <n v="1.9"/>
    <n v="1.9"/>
    <s v=""/>
  </r>
  <r>
    <x v="31"/>
    <x v="9"/>
    <n v="1"/>
    <n v="1"/>
    <x v="9"/>
    <s v="$1,165B"/>
    <s v="David"/>
    <n v="6"/>
    <n v="39.71"/>
    <n v="5.702"/>
    <n v="0.83"/>
    <n v="398"/>
    <n v="5.702"/>
    <s v=""/>
    <n v="1.5920000000000001"/>
    <n v="1.5920000000000001"/>
    <s v=""/>
    <n v="4.1100000000000003"/>
    <n v="4.1100000000000003"/>
    <s v=""/>
    <n v="1.6"/>
    <n v="1.6"/>
    <s v=""/>
  </r>
  <r>
    <x v="32"/>
    <x v="20"/>
    <n v="1"/>
    <n v="1"/>
    <x v="18"/>
    <s v="$12B"/>
    <s v="Tom"/>
    <m/>
    <n v="15.74"/>
    <n v="5.1429999999999998"/>
    <n v="0.79"/>
    <n v="397"/>
    <s v=""/>
    <n v="5.1429999999999998"/>
    <n v="1.3480000000000001"/>
    <s v=""/>
    <n v="1.3480000000000001"/>
    <n v="3.7949999999999999"/>
    <s v=""/>
    <n v="3.7949999999999999"/>
    <n v="1.6"/>
    <s v=""/>
    <n v="1.6"/>
  </r>
  <r>
    <x v="33"/>
    <x v="21"/>
    <n v="1"/>
    <n v="1"/>
    <x v="19"/>
    <s v="$38B"/>
    <s v="David"/>
    <n v="8"/>
    <n v="43.13"/>
    <n v="5.024"/>
    <n v="0.78"/>
    <n v="396"/>
    <n v="5.024"/>
    <s v=""/>
    <n v="1.792"/>
    <n v="1.792"/>
    <s v=""/>
    <n v="3.2320000000000002"/>
    <n v="3.2320000000000002"/>
    <s v=""/>
    <n v="1.2"/>
    <n v="1.2"/>
    <s v=""/>
  </r>
  <r>
    <x v="34"/>
    <x v="22"/>
    <n v="1"/>
    <n v="1"/>
    <x v="20"/>
    <s v="$18B"/>
    <s v="David"/>
    <n v="10"/>
    <n v="10.79"/>
    <n v="4.9340000000000002"/>
    <n v="0.77"/>
    <n v="395"/>
    <n v="4.9340000000000002"/>
    <s v=""/>
    <n v="0.42799999999999999"/>
    <n v="0.42799999999999999"/>
    <s v=""/>
    <n v="4.5060000000000002"/>
    <n v="4.5060000000000002"/>
    <s v=""/>
    <n v="3.2"/>
    <n v="3.2"/>
    <s v=""/>
  </r>
  <r>
    <x v="35"/>
    <x v="23"/>
    <n v="1"/>
    <n v="1"/>
    <x v="21"/>
    <s v="$4B"/>
    <s v="David"/>
    <n v="10"/>
    <n v="58.62"/>
    <n v="4.923"/>
    <n v="0.77"/>
    <n v="394"/>
    <n v="4.923"/>
    <s v=""/>
    <n v="2.0960000000000001"/>
    <n v="2.0960000000000001"/>
    <s v=""/>
    <n v="2.827"/>
    <n v="2.827"/>
    <s v=""/>
    <n v="0.9"/>
    <n v="0.9"/>
    <s v=""/>
  </r>
  <r>
    <x v="36"/>
    <x v="24"/>
    <n v="1"/>
    <n v="1"/>
    <x v="22"/>
    <s v="$7B"/>
    <s v="David"/>
    <n v="9"/>
    <n v="6.86"/>
    <n v="4.7869999999999999"/>
    <n v="0.76"/>
    <n v="393"/>
    <n v="4.7869999999999999"/>
    <s v=""/>
    <n v="1.59"/>
    <n v="1.59"/>
    <s v=""/>
    <n v="3.198"/>
    <n v="3.198"/>
    <s v=""/>
    <n v="1.2"/>
    <n v="1.2"/>
    <s v=""/>
  </r>
  <r>
    <x v="37"/>
    <x v="25"/>
    <n v="1"/>
    <n v="1"/>
    <x v="23"/>
    <s v="$34B"/>
    <s v="David"/>
    <n v="9"/>
    <n v="26.45"/>
    <n v="4.5579999999999998"/>
    <n v="0.74"/>
    <n v="392"/>
    <n v="4.5579999999999998"/>
    <s v=""/>
    <n v="2.194"/>
    <n v="2.194"/>
    <s v=""/>
    <n v="2.363"/>
    <n v="2.363"/>
    <s v=""/>
    <n v="0.7"/>
    <n v="0.7"/>
    <s v=""/>
  </r>
  <r>
    <x v="38"/>
    <x v="26"/>
    <n v="1"/>
    <n v="1"/>
    <x v="24"/>
    <s v="$131B"/>
    <s v="Tom"/>
    <m/>
    <n v="15.25"/>
    <n v="4.5149999999999997"/>
    <n v="0.74"/>
    <n v="391"/>
    <s v=""/>
    <n v="4.5149999999999997"/>
    <n v="2.153"/>
    <s v=""/>
    <n v="2.153"/>
    <n v="2.3620000000000001"/>
    <s v=""/>
    <n v="2.3620000000000001"/>
    <n v="0.7"/>
    <s v=""/>
    <n v="0.7"/>
  </r>
  <r>
    <x v="39"/>
    <x v="27"/>
    <n v="1"/>
    <n v="1"/>
    <x v="25"/>
    <s v="$263B"/>
    <s v="Tom"/>
    <m/>
    <n v="50.02"/>
    <n v="4.2380000000000004"/>
    <n v="0.72"/>
    <n v="390"/>
    <s v=""/>
    <n v="4.2380000000000004"/>
    <n v="1.0349999999999999"/>
    <s v=""/>
    <n v="1.0349999999999999"/>
    <n v="3.2029999999999998"/>
    <s v=""/>
    <n v="3.2029999999999998"/>
    <n v="1.6"/>
    <s v=""/>
    <n v="1.6"/>
  </r>
  <r>
    <x v="40"/>
    <x v="28"/>
    <n v="1"/>
    <n v="1"/>
    <x v="26"/>
    <s v="$93B"/>
    <s v="David"/>
    <n v="12"/>
    <n v="15.14"/>
    <n v="3.8570000000000002"/>
    <n v="0.69"/>
    <n v="389"/>
    <n v="3.8570000000000002"/>
    <s v=""/>
    <n v="1.9710000000000001"/>
    <n v="1.9710000000000001"/>
    <s v=""/>
    <n v="1.885"/>
    <n v="1.885"/>
    <s v=""/>
    <n v="0.6"/>
    <n v="0.6"/>
    <s v=""/>
  </r>
  <r>
    <x v="21"/>
    <x v="27"/>
    <n v="1"/>
    <n v="1"/>
    <x v="25"/>
    <s v="$263B"/>
    <s v="Tom"/>
    <m/>
    <n v="54.94"/>
    <n v="3.7690000000000001"/>
    <n v="0.68"/>
    <n v="388"/>
    <s v=""/>
    <n v="3.7690000000000001"/>
    <n v="0.97899999999999998"/>
    <s v=""/>
    <n v="0.97899999999999998"/>
    <n v="2.79"/>
    <s v=""/>
    <n v="2.79"/>
    <n v="1.4"/>
    <s v=""/>
    <n v="1.4"/>
  </r>
  <r>
    <x v="12"/>
    <x v="29"/>
    <n v="1"/>
    <n v="1"/>
    <x v="27"/>
    <s v="$68B"/>
    <s v="David"/>
    <n v="8"/>
    <n v="55.05"/>
    <n v="3.7229999999999999"/>
    <n v="0.67"/>
    <n v="387"/>
    <n v="3.7229999999999999"/>
    <s v=""/>
    <n v="1.3480000000000001"/>
    <n v="1.3480000000000001"/>
    <s v=""/>
    <n v="2.375"/>
    <n v="2.375"/>
    <s v=""/>
    <n v="1"/>
    <n v="1"/>
    <s v=""/>
  </r>
  <r>
    <x v="41"/>
    <x v="30"/>
    <n v="1"/>
    <n v="1"/>
    <x v="28"/>
    <s v="$83B"/>
    <s v="David"/>
    <n v="7"/>
    <n v="15.02"/>
    <n v="3.714"/>
    <n v="0.67"/>
    <n v="386"/>
    <n v="3.714"/>
    <s v=""/>
    <n v="1.865"/>
    <n v="1.865"/>
    <s v=""/>
    <n v="1.849"/>
    <n v="1.849"/>
    <s v=""/>
    <n v="0.6"/>
    <n v="0.6"/>
    <s v=""/>
  </r>
  <r>
    <x v="42"/>
    <x v="31"/>
    <n v="1"/>
    <n v="1"/>
    <x v="29"/>
    <s v="$5B"/>
    <s v="Tom"/>
    <m/>
    <n v="5.79"/>
    <n v="3.5"/>
    <n v="0.65"/>
    <n v="385"/>
    <s v=""/>
    <n v="3.5"/>
    <n v="3.2029999999999998"/>
    <s v=""/>
    <n v="3.2029999999999998"/>
    <n v="0.29699999999999999"/>
    <s v=""/>
    <n v="0.29699999999999999"/>
    <n v="0.1"/>
    <s v=""/>
    <n v="0.1"/>
  </r>
  <r>
    <x v="43"/>
    <x v="32"/>
    <n v="1"/>
    <n v="1"/>
    <x v="30"/>
    <s v="$6B"/>
    <s v="David"/>
    <n v="9"/>
    <n v="17.22"/>
    <n v="3.4769999999999999"/>
    <n v="0.65"/>
    <n v="384"/>
    <n v="3.4769999999999999"/>
    <s v=""/>
    <n v="1.643"/>
    <n v="1.643"/>
    <s v=""/>
    <n v="1.8340000000000001"/>
    <n v="1.8340000000000001"/>
    <s v=""/>
    <n v="0.7"/>
    <n v="0.7"/>
    <s v=""/>
  </r>
  <r>
    <x v="44"/>
    <x v="33"/>
    <n v="1"/>
    <n v="1"/>
    <x v="31"/>
    <s v="$1B"/>
    <s v="Tom"/>
    <m/>
    <n v="17.309999999999999"/>
    <n v="3.3250000000000002"/>
    <n v="0.64"/>
    <n v="383"/>
    <s v=""/>
    <n v="3.3250000000000002"/>
    <n v="2.1259999999999999"/>
    <s v=""/>
    <n v="2.1259999999999999"/>
    <n v="1.1990000000000001"/>
    <s v=""/>
    <n v="1.1990000000000001"/>
    <n v="0.4"/>
    <s v=""/>
    <n v="0.4"/>
  </r>
  <r>
    <x v="45"/>
    <x v="34"/>
    <n v="1"/>
    <n v="1"/>
    <x v="32"/>
    <s v="N/A Stock quote details"/>
    <s v="Tom"/>
    <m/>
    <n v="21.07"/>
    <n v="3.3220000000000001"/>
    <n v="0.64"/>
    <n v="382"/>
    <s v=""/>
    <n v="3.3220000000000001"/>
    <n v="0.66100000000000003"/>
    <s v=""/>
    <n v="0.66100000000000003"/>
    <n v="2.661"/>
    <s v=""/>
    <n v="2.661"/>
    <n v="1.6"/>
    <s v=""/>
    <n v="1.6"/>
  </r>
  <r>
    <x v="46"/>
    <x v="35"/>
    <n v="1"/>
    <n v="1"/>
    <x v="33"/>
    <s v="$6B"/>
    <s v="Tom"/>
    <m/>
    <n v="42.69"/>
    <n v="3.2839999999999998"/>
    <n v="0.63"/>
    <n v="381"/>
    <s v=""/>
    <n v="3.2839999999999998"/>
    <n v="1.778"/>
    <s v=""/>
    <n v="1.778"/>
    <n v="1.506"/>
    <s v=""/>
    <n v="1.506"/>
    <n v="0.5"/>
    <s v=""/>
    <n v="0.5"/>
  </r>
  <r>
    <x v="47"/>
    <x v="22"/>
    <n v="1"/>
    <n v="1"/>
    <x v="20"/>
    <s v="$18B"/>
    <s v="David"/>
    <n v="10"/>
    <n v="15.12"/>
    <n v="3.234"/>
    <n v="0.63"/>
    <n v="380"/>
    <n v="3.234"/>
    <s v=""/>
    <n v="0.35"/>
    <n v="0.35"/>
    <s v=""/>
    <n v="2.8839999999999999"/>
    <n v="2.8839999999999999"/>
    <s v=""/>
    <n v="2.1"/>
    <n v="2.1"/>
    <s v=""/>
  </r>
  <r>
    <x v="48"/>
    <x v="36"/>
    <n v="1"/>
    <n v="1"/>
    <x v="34"/>
    <s v="$3B"/>
    <s v="Tom"/>
    <m/>
    <n v="22.73"/>
    <n v="3.169"/>
    <n v="0.62"/>
    <n v="379"/>
    <s v=""/>
    <n v="3.169"/>
    <n v="3.238"/>
    <s v=""/>
    <n v="3.238"/>
    <n v="-6.9000000000000006E-2"/>
    <s v=""/>
    <n v="-6.9000000000000006E-2"/>
    <n v="0"/>
    <s v=""/>
    <n v="0"/>
  </r>
  <r>
    <x v="30"/>
    <x v="37"/>
    <n v="1"/>
    <n v="1"/>
    <x v="35"/>
    <s v="N/A Corporate Action Details"/>
    <s v="Tom"/>
    <m/>
    <s v="$0 N/A Corporate Action Details"/>
    <n v="2.988"/>
    <n v="0.6"/>
    <n v="378"/>
    <s v=""/>
    <n v="2.988"/>
    <n v="1.3620000000000001"/>
    <s v=""/>
    <n v="1.3620000000000001"/>
    <n v="1.6259999999999999"/>
    <s v=""/>
    <n v="1.6259999999999999"/>
    <n v="0.7"/>
    <s v=""/>
    <n v="0.7"/>
  </r>
  <r>
    <x v="49"/>
    <x v="38"/>
    <n v="1"/>
    <n v="1"/>
    <x v="36"/>
    <s v="$18B"/>
    <s v="Tom"/>
    <m/>
    <n v="11.01"/>
    <n v="2.9870000000000001"/>
    <n v="0.6"/>
    <n v="377"/>
    <s v=""/>
    <n v="2.9870000000000001"/>
    <n v="2.7250000000000001"/>
    <s v=""/>
    <n v="2.7250000000000001"/>
    <n v="0.26200000000000001"/>
    <s v=""/>
    <n v="0.26200000000000001"/>
    <n v="0.1"/>
    <s v=""/>
    <n v="0.1"/>
  </r>
  <r>
    <x v="50"/>
    <x v="39"/>
    <n v="1"/>
    <n v="1"/>
    <x v="37"/>
    <s v="$14B"/>
    <s v="David"/>
    <n v="11"/>
    <n v="29.18"/>
    <n v="2.9359999999999999"/>
    <n v="0.6"/>
    <n v="376"/>
    <n v="2.9359999999999999"/>
    <s v=""/>
    <n v="0.02"/>
    <n v="0.02"/>
    <s v=""/>
    <n v="2.9159999999999999"/>
    <n v="2.9159999999999999"/>
    <s v=""/>
    <n v="2.9"/>
    <n v="2.9"/>
    <s v=""/>
  </r>
  <r>
    <x v="20"/>
    <x v="40"/>
    <n v="1"/>
    <n v="1"/>
    <x v="38"/>
    <s v="$74B"/>
    <s v="David"/>
    <n v="6"/>
    <n v="19.34"/>
    <n v="2.915"/>
    <n v="0.59"/>
    <n v="375"/>
    <n v="2.915"/>
    <s v=""/>
    <n v="1.665"/>
    <n v="1.665"/>
    <s v=""/>
    <n v="1.25"/>
    <n v="1.25"/>
    <s v=""/>
    <n v="0.5"/>
    <n v="0.5"/>
    <s v=""/>
  </r>
  <r>
    <x v="51"/>
    <x v="30"/>
    <n v="1"/>
    <n v="1"/>
    <x v="28"/>
    <s v="$83B"/>
    <s v="David"/>
    <n v="7"/>
    <n v="18.36"/>
    <n v="2.8580000000000001"/>
    <n v="0.59"/>
    <n v="374"/>
    <n v="2.8580000000000001"/>
    <s v=""/>
    <n v="1.6859999999999999"/>
    <n v="1.6859999999999999"/>
    <s v=""/>
    <n v="1.1719999999999999"/>
    <n v="1.1719999999999999"/>
    <s v=""/>
    <n v="0.4"/>
    <n v="0.4"/>
    <s v=""/>
  </r>
  <r>
    <x v="52"/>
    <x v="41"/>
    <n v="1"/>
    <n v="1"/>
    <x v="39"/>
    <m/>
    <s v="David"/>
    <m/>
    <n v="23.86"/>
    <n v="2.851"/>
    <n v="0.59"/>
    <n v="373"/>
    <n v="2.851"/>
    <s v=""/>
    <n v="1.044"/>
    <n v="1.044"/>
    <s v=""/>
    <n v="1.8080000000000001"/>
    <n v="1.8080000000000001"/>
    <s v=""/>
    <n v="0.9"/>
    <n v="0.9"/>
    <s v=""/>
  </r>
  <r>
    <x v="53"/>
    <x v="42"/>
    <n v="1"/>
    <n v="1"/>
    <x v="40"/>
    <s v="$21B"/>
    <s v="David"/>
    <n v="8"/>
    <n v="65.63"/>
    <n v="2.7"/>
    <n v="0.56999999999999995"/>
    <n v="372"/>
    <n v="2.7"/>
    <s v=""/>
    <n v="0.55800000000000005"/>
    <n v="0.55800000000000005"/>
    <s v=""/>
    <n v="2.1419999999999999"/>
    <n v="2.1419999999999999"/>
    <s v=""/>
    <n v="1.4"/>
    <n v="1.4"/>
    <s v=""/>
  </r>
  <r>
    <x v="54"/>
    <x v="41"/>
    <n v="1"/>
    <n v="1"/>
    <x v="39"/>
    <m/>
    <s v="David"/>
    <m/>
    <n v="24.88"/>
    <n v="2.694"/>
    <n v="0.56999999999999995"/>
    <n v="371"/>
    <n v="2.694"/>
    <s v=""/>
    <n v="1.1339999999999999"/>
    <n v="1.1339999999999999"/>
    <s v=""/>
    <n v="1.56"/>
    <n v="1.56"/>
    <s v=""/>
    <n v="0.7"/>
    <n v="0.7"/>
    <s v=""/>
  </r>
  <r>
    <x v="55"/>
    <x v="43"/>
    <n v="1"/>
    <n v="1"/>
    <x v="5"/>
    <s v="$44B"/>
    <s v="David"/>
    <n v="7"/>
    <n v="15.62"/>
    <n v="2.6709999999999998"/>
    <n v="0.56000000000000005"/>
    <n v="370"/>
    <n v="2.6709999999999998"/>
    <s v=""/>
    <n v="1.7929999999999999"/>
    <n v="1.7929999999999999"/>
    <s v=""/>
    <n v="0.878"/>
    <n v="0.878"/>
    <s v=""/>
    <n v="0.3"/>
    <n v="0.3"/>
    <s v=""/>
  </r>
  <r>
    <x v="56"/>
    <x v="44"/>
    <n v="1"/>
    <n v="1"/>
    <x v="41"/>
    <s v="$14B"/>
    <s v="Tom"/>
    <m/>
    <n v="69.36"/>
    <n v="2.472"/>
    <n v="0.54"/>
    <n v="369"/>
    <s v=""/>
    <n v="2.472"/>
    <n v="0.191"/>
    <s v=""/>
    <n v="0.191"/>
    <n v="2.2810000000000001"/>
    <s v=""/>
    <n v="2.2810000000000001"/>
    <n v="1.9"/>
    <s v=""/>
    <n v="1.9"/>
  </r>
  <r>
    <x v="57"/>
    <x v="45"/>
    <n v="1"/>
    <n v="1"/>
    <x v="42"/>
    <s v="$21B"/>
    <s v="Tom"/>
    <m/>
    <n v="22.3"/>
    <n v="2.4260000000000002"/>
    <n v="0.53"/>
    <n v="368"/>
    <s v=""/>
    <n v="2.4260000000000002"/>
    <n v="1.9830000000000001"/>
    <s v=""/>
    <n v="1.9830000000000001"/>
    <n v="0.443"/>
    <s v=""/>
    <n v="0.443"/>
    <n v="0.1"/>
    <s v=""/>
    <n v="0.1"/>
  </r>
  <r>
    <x v="58"/>
    <x v="46"/>
    <n v="1"/>
    <n v="1"/>
    <x v="43"/>
    <s v="$10B"/>
    <s v="Tom"/>
    <m/>
    <n v="63.62"/>
    <n v="2.4039999999999999"/>
    <n v="0.53"/>
    <n v="367"/>
    <s v=""/>
    <n v="2.4039999999999999"/>
    <n v="0.11799999999999999"/>
    <s v=""/>
    <n v="0.11799999999999999"/>
    <n v="2.286"/>
    <s v=""/>
    <n v="2.286"/>
    <n v="2"/>
    <s v=""/>
    <n v="2"/>
  </r>
  <r>
    <x v="59"/>
    <x v="47"/>
    <n v="1"/>
    <n v="1"/>
    <x v="44"/>
    <s v="$471B"/>
    <s v="Tom"/>
    <m/>
    <n v="58"/>
    <n v="2.33"/>
    <n v="0.52"/>
    <n v="366"/>
    <s v=""/>
    <n v="2.33"/>
    <n v="2.895"/>
    <s v=""/>
    <n v="2.895"/>
    <n v="-0.56499999999999995"/>
    <s v=""/>
    <n v="-0.56499999999999995"/>
    <n v="-0.1"/>
    <s v=""/>
    <n v="-0.1"/>
  </r>
  <r>
    <x v="60"/>
    <x v="10"/>
    <n v="1"/>
    <n v="1"/>
    <x v="10"/>
    <s v="$49B"/>
    <s v="Tom"/>
    <m/>
    <n v="126.79"/>
    <n v="2.2989999999999999"/>
    <n v="0.52"/>
    <n v="365"/>
    <s v=""/>
    <n v="2.2989999999999999"/>
    <n v="6.8000000000000005E-2"/>
    <s v=""/>
    <n v="6.8000000000000005E-2"/>
    <n v="2.2309999999999999"/>
    <s v=""/>
    <n v="2.2309999999999999"/>
    <n v="2.1"/>
    <s v=""/>
    <n v="2.1"/>
  </r>
  <r>
    <x v="61"/>
    <x v="48"/>
    <n v="1"/>
    <n v="1"/>
    <x v="45"/>
    <s v="$3B"/>
    <s v="Tom"/>
    <m/>
    <n v="29.01"/>
    <n v="2.2549999999999999"/>
    <n v="0.51"/>
    <n v="364"/>
    <s v=""/>
    <n v="2.2549999999999999"/>
    <n v="0.63700000000000001"/>
    <s v=""/>
    <n v="0.63700000000000001"/>
    <n v="1.6180000000000001"/>
    <s v=""/>
    <n v="1.6180000000000001"/>
    <n v="1"/>
    <s v=""/>
    <n v="1"/>
  </r>
  <r>
    <x v="62"/>
    <x v="49"/>
    <n v="1"/>
    <n v="1"/>
    <x v="46"/>
    <s v="$23B"/>
    <s v="David"/>
    <n v="12"/>
    <n v="40.86"/>
    <n v="2.23"/>
    <n v="0.51"/>
    <n v="363"/>
    <n v="2.23"/>
    <s v=""/>
    <n v="3.492"/>
    <n v="3.492"/>
    <s v=""/>
    <n v="-1.262"/>
    <n v="-1.262"/>
    <s v=""/>
    <n v="-0.3"/>
    <n v="-0.3"/>
    <s v=""/>
  </r>
  <r>
    <x v="46"/>
    <x v="50"/>
    <n v="1"/>
    <n v="1"/>
    <x v="47"/>
    <s v="N/A Stock quote details"/>
    <s v="David"/>
    <m/>
    <n v="97"/>
    <n v="2.226"/>
    <n v="0.51"/>
    <n v="362"/>
    <n v="2.226"/>
    <s v=""/>
    <n v="1.246"/>
    <n v="1.246"/>
    <s v=""/>
    <n v="0.98"/>
    <n v="0.98"/>
    <s v=""/>
    <n v="0.4"/>
    <n v="0.4"/>
    <s v=""/>
  </r>
  <r>
    <x v="63"/>
    <x v="51"/>
    <n v="1"/>
    <n v="1"/>
    <x v="48"/>
    <s v="$7B"/>
    <s v="David"/>
    <n v="10"/>
    <n v="57.06"/>
    <n v="2.1890000000000001"/>
    <n v="0.5"/>
    <n v="361"/>
    <n v="2.1890000000000001"/>
    <s v=""/>
    <n v="0.89400000000000002"/>
    <n v="0.89400000000000002"/>
    <s v=""/>
    <n v="1.296"/>
    <n v="1.296"/>
    <s v=""/>
    <n v="0.7"/>
    <n v="0.7"/>
    <s v=""/>
  </r>
  <r>
    <x v="64"/>
    <x v="52"/>
    <n v="1"/>
    <n v="1"/>
    <x v="49"/>
    <s v="$13B"/>
    <s v="Tom"/>
    <m/>
    <n v="75.42"/>
    <n v="2.125"/>
    <n v="0.49"/>
    <n v="360"/>
    <s v=""/>
    <n v="2.125"/>
    <n v="1.474"/>
    <s v=""/>
    <n v="1.474"/>
    <n v="0.65200000000000002"/>
    <s v=""/>
    <n v="0.65200000000000002"/>
    <n v="0.3"/>
    <s v=""/>
    <n v="0.3"/>
  </r>
  <r>
    <x v="65"/>
    <x v="10"/>
    <n v="1"/>
    <n v="1"/>
    <x v="10"/>
    <s v="$49B"/>
    <s v="Tom"/>
    <m/>
    <n v="135.16999999999999"/>
    <n v="2.0950000000000002"/>
    <n v="0.49"/>
    <n v="359"/>
    <s v=""/>
    <n v="2.0950000000000002"/>
    <n v="8.4000000000000005E-2"/>
    <s v=""/>
    <n v="8.4000000000000005E-2"/>
    <n v="2.0110000000000001"/>
    <s v=""/>
    <n v="2.0110000000000001"/>
    <n v="1.9"/>
    <s v=""/>
    <n v="1.9"/>
  </r>
  <r>
    <x v="26"/>
    <x v="53"/>
    <n v="1"/>
    <n v="1"/>
    <x v="50"/>
    <s v="$17B"/>
    <s v="Tom"/>
    <m/>
    <n v="31.48"/>
    <n v="2.0819999999999999"/>
    <n v="0.49"/>
    <n v="358"/>
    <s v=""/>
    <n v="2.0819999999999999"/>
    <n v="1.3280000000000001"/>
    <s v=""/>
    <n v="1.3280000000000001"/>
    <n v="0.754"/>
    <s v=""/>
    <n v="0.754"/>
    <n v="0.3"/>
    <s v=""/>
    <n v="0.3"/>
  </r>
  <r>
    <x v="66"/>
    <x v="54"/>
    <n v="1"/>
    <n v="1"/>
    <x v="51"/>
    <s v="$5B"/>
    <s v="Tom"/>
    <m/>
    <n v="11.53"/>
    <n v="2.073"/>
    <n v="0.49"/>
    <n v="357"/>
    <s v=""/>
    <n v="2.073"/>
    <n v="3.085"/>
    <s v=""/>
    <n v="3.085"/>
    <n v="-1.012"/>
    <s v=""/>
    <n v="-1.012"/>
    <n v="-0.2"/>
    <s v=""/>
    <n v="-0.2"/>
  </r>
  <r>
    <x v="67"/>
    <x v="18"/>
    <n v="1"/>
    <n v="1"/>
    <x v="16"/>
    <s v="$9B"/>
    <s v="David"/>
    <n v="10"/>
    <n v="21.95"/>
    <n v="2.0169999999999999"/>
    <n v="0.48"/>
    <n v="356"/>
    <n v="2.0169999999999999"/>
    <s v=""/>
    <n v="2.1339999999999999"/>
    <n v="2.1339999999999999"/>
    <s v=""/>
    <n v="-0.11700000000000001"/>
    <n v="-0.11700000000000001"/>
    <s v=""/>
    <n v="0"/>
    <n v="0"/>
    <s v=""/>
  </r>
  <r>
    <x v="68"/>
    <x v="43"/>
    <n v="1"/>
    <n v="1"/>
    <x v="5"/>
    <s v="$44B"/>
    <s v="David"/>
    <n v="7"/>
    <n v="19.5"/>
    <n v="1.94"/>
    <n v="0.47"/>
    <n v="355"/>
    <n v="1.94"/>
    <s v=""/>
    <n v="0.47599999999999998"/>
    <n v="0.47599999999999998"/>
    <s v=""/>
    <n v="1.4650000000000001"/>
    <n v="1.4650000000000001"/>
    <s v=""/>
    <n v="1"/>
    <n v="1"/>
    <s v=""/>
  </r>
  <r>
    <x v="66"/>
    <x v="55"/>
    <n v="1"/>
    <n v="1"/>
    <x v="52"/>
    <s v="N/A Stock quote details"/>
    <s v="David"/>
    <m/>
    <n v="28.41"/>
    <n v="1.9379999999999999"/>
    <n v="0.47"/>
    <n v="354"/>
    <n v="1.9379999999999999"/>
    <s v=""/>
    <n v="1.484"/>
    <n v="1.484"/>
    <s v=""/>
    <n v="0.45400000000000001"/>
    <n v="0.45400000000000001"/>
    <s v=""/>
    <n v="0.2"/>
    <n v="0.2"/>
    <s v=""/>
  </r>
  <r>
    <x v="13"/>
    <x v="48"/>
    <n v="1"/>
    <n v="1"/>
    <x v="45"/>
    <s v="$3B"/>
    <s v="Tom"/>
    <m/>
    <n v="32.15"/>
    <n v="1.9370000000000001"/>
    <n v="0.47"/>
    <n v="353"/>
    <s v=""/>
    <n v="1.9370000000000001"/>
    <n v="0.51"/>
    <s v=""/>
    <n v="0.51"/>
    <n v="1.4279999999999999"/>
    <s v=""/>
    <n v="1.4279999999999999"/>
    <n v="0.9"/>
    <s v=""/>
    <n v="0.9"/>
  </r>
  <r>
    <x v="69"/>
    <x v="56"/>
    <n v="1"/>
    <n v="1"/>
    <x v="53"/>
    <s v="N/A Stock quote details"/>
    <s v="David"/>
    <m/>
    <n v="28.38"/>
    <n v="1.8959999999999999"/>
    <n v="0.46"/>
    <n v="352"/>
    <n v="1.8959999999999999"/>
    <s v=""/>
    <n v="1.1339999999999999"/>
    <n v="1.1339999999999999"/>
    <s v=""/>
    <n v="0.76200000000000001"/>
    <n v="0.76200000000000001"/>
    <s v=""/>
    <n v="0.4"/>
    <n v="0.4"/>
    <s v=""/>
  </r>
  <r>
    <x v="69"/>
    <x v="57"/>
    <n v="1"/>
    <n v="1"/>
    <x v="54"/>
    <s v="$3B"/>
    <s v="Tom"/>
    <m/>
    <n v="28.26"/>
    <n v="1.8380000000000001"/>
    <n v="0.45"/>
    <n v="351"/>
    <s v=""/>
    <n v="1.8380000000000001"/>
    <n v="2.222"/>
    <s v=""/>
    <n v="2.222"/>
    <n v="-0.38400000000000001"/>
    <s v=""/>
    <n v="-0.38400000000000001"/>
    <n v="-0.1"/>
    <s v=""/>
    <n v="-0.1"/>
  </r>
  <r>
    <x v="60"/>
    <x v="39"/>
    <n v="1"/>
    <n v="1"/>
    <x v="37"/>
    <s v="$14B"/>
    <s v="David"/>
    <n v="11"/>
    <n v="41.97"/>
    <n v="1.736"/>
    <n v="0.44"/>
    <n v="349"/>
    <n v="1.736"/>
    <s v=""/>
    <n v="6.8000000000000005E-2"/>
    <n v="6.8000000000000005E-2"/>
    <s v=""/>
    <n v="1.6679999999999999"/>
    <n v="1.6679999999999999"/>
    <s v=""/>
    <n v="1.6"/>
    <n v="1.6"/>
    <s v=""/>
  </r>
  <r>
    <x v="70"/>
    <x v="11"/>
    <n v="1"/>
    <n v="1"/>
    <x v="11"/>
    <s v="$44B"/>
    <s v="Tom"/>
    <m/>
    <n v="192.67"/>
    <n v="1.736"/>
    <n v="0.44"/>
    <n v="349"/>
    <s v=""/>
    <n v="1.736"/>
    <n v="0.57299999999999995"/>
    <s v=""/>
    <n v="0.57299999999999995"/>
    <n v="1.163"/>
    <s v=""/>
    <n v="1.163"/>
    <n v="0.7"/>
    <s v=""/>
    <n v="0.7"/>
  </r>
  <r>
    <x v="71"/>
    <x v="54"/>
    <n v="1"/>
    <n v="1"/>
    <x v="51"/>
    <s v="$5B"/>
    <s v="Tom"/>
    <m/>
    <n v="13.16"/>
    <n v="1.6919999999999999"/>
    <n v="0.43"/>
    <n v="348"/>
    <s v=""/>
    <n v="1.6919999999999999"/>
    <n v="2.7210000000000001"/>
    <s v=""/>
    <n v="2.7210000000000001"/>
    <n v="-1.028"/>
    <s v=""/>
    <n v="-1.028"/>
    <n v="-0.3"/>
    <s v=""/>
    <n v="-0.3"/>
  </r>
  <r>
    <x v="72"/>
    <x v="47"/>
    <n v="1"/>
    <n v="1"/>
    <x v="44"/>
    <s v="$471B"/>
    <s v="Tom"/>
    <m/>
    <n v="72.56"/>
    <n v="1.6619999999999999"/>
    <n v="0.43"/>
    <n v="347"/>
    <s v=""/>
    <n v="1.6619999999999999"/>
    <n v="1.431"/>
    <s v=""/>
    <n v="1.431"/>
    <n v="0.23100000000000001"/>
    <s v=""/>
    <n v="0.23100000000000001"/>
    <n v="0.1"/>
    <s v=""/>
    <n v="0.1"/>
  </r>
  <r>
    <x v="50"/>
    <x v="44"/>
    <n v="1"/>
    <n v="1"/>
    <x v="41"/>
    <s v="$14B"/>
    <s v="Tom"/>
    <m/>
    <n v="91.19"/>
    <n v="1.641"/>
    <n v="0.42"/>
    <n v="346"/>
    <s v=""/>
    <n v="1.641"/>
    <n v="0.02"/>
    <s v=""/>
    <n v="0.02"/>
    <n v="1.621"/>
    <s v=""/>
    <n v="1.621"/>
    <n v="1.6"/>
    <s v=""/>
    <n v="1.6"/>
  </r>
  <r>
    <x v="73"/>
    <x v="58"/>
    <n v="1"/>
    <n v="1"/>
    <x v="55"/>
    <s v="$6B"/>
    <s v="David"/>
    <n v="10"/>
    <n v="12.9"/>
    <n v="1.625"/>
    <n v="0.42"/>
    <n v="345"/>
    <n v="1.625"/>
    <s v=""/>
    <n v="0.49199999999999999"/>
    <n v="0.49199999999999999"/>
    <s v=""/>
    <n v="1.133"/>
    <n v="1.133"/>
    <s v=""/>
    <n v="0.8"/>
    <n v="0.8"/>
    <s v=""/>
  </r>
  <r>
    <x v="74"/>
    <x v="59"/>
    <n v="1"/>
    <n v="1"/>
    <x v="56"/>
    <s v="$9B"/>
    <s v="David"/>
    <n v="6"/>
    <n v="66.55"/>
    <n v="1.6040000000000001"/>
    <n v="0.42"/>
    <n v="344"/>
    <n v="1.6040000000000001"/>
    <s v=""/>
    <n v="0.29699999999999999"/>
    <n v="0.29699999999999999"/>
    <s v=""/>
    <n v="1.3080000000000001"/>
    <n v="1.3080000000000001"/>
    <s v=""/>
    <n v="1"/>
    <n v="1"/>
    <s v=""/>
  </r>
  <r>
    <x v="75"/>
    <x v="60"/>
    <n v="1"/>
    <n v="1"/>
    <x v="0"/>
    <s v="$152B"/>
    <s v="David"/>
    <n v="12"/>
    <n v="1.62"/>
    <n v="1.5960000000000001"/>
    <n v="0.41"/>
    <n v="343"/>
    <n v="1.5960000000000001"/>
    <s v=""/>
    <n v="0.13600000000000001"/>
    <n v="0.13600000000000001"/>
    <s v=""/>
    <n v="1.4590000000000001"/>
    <n v="1.4590000000000001"/>
    <s v=""/>
    <n v="1.3"/>
    <n v="1.3"/>
    <s v=""/>
  </r>
  <r>
    <x v="76"/>
    <x v="2"/>
    <n v="1"/>
    <n v="1"/>
    <x v="2"/>
    <s v="$63B"/>
    <s v="Tom"/>
    <m/>
    <n v="588.78"/>
    <n v="1.595"/>
    <n v="0.41"/>
    <n v="342"/>
    <s v=""/>
    <n v="1.595"/>
    <n v="1.2649999999999999"/>
    <s v=""/>
    <n v="1.2649999999999999"/>
    <n v="0.33"/>
    <s v=""/>
    <n v="0.33"/>
    <n v="0.1"/>
    <s v=""/>
    <n v="0.1"/>
  </r>
  <r>
    <x v="74"/>
    <x v="27"/>
    <n v="1"/>
    <n v="1"/>
    <x v="25"/>
    <s v="$263B"/>
    <s v="Tom"/>
    <m/>
    <n v="101.41"/>
    <n v="1.5840000000000001"/>
    <n v="0.41"/>
    <n v="341"/>
    <s v=""/>
    <n v="1.5840000000000001"/>
    <n v="0.29699999999999999"/>
    <s v=""/>
    <n v="0.29699999999999999"/>
    <n v="1.2869999999999999"/>
    <s v=""/>
    <n v="1.2869999999999999"/>
    <n v="1"/>
    <s v=""/>
    <n v="1"/>
  </r>
  <r>
    <x v="77"/>
    <x v="61"/>
    <n v="1"/>
    <n v="1"/>
    <x v="57"/>
    <s v="$40B"/>
    <s v="Tom"/>
    <m/>
    <n v="17.940000000000001"/>
    <n v="1.542"/>
    <n v="0.41"/>
    <n v="340"/>
    <s v=""/>
    <n v="1.542"/>
    <n v="0.52100000000000002"/>
    <s v=""/>
    <n v="0.52100000000000002"/>
    <n v="1.022"/>
    <s v=""/>
    <n v="1.022"/>
    <n v="0.7"/>
    <s v=""/>
    <n v="0.7"/>
  </r>
  <r>
    <x v="78"/>
    <x v="36"/>
    <n v="1"/>
    <n v="1"/>
    <x v="34"/>
    <s v="$3B"/>
    <s v="Tom"/>
    <m/>
    <n v="37.85"/>
    <n v="1.5029999999999999"/>
    <n v="0.4"/>
    <n v="339"/>
    <s v=""/>
    <n v="1.5029999999999999"/>
    <n v="1.474"/>
    <s v=""/>
    <n v="1.474"/>
    <n v="2.9000000000000001E-2"/>
    <s v=""/>
    <n v="2.9000000000000001E-2"/>
    <n v="0"/>
    <s v=""/>
    <n v="0"/>
  </r>
  <r>
    <x v="14"/>
    <x v="62"/>
    <n v="1"/>
    <n v="1"/>
    <x v="58"/>
    <s v="N/A Stock quote details"/>
    <s v="Tom"/>
    <m/>
    <n v="15.46"/>
    <n v="1.4810000000000001"/>
    <n v="0.39"/>
    <n v="338"/>
    <s v=""/>
    <n v="1.4810000000000001"/>
    <n v="0.88900000000000001"/>
    <s v=""/>
    <n v="0.88900000000000001"/>
    <n v="0.59199999999999997"/>
    <s v=""/>
    <n v="0.59199999999999997"/>
    <n v="0.3"/>
    <s v=""/>
    <n v="0.3"/>
  </r>
  <r>
    <x v="79"/>
    <x v="63"/>
    <n v="1"/>
    <n v="1"/>
    <x v="59"/>
    <s v="$12B"/>
    <s v="David"/>
    <n v="8"/>
    <n v="46.04"/>
    <n v="1.427"/>
    <n v="0.39"/>
    <n v="337"/>
    <n v="1.427"/>
    <s v=""/>
    <n v="0.69399999999999995"/>
    <n v="0.69399999999999995"/>
    <s v=""/>
    <n v="0.73299999999999998"/>
    <n v="0.73299999999999998"/>
    <s v=""/>
    <n v="0.4"/>
    <n v="0.4"/>
    <s v=""/>
  </r>
  <r>
    <x v="80"/>
    <x v="64"/>
    <n v="1"/>
    <n v="1"/>
    <x v="60"/>
    <s v="$244M"/>
    <s v="David"/>
    <m/>
    <n v="8.08"/>
    <n v="1.39"/>
    <n v="0.38"/>
    <n v="336"/>
    <n v="1.39"/>
    <s v=""/>
    <n v="0.1"/>
    <n v="0.1"/>
    <s v=""/>
    <n v="1.2909999999999999"/>
    <n v="1.2909999999999999"/>
    <s v=""/>
    <n v="1.2"/>
    <n v="1.2"/>
    <s v=""/>
  </r>
  <r>
    <x v="81"/>
    <x v="65"/>
    <n v="1"/>
    <n v="1"/>
    <x v="61"/>
    <s v="N/A Stock quote details"/>
    <s v="David"/>
    <m/>
    <n v="17.48"/>
    <n v="1.3879999999999999"/>
    <n v="0.38"/>
    <n v="335"/>
    <n v="1.3879999999999999"/>
    <s v=""/>
    <n v="1.252"/>
    <n v="1.252"/>
    <s v=""/>
    <n v="0.13600000000000001"/>
    <n v="0.13600000000000001"/>
    <s v=""/>
    <n v="0.1"/>
    <n v="0.1"/>
    <s v=""/>
  </r>
  <r>
    <x v="82"/>
    <x v="4"/>
    <n v="1"/>
    <n v="1"/>
    <x v="4"/>
    <s v="$150B"/>
    <s v="David"/>
    <n v="5"/>
    <n v="102.85"/>
    <n v="1.3859999999999999"/>
    <n v="0.38"/>
    <n v="334"/>
    <n v="1.3859999999999999"/>
    <s v=""/>
    <n v="0.28699999999999998"/>
    <n v="0.28699999999999998"/>
    <s v=""/>
    <n v="1.099"/>
    <n v="1.099"/>
    <s v=""/>
    <n v="0.9"/>
    <n v="0.9"/>
    <s v=""/>
  </r>
  <r>
    <x v="83"/>
    <x v="66"/>
    <n v="1"/>
    <n v="1"/>
    <x v="62"/>
    <s v="N/A Stock quote details"/>
    <s v="Tom"/>
    <m/>
    <n v="99.07"/>
    <n v="1.371"/>
    <n v="0.37"/>
    <n v="333"/>
    <s v=""/>
    <n v="1.371"/>
    <n v="0.71499999999999997"/>
    <s v=""/>
    <n v="0.71499999999999997"/>
    <n v="0.65500000000000003"/>
    <s v=""/>
    <n v="0.65500000000000003"/>
    <n v="0.4"/>
    <s v=""/>
    <n v="0.4"/>
  </r>
  <r>
    <x v="84"/>
    <x v="67"/>
    <n v="1"/>
    <n v="1"/>
    <x v="63"/>
    <s v="$19B"/>
    <s v="David"/>
    <n v="10"/>
    <n v="61.06"/>
    <n v="1.359"/>
    <n v="0.37"/>
    <n v="332"/>
    <n v="1.359"/>
    <s v=""/>
    <n v="0.626"/>
    <n v="0.626"/>
    <s v=""/>
    <n v="0.73299999999999998"/>
    <n v="0.73299999999999998"/>
    <s v=""/>
    <n v="0.5"/>
    <n v="0.5"/>
    <s v=""/>
  </r>
  <r>
    <x v="85"/>
    <x v="68"/>
    <n v="1"/>
    <n v="1"/>
    <x v="64"/>
    <s v="$16B"/>
    <s v="Tom"/>
    <m/>
    <n v="9.56"/>
    <n v="1.357"/>
    <n v="0.37"/>
    <n v="331"/>
    <s v=""/>
    <n v="1.357"/>
    <n v="1.913"/>
    <s v=""/>
    <n v="1.913"/>
    <n v="-0.55600000000000005"/>
    <s v=""/>
    <n v="-0.55600000000000005"/>
    <n v="-0.2"/>
    <s v=""/>
    <n v="-0.2"/>
  </r>
  <r>
    <x v="62"/>
    <x v="69"/>
    <n v="1"/>
    <n v="1"/>
    <x v="65"/>
    <s v="$5B"/>
    <s v="Tom"/>
    <m/>
    <n v="14.18"/>
    <n v="1.3180000000000001"/>
    <n v="0.37"/>
    <n v="330"/>
    <s v=""/>
    <n v="1.3180000000000001"/>
    <n v="0.73299999999999998"/>
    <s v=""/>
    <n v="0.73299999999999998"/>
    <n v="0.58399999999999996"/>
    <s v=""/>
    <n v="0.58399999999999996"/>
    <n v="0.3"/>
    <s v=""/>
    <n v="0.3"/>
  </r>
  <r>
    <x v="86"/>
    <x v="50"/>
    <n v="1"/>
    <n v="1"/>
    <x v="47"/>
    <s v="N/A Stock quote details"/>
    <s v="David"/>
    <m/>
    <n v="135.44"/>
    <n v="1.31"/>
    <n v="0.36"/>
    <n v="329"/>
    <n v="1.31"/>
    <s v=""/>
    <n v="1.161"/>
    <n v="1.161"/>
    <s v=""/>
    <n v="0.15"/>
    <n v="0.15"/>
    <s v=""/>
    <n v="0.1"/>
    <n v="0.1"/>
    <s v=""/>
  </r>
  <r>
    <x v="40"/>
    <x v="70"/>
    <n v="1"/>
    <n v="1"/>
    <x v="66"/>
    <s v="N/A Stock quote details"/>
    <s v="Tom"/>
    <m/>
    <n v="18.649999999999999"/>
    <n v="1.3049999999999999"/>
    <n v="0.36"/>
    <n v="328"/>
    <s v=""/>
    <n v="1.3049999999999999"/>
    <n v="6.3E-2"/>
    <s v=""/>
    <n v="6.3E-2"/>
    <n v="1.242"/>
    <s v=""/>
    <n v="1.242"/>
    <n v="1.2"/>
    <s v=""/>
    <n v="1.2"/>
  </r>
  <r>
    <x v="33"/>
    <x v="71"/>
    <n v="1"/>
    <n v="1"/>
    <x v="67"/>
    <s v="N/A Stock quote details"/>
    <s v="Tom"/>
    <m/>
    <n v="26.21"/>
    <n v="1.2969999999999999"/>
    <n v="0.36"/>
    <n v="327"/>
    <s v=""/>
    <n v="1.2969999999999999"/>
    <n v="1.0589999999999999"/>
    <s v=""/>
    <n v="1.0589999999999999"/>
    <n v="0.23799999999999999"/>
    <s v=""/>
    <n v="0.23799999999999999"/>
    <n v="0.1"/>
    <s v=""/>
    <n v="0.1"/>
  </r>
  <r>
    <x v="87"/>
    <x v="72"/>
    <n v="1"/>
    <n v="1"/>
    <x v="68"/>
    <s v="$17B"/>
    <s v="David"/>
    <n v="14"/>
    <n v="46.76"/>
    <n v="1.2609999999999999"/>
    <n v="0.35"/>
    <n v="326"/>
    <n v="1.2609999999999999"/>
    <s v=""/>
    <n v="0.42799999999999999"/>
    <n v="0.42799999999999999"/>
    <s v=""/>
    <n v="0.83299999999999996"/>
    <n v="0.83299999999999996"/>
    <s v=""/>
    <n v="0.6"/>
    <n v="0.6"/>
    <s v=""/>
  </r>
  <r>
    <x v="42"/>
    <x v="73"/>
    <n v="1"/>
    <n v="1"/>
    <x v="69"/>
    <s v="$30B"/>
    <s v="David"/>
    <n v="10"/>
    <n v="51.2"/>
    <n v="1.26"/>
    <n v="0.35"/>
    <n v="325"/>
    <n v="1.26"/>
    <s v=""/>
    <n v="3.2029999999999998"/>
    <n v="3.2029999999999998"/>
    <s v=""/>
    <n v="-1.944"/>
    <n v="-1.944"/>
    <s v=""/>
    <n v="-0.5"/>
    <n v="-0.5"/>
    <s v=""/>
  </r>
  <r>
    <x v="17"/>
    <x v="74"/>
    <n v="1"/>
    <n v="1"/>
    <x v="70"/>
    <s v="$5B"/>
    <s v="Tom"/>
    <m/>
    <n v="20.28"/>
    <n v="1.258"/>
    <n v="0.35"/>
    <n v="324"/>
    <s v=""/>
    <n v="1.258"/>
    <n v="1.609"/>
    <s v=""/>
    <n v="1.609"/>
    <n v="-0.35199999999999998"/>
    <s v=""/>
    <n v="-0.35199999999999998"/>
    <n v="-0.1"/>
    <s v=""/>
    <n v="-0.1"/>
  </r>
  <r>
    <x v="5"/>
    <x v="75"/>
    <n v="1"/>
    <n v="1"/>
    <x v="71"/>
    <s v="$27B"/>
    <s v="Tom"/>
    <m/>
    <n v="16.809999999999999"/>
    <n v="1.236"/>
    <n v="0.35"/>
    <n v="323"/>
    <s v=""/>
    <n v="1.236"/>
    <n v="1.9279999999999999"/>
    <s v=""/>
    <n v="1.9279999999999999"/>
    <n v="-0.69199999999999995"/>
    <s v=""/>
    <n v="-0.69199999999999995"/>
    <n v="-0.2"/>
    <s v=""/>
    <n v="-0.2"/>
  </r>
  <r>
    <x v="88"/>
    <x v="76"/>
    <n v="1"/>
    <n v="1"/>
    <x v="72"/>
    <s v="$15B"/>
    <s v="David"/>
    <n v="9"/>
    <n v="39.53"/>
    <n v="1.204"/>
    <n v="0.34"/>
    <n v="322"/>
    <n v="1.204"/>
    <s v=""/>
    <n v="0.23799999999999999"/>
    <n v="0.23799999999999999"/>
    <s v=""/>
    <n v="0.96599999999999997"/>
    <n v="0.96599999999999997"/>
    <s v=""/>
    <n v="0.8"/>
    <n v="0.8"/>
    <s v=""/>
  </r>
  <r>
    <x v="89"/>
    <x v="75"/>
    <n v="1"/>
    <n v="1"/>
    <x v="71"/>
    <s v="$27B"/>
    <s v="Tom"/>
    <m/>
    <n v="17.18"/>
    <n v="1.1879999999999999"/>
    <n v="0.34"/>
    <n v="321"/>
    <s v=""/>
    <n v="1.1879999999999999"/>
    <n v="2.1160000000000001"/>
    <s v=""/>
    <n v="2.1160000000000001"/>
    <n v="-0.92800000000000005"/>
    <s v=""/>
    <n v="-0.92800000000000005"/>
    <n v="-0.3"/>
    <s v=""/>
    <n v="-0.3"/>
  </r>
  <r>
    <x v="90"/>
    <x v="77"/>
    <n v="1"/>
    <n v="1"/>
    <x v="73"/>
    <s v="$3B"/>
    <s v="David"/>
    <n v="6"/>
    <n v="22.2"/>
    <n v="1.1639999999999999"/>
    <n v="0.34"/>
    <n v="320"/>
    <n v="1.1639999999999999"/>
    <s v=""/>
    <n v="0.89700000000000002"/>
    <n v="0.89700000000000002"/>
    <s v=""/>
    <n v="0.26600000000000001"/>
    <n v="0.26600000000000001"/>
    <s v=""/>
    <n v="0.1"/>
    <n v="0.1"/>
    <s v=""/>
  </r>
  <r>
    <x v="91"/>
    <x v="78"/>
    <n v="1"/>
    <n v="1"/>
    <x v="74"/>
    <s v="$14B"/>
    <s v="David"/>
    <n v="6"/>
    <n v="84.96"/>
    <n v="1.139"/>
    <n v="0.33"/>
    <n v="319"/>
    <n v="1.139"/>
    <s v=""/>
    <n v="0.219"/>
    <n v="0.219"/>
    <s v=""/>
    <n v="0.92"/>
    <n v="0.92"/>
    <s v=""/>
    <n v="0.8"/>
    <n v="0.8"/>
    <s v=""/>
  </r>
  <r>
    <x v="70"/>
    <x v="24"/>
    <n v="1"/>
    <n v="1"/>
    <x v="22"/>
    <s v="$7B"/>
    <s v="David"/>
    <n v="9"/>
    <n v="18.57"/>
    <n v="1.1379999999999999"/>
    <n v="0.33"/>
    <n v="318"/>
    <n v="1.1379999999999999"/>
    <s v=""/>
    <n v="0.57299999999999995"/>
    <n v="0.57299999999999995"/>
    <s v=""/>
    <n v="0.56499999999999995"/>
    <n v="0.56499999999999995"/>
    <s v=""/>
    <n v="0.4"/>
    <n v="0.4"/>
    <s v=""/>
  </r>
  <r>
    <x v="59"/>
    <x v="79"/>
    <n v="1"/>
    <n v="1"/>
    <x v="75"/>
    <s v="N/A Stock quote details"/>
    <s v="David"/>
    <m/>
    <n v="11.57"/>
    <n v="1.1359999999999999"/>
    <n v="0.33"/>
    <n v="317"/>
    <n v="1.1359999999999999"/>
    <s v=""/>
    <n v="0.25800000000000001"/>
    <n v="0.25800000000000001"/>
    <s v=""/>
    <n v="0.878"/>
    <n v="0.878"/>
    <s v=""/>
    <n v="0.7"/>
    <n v="0.7"/>
    <s v=""/>
  </r>
  <r>
    <x v="92"/>
    <x v="80"/>
    <n v="1"/>
    <n v="1"/>
    <x v="76"/>
    <s v="$483B"/>
    <s v="Tom"/>
    <m/>
    <n v="79.900000000000006"/>
    <n v="1.1220000000000001"/>
    <n v="0.33"/>
    <n v="316"/>
    <s v=""/>
    <n v="1.1220000000000001"/>
    <n v="0.443"/>
    <s v=""/>
    <n v="0.443"/>
    <n v="0.67900000000000005"/>
    <s v=""/>
    <n v="0.67900000000000005"/>
    <n v="0.5"/>
    <s v=""/>
    <n v="0.5"/>
  </r>
  <r>
    <x v="93"/>
    <x v="81"/>
    <n v="1"/>
    <n v="1"/>
    <x v="77"/>
    <s v="$10B"/>
    <s v="Tom"/>
    <m/>
    <n v="52.09"/>
    <n v="1.1140000000000001"/>
    <n v="0.33"/>
    <n v="315"/>
    <s v=""/>
    <n v="1.1140000000000001"/>
    <n v="1.03"/>
    <s v=""/>
    <n v="1.03"/>
    <n v="8.4000000000000005E-2"/>
    <s v=""/>
    <n v="8.4000000000000005E-2"/>
    <n v="0"/>
    <s v=""/>
    <n v="0"/>
  </r>
  <r>
    <x v="80"/>
    <x v="82"/>
    <n v="1"/>
    <n v="1"/>
    <x v="78"/>
    <s v="N/A Stock quote details"/>
    <s v="Tom"/>
    <m/>
    <n v="17.739999999999998"/>
    <n v="1.099"/>
    <n v="0.32"/>
    <n v="314"/>
    <s v=""/>
    <n v="1.099"/>
    <n v="0.14599999999999999"/>
    <s v=""/>
    <n v="0.14599999999999999"/>
    <n v="0.95399999999999996"/>
    <s v=""/>
    <n v="0.95399999999999996"/>
    <n v="0.8"/>
    <s v=""/>
    <n v="0.8"/>
  </r>
  <r>
    <x v="94"/>
    <x v="83"/>
    <n v="1"/>
    <n v="1"/>
    <x v="79"/>
    <s v="$18B"/>
    <s v="Tom"/>
    <m/>
    <n v="314.19"/>
    <n v="1.0940000000000001"/>
    <n v="0.32"/>
    <n v="313"/>
    <s v=""/>
    <n v="1.0940000000000001"/>
    <n v="1.089"/>
    <s v=""/>
    <n v="1.089"/>
    <n v="4.0000000000000001E-3"/>
    <s v=""/>
    <n v="4.0000000000000001E-3"/>
    <n v="0"/>
    <s v=""/>
    <n v="0"/>
  </r>
  <r>
    <x v="95"/>
    <x v="84"/>
    <n v="1"/>
    <n v="1"/>
    <x v="80"/>
    <s v="$3B"/>
    <s v="Tom"/>
    <m/>
    <n v="20.86"/>
    <n v="1.0780000000000001"/>
    <n v="0.32"/>
    <n v="312"/>
    <s v=""/>
    <n v="1.0780000000000001"/>
    <n v="7.1999999999999995E-2"/>
    <s v=""/>
    <n v="7.1999999999999995E-2"/>
    <n v="1.006"/>
    <s v=""/>
    <n v="1.006"/>
    <n v="0.9"/>
    <s v=""/>
    <n v="0.9"/>
  </r>
  <r>
    <x v="96"/>
    <x v="85"/>
    <n v="1"/>
    <n v="1"/>
    <x v="81"/>
    <s v="$3B"/>
    <s v="Tom"/>
    <m/>
    <n v="42.98"/>
    <n v="1.071"/>
    <n v="0.32"/>
    <n v="311"/>
    <s v=""/>
    <n v="1.071"/>
    <n v="1.5009999999999999"/>
    <s v=""/>
    <n v="1.5009999999999999"/>
    <n v="-0.43"/>
    <s v=""/>
    <n v="-0.43"/>
    <n v="-0.2"/>
    <s v=""/>
    <n v="-0.2"/>
  </r>
  <r>
    <x v="97"/>
    <x v="86"/>
    <n v="1"/>
    <n v="1"/>
    <x v="82"/>
    <s v="$6B"/>
    <s v="Tom"/>
    <m/>
    <n v="17.32"/>
    <n v="1.07"/>
    <n v="0.32"/>
    <n v="310"/>
    <s v=""/>
    <n v="1.07"/>
    <n v="0.86199999999999999"/>
    <s v=""/>
    <n v="0.86199999999999999"/>
    <n v="0.20899999999999999"/>
    <s v=""/>
    <n v="0.20899999999999999"/>
    <n v="0.1"/>
    <s v=""/>
    <n v="0.1"/>
  </r>
  <r>
    <x v="98"/>
    <x v="87"/>
    <n v="1"/>
    <n v="1"/>
    <x v="83"/>
    <s v="N/A Stock quote details"/>
    <s v="David"/>
    <m/>
    <n v="37.03"/>
    <n v="1.0640000000000001"/>
    <n v="0.31"/>
    <n v="309"/>
    <n v="1.0640000000000001"/>
    <s v=""/>
    <n v="0.27600000000000002"/>
    <n v="0.27600000000000002"/>
    <s v=""/>
    <n v="0.78900000000000003"/>
    <n v="0.78900000000000003"/>
    <s v=""/>
    <n v="0.6"/>
    <n v="0.6"/>
    <s v=""/>
  </r>
  <r>
    <x v="99"/>
    <x v="88"/>
    <n v="1"/>
    <n v="1"/>
    <x v="84"/>
    <s v="$6B"/>
    <s v="David"/>
    <n v="9"/>
    <n v="83.61"/>
    <n v="1.0569999999999999"/>
    <n v="0.31"/>
    <n v="308"/>
    <n v="1.0569999999999999"/>
    <s v=""/>
    <n v="0.45900000000000002"/>
    <n v="0.45900000000000002"/>
    <s v=""/>
    <n v="0.59799999999999998"/>
    <n v="0.59799999999999998"/>
    <s v=""/>
    <n v="0.4"/>
    <n v="0.4"/>
    <s v=""/>
  </r>
  <r>
    <x v="39"/>
    <x v="89"/>
    <n v="1"/>
    <n v="1"/>
    <x v="85"/>
    <s v="$9B"/>
    <s v="David"/>
    <n v="14"/>
    <n v="20.57"/>
    <n v="1.0089999999999999"/>
    <n v="0.3"/>
    <n v="307"/>
    <n v="1.0089999999999999"/>
    <s v=""/>
    <n v="1.0349999999999999"/>
    <n v="1.0349999999999999"/>
    <s v=""/>
    <n v="-2.5999999999999999E-2"/>
    <n v="-2.5999999999999999E-2"/>
    <s v=""/>
    <n v="0"/>
    <n v="0"/>
    <s v=""/>
  </r>
  <r>
    <x v="100"/>
    <x v="90"/>
    <n v="1"/>
    <n v="1"/>
    <x v="86"/>
    <s v="$33B"/>
    <s v="Tom"/>
    <m/>
    <n v="72"/>
    <n v="0.98599999999999999"/>
    <n v="0.3"/>
    <n v="306"/>
    <s v=""/>
    <n v="0.98599999999999999"/>
    <n v="0.45200000000000001"/>
    <s v=""/>
    <n v="0.45200000000000001"/>
    <n v="0.53400000000000003"/>
    <s v=""/>
    <n v="0.53400000000000003"/>
    <n v="0.4"/>
    <s v=""/>
    <n v="0.4"/>
  </r>
  <r>
    <x v="101"/>
    <x v="91"/>
    <n v="1"/>
    <n v="1"/>
    <x v="87"/>
    <s v="$2B"/>
    <s v="Tom"/>
    <m/>
    <n v="16.68"/>
    <n v="0.98099999999999998"/>
    <n v="0.3"/>
    <n v="305"/>
    <s v=""/>
    <n v="0.98099999999999998"/>
    <n v="0.54100000000000004"/>
    <s v=""/>
    <n v="0.54100000000000004"/>
    <n v="0.44"/>
    <s v=""/>
    <n v="0.44"/>
    <n v="0.3"/>
    <s v=""/>
    <n v="0.3"/>
  </r>
  <r>
    <x v="102"/>
    <x v="92"/>
    <n v="1"/>
    <n v="1"/>
    <x v="88"/>
    <s v="$4B"/>
    <s v="Tom"/>
    <m/>
    <n v="27.39"/>
    <n v="0.97199999999999998"/>
    <n v="0.28999999999999998"/>
    <n v="304"/>
    <s v=""/>
    <n v="0.97199999999999998"/>
    <n v="1.696"/>
    <s v=""/>
    <n v="1.696"/>
    <n v="-0.72499999999999998"/>
    <s v=""/>
    <n v="-0.72499999999999998"/>
    <n v="-0.3"/>
    <s v=""/>
    <n v="-0.3"/>
  </r>
  <r>
    <x v="103"/>
    <x v="93"/>
    <n v="1"/>
    <n v="1"/>
    <x v="89"/>
    <s v="$17B"/>
    <s v="David"/>
    <n v="9"/>
    <n v="11.59"/>
    <n v="0.97"/>
    <n v="0.28999999999999998"/>
    <n v="303"/>
    <n v="0.97"/>
    <s v=""/>
    <n v="1.923"/>
    <n v="1.923"/>
    <s v=""/>
    <n v="-0.95399999999999996"/>
    <n v="-0.95399999999999996"/>
    <s v=""/>
    <n v="-0.3"/>
    <n v="-0.3"/>
    <s v=""/>
  </r>
  <r>
    <x v="104"/>
    <x v="94"/>
    <n v="1"/>
    <n v="1"/>
    <x v="90"/>
    <m/>
    <s v="David"/>
    <m/>
    <n v="36.11"/>
    <n v="0.94399999999999995"/>
    <n v="0.28999999999999998"/>
    <n v="302"/>
    <n v="0.94399999999999995"/>
    <s v=""/>
    <n v="0.80100000000000005"/>
    <n v="0.80100000000000005"/>
    <s v=""/>
    <n v="0.14299999999999999"/>
    <n v="0.14299999999999999"/>
    <s v=""/>
    <n v="0.1"/>
    <n v="0.1"/>
    <s v=""/>
  </r>
  <r>
    <x v="105"/>
    <x v="95"/>
    <n v="1"/>
    <n v="1"/>
    <x v="91"/>
    <s v="N/A Stock quote details"/>
    <s v="Tom"/>
    <m/>
    <n v="28.73"/>
    <n v="0.92300000000000004"/>
    <n v="0.28000000000000003"/>
    <n v="301"/>
    <s v=""/>
    <n v="0.92300000000000004"/>
    <n v="0.30499999999999999"/>
    <s v=""/>
    <n v="0.30499999999999999"/>
    <n v="0.61799999999999999"/>
    <s v=""/>
    <n v="0.61799999999999999"/>
    <n v="0.5"/>
    <s v=""/>
    <n v="0.5"/>
  </r>
  <r>
    <x v="106"/>
    <x v="96"/>
    <n v="1"/>
    <n v="1"/>
    <x v="92"/>
    <s v="$9B"/>
    <s v="David"/>
    <n v="10"/>
    <n v="166.48"/>
    <n v="0.89700000000000002"/>
    <n v="0.28000000000000003"/>
    <n v="300"/>
    <n v="0.89700000000000002"/>
    <s v=""/>
    <n v="4.7E-2"/>
    <n v="4.7E-2"/>
    <s v=""/>
    <n v="0.85"/>
    <n v="0.85"/>
    <s v=""/>
    <n v="0.8"/>
    <n v="0.8"/>
    <s v=""/>
  </r>
  <r>
    <x v="36"/>
    <x v="97"/>
    <n v="1"/>
    <n v="1"/>
    <x v="93"/>
    <s v="$1B"/>
    <s v="Tom"/>
    <m/>
    <n v="33.729999999999997"/>
    <n v="0.89"/>
    <n v="0.28000000000000003"/>
    <n v="299"/>
    <s v=""/>
    <n v="0.89"/>
    <n v="1.59"/>
    <s v=""/>
    <n v="1.59"/>
    <n v="-0.7"/>
    <s v=""/>
    <n v="-0.7"/>
    <n v="-0.3"/>
    <s v=""/>
    <n v="-0.3"/>
  </r>
  <r>
    <x v="107"/>
    <x v="98"/>
    <n v="1"/>
    <n v="1"/>
    <x v="94"/>
    <s v="$33B"/>
    <s v="Tom"/>
    <m/>
    <n v="169.21"/>
    <n v="0.86299999999999999"/>
    <n v="0.27"/>
    <n v="298"/>
    <s v=""/>
    <n v="0.86299999999999999"/>
    <n v="0.47799999999999998"/>
    <s v=""/>
    <n v="0.47799999999999998"/>
    <n v="0.38600000000000001"/>
    <s v=""/>
    <n v="0.38600000000000001"/>
    <n v="0.3"/>
    <s v=""/>
    <n v="0.3"/>
  </r>
  <r>
    <x v="52"/>
    <x v="99"/>
    <n v="1"/>
    <n v="1"/>
    <x v="82"/>
    <s v="$6B"/>
    <s v="Tom"/>
    <m/>
    <n v="19.07"/>
    <n v="0.85199999999999998"/>
    <n v="0.27"/>
    <n v="297"/>
    <s v=""/>
    <n v="0.85199999999999998"/>
    <n v="0.56299999999999994"/>
    <s v=""/>
    <n v="0.56299999999999994"/>
    <n v="0.28899999999999998"/>
    <s v=""/>
    <n v="0.28899999999999998"/>
    <n v="0.2"/>
    <s v=""/>
    <n v="0.2"/>
  </r>
  <r>
    <x v="108"/>
    <x v="100"/>
    <n v="1"/>
    <n v="1"/>
    <x v="95"/>
    <s v="$47B"/>
    <s v="Tom"/>
    <m/>
    <n v="30.48"/>
    <n v="0.84199999999999997"/>
    <n v="0.27"/>
    <n v="296"/>
    <s v=""/>
    <n v="0.84199999999999997"/>
    <n v="0.307"/>
    <s v=""/>
    <n v="0.307"/>
    <n v="0.53500000000000003"/>
    <s v=""/>
    <n v="0.53500000000000003"/>
    <n v="0.4"/>
    <s v=""/>
    <n v="0.4"/>
  </r>
  <r>
    <x v="109"/>
    <x v="101"/>
    <n v="1"/>
    <n v="1"/>
    <x v="96"/>
    <s v="N/A Stock quote details"/>
    <s v="David"/>
    <m/>
    <n v="11.8"/>
    <n v="0.81599999999999995"/>
    <n v="0.26"/>
    <n v="295"/>
    <n v="0.81599999999999995"/>
    <s v=""/>
    <n v="-0.17199999999999999"/>
    <n v="-0.17199999999999999"/>
    <s v=""/>
    <n v="0.98799999999999999"/>
    <n v="0.98799999999999999"/>
    <s v=""/>
    <n v="1.2"/>
    <n v="1.2"/>
    <s v=""/>
  </r>
  <r>
    <x v="93"/>
    <x v="102"/>
    <n v="1"/>
    <n v="1"/>
    <x v="97"/>
    <s v="$12B"/>
    <s v="David"/>
    <n v="14"/>
    <n v="41.66"/>
    <n v="0.80500000000000005"/>
    <n v="0.26"/>
    <n v="294"/>
    <n v="0.80500000000000005"/>
    <s v=""/>
    <n v="1.03"/>
    <n v="1.03"/>
    <s v=""/>
    <n v="-0.22500000000000001"/>
    <n v="-0.22500000000000001"/>
    <s v=""/>
    <n v="-0.1"/>
    <n v="-0.1"/>
    <s v=""/>
  </r>
  <r>
    <x v="110"/>
    <x v="103"/>
    <n v="1"/>
    <n v="1"/>
    <x v="98"/>
    <s v="$5B"/>
    <s v="Tom"/>
    <m/>
    <n v="24.76"/>
    <n v="0.80400000000000005"/>
    <n v="0.26"/>
    <n v="293"/>
    <s v=""/>
    <n v="0.80400000000000005"/>
    <n v="1.4379999999999999"/>
    <s v=""/>
    <n v="1.4379999999999999"/>
    <n v="-0.63400000000000001"/>
    <s v=""/>
    <n v="-0.63400000000000001"/>
    <n v="-0.3"/>
    <s v=""/>
    <n v="-0.3"/>
  </r>
  <r>
    <x v="18"/>
    <x v="104"/>
    <n v="1"/>
    <n v="1"/>
    <x v="99"/>
    <s v="$68B"/>
    <s v="David"/>
    <n v="12"/>
    <n v="44.41"/>
    <n v="0.79600000000000004"/>
    <n v="0.25"/>
    <n v="292"/>
    <n v="0.79600000000000004"/>
    <s v=""/>
    <n v="0.36699999999999999"/>
    <n v="0.36699999999999999"/>
    <s v=""/>
    <n v="0.42899999999999999"/>
    <n v="0.42899999999999999"/>
    <s v=""/>
    <n v="0.3"/>
    <n v="0.3"/>
    <s v=""/>
  </r>
  <r>
    <x v="111"/>
    <x v="105"/>
    <n v="1"/>
    <n v="1"/>
    <x v="100"/>
    <s v="$2B"/>
    <s v="Tom"/>
    <m/>
    <n v="32.340000000000003"/>
    <n v="0.77300000000000002"/>
    <n v="0.25"/>
    <n v="291"/>
    <s v=""/>
    <n v="0.77300000000000002"/>
    <n v="1.6040000000000001"/>
    <s v=""/>
    <n v="1.6040000000000001"/>
    <n v="-0.83099999999999996"/>
    <s v=""/>
    <n v="-0.83099999999999996"/>
    <n v="-0.3"/>
    <s v=""/>
    <n v="-0.3"/>
  </r>
  <r>
    <x v="112"/>
    <x v="106"/>
    <n v="1"/>
    <n v="1"/>
    <x v="101"/>
    <s v="N/A Stock quote details"/>
    <s v="David"/>
    <m/>
    <n v="23"/>
    <n v="0.77"/>
    <n v="0.25"/>
    <n v="290"/>
    <n v="0.77"/>
    <s v=""/>
    <n v="1.054"/>
    <n v="1.054"/>
    <s v=""/>
    <n v="-0.28299999999999997"/>
    <n v="-0.28299999999999997"/>
    <s v=""/>
    <n v="-0.1"/>
    <n v="-0.1"/>
    <s v=""/>
  </r>
  <r>
    <x v="102"/>
    <x v="107"/>
    <n v="1"/>
    <n v="1"/>
    <x v="102"/>
    <s v="$21B"/>
    <s v="David"/>
    <n v="9"/>
    <n v="78.81"/>
    <n v="0.76700000000000002"/>
    <n v="0.25"/>
    <n v="289"/>
    <n v="0.76700000000000002"/>
    <s v=""/>
    <n v="1.696"/>
    <n v="1.696"/>
    <s v=""/>
    <n v="-0.92900000000000005"/>
    <n v="-0.92900000000000005"/>
    <s v=""/>
    <n v="-0.3"/>
    <n v="-0.3"/>
    <s v=""/>
  </r>
  <r>
    <x v="82"/>
    <x v="108"/>
    <n v="1"/>
    <n v="1"/>
    <x v="103"/>
    <s v="$13B"/>
    <s v="Tom"/>
    <m/>
    <n v="21.8"/>
    <n v="0.75600000000000001"/>
    <n v="0.24"/>
    <n v="288"/>
    <s v=""/>
    <n v="0.75600000000000001"/>
    <n v="0.28699999999999998"/>
    <s v=""/>
    <n v="0.28699999999999998"/>
    <n v="0.46899999999999997"/>
    <s v=""/>
    <n v="0.46899999999999997"/>
    <n v="0.4"/>
    <s v=""/>
    <n v="0.4"/>
  </r>
  <r>
    <x v="113"/>
    <x v="109"/>
    <n v="1"/>
    <n v="1"/>
    <x v="104"/>
    <s v="$501M"/>
    <s v="Tom"/>
    <m/>
    <n v="6.34"/>
    <n v="0.74199999999999999"/>
    <n v="0.24"/>
    <n v="287"/>
    <s v=""/>
    <n v="0.74199999999999999"/>
    <n v="1.284"/>
    <s v=""/>
    <n v="1.284"/>
    <n v="-0.54300000000000004"/>
    <s v=""/>
    <n v="-0.54300000000000004"/>
    <n v="-0.2"/>
    <s v=""/>
    <n v="-0.2"/>
  </r>
  <r>
    <x v="3"/>
    <x v="110"/>
    <n v="1"/>
    <n v="1"/>
    <x v="105"/>
    <s v="$3B"/>
    <s v="Tom"/>
    <m/>
    <n v="11.44"/>
    <n v="0.74099999999999999"/>
    <n v="0.24"/>
    <n v="286"/>
    <s v=""/>
    <n v="0.74099999999999999"/>
    <n v="0.13900000000000001"/>
    <s v=""/>
    <n v="0.13900000000000001"/>
    <n v="0.60199999999999998"/>
    <s v=""/>
    <n v="0.60199999999999998"/>
    <n v="0.5"/>
    <s v=""/>
    <n v="0.5"/>
  </r>
  <r>
    <x v="114"/>
    <x v="111"/>
    <n v="1"/>
    <n v="1"/>
    <x v="106"/>
    <s v="$836B"/>
    <s v="Tom"/>
    <m/>
    <n v="700.91"/>
    <n v="0.73399999999999999"/>
    <n v="0.24"/>
    <n v="285"/>
    <s v=""/>
    <n v="0.73399999999999999"/>
    <n v="0.55400000000000005"/>
    <s v=""/>
    <n v="0.55400000000000005"/>
    <n v="0.18"/>
    <s v=""/>
    <n v="0.18"/>
    <n v="0.1"/>
    <s v=""/>
    <n v="0.1"/>
  </r>
  <r>
    <x v="49"/>
    <x v="101"/>
    <n v="1"/>
    <n v="1"/>
    <x v="96"/>
    <s v="N/A Stock quote details"/>
    <s v="David"/>
    <m/>
    <n v="12.37"/>
    <n v="0.73199999999999998"/>
    <n v="0.24"/>
    <n v="284"/>
    <n v="0.73199999999999998"/>
    <s v=""/>
    <n v="0.189"/>
    <n v="0.189"/>
    <s v=""/>
    <n v="0.54400000000000004"/>
    <n v="0.54400000000000004"/>
    <s v=""/>
    <n v="0.5"/>
    <n v="0.5"/>
    <s v=""/>
  </r>
  <r>
    <x v="100"/>
    <x v="21"/>
    <n v="1"/>
    <n v="1"/>
    <x v="19"/>
    <s v="$38B"/>
    <s v="David"/>
    <n v="8"/>
    <n v="150.24"/>
    <n v="0.72899999999999998"/>
    <n v="0.24"/>
    <n v="283"/>
    <n v="0.72899999999999998"/>
    <s v=""/>
    <n v="0.45200000000000001"/>
    <n v="0.45200000000000001"/>
    <s v=""/>
    <n v="0.27800000000000002"/>
    <n v="0.27800000000000002"/>
    <s v=""/>
    <n v="0.2"/>
    <n v="0.2"/>
    <s v=""/>
  </r>
  <r>
    <x v="115"/>
    <x v="112"/>
    <n v="1"/>
    <n v="1"/>
    <x v="107"/>
    <s v="$8B"/>
    <s v="Tom"/>
    <m/>
    <n v="10.65"/>
    <n v="0.72799999999999998"/>
    <n v="0.24"/>
    <n v="282"/>
    <s v=""/>
    <n v="0.72799999999999998"/>
    <n v="2.048"/>
    <s v=""/>
    <n v="2.048"/>
    <n v="-1.32"/>
    <s v=""/>
    <n v="-1.32"/>
    <n v="-0.4"/>
    <s v=""/>
    <n v="-0.4"/>
  </r>
  <r>
    <x v="2"/>
    <x v="87"/>
    <n v="1"/>
    <n v="1"/>
    <x v="83"/>
    <s v="N/A Stock quote details"/>
    <s v="David"/>
    <m/>
    <n v="44.3"/>
    <n v="0.72599999999999998"/>
    <n v="0.24"/>
    <n v="281"/>
    <n v="0.72599999999999998"/>
    <s v=""/>
    <n v="1.4E-2"/>
    <n v="1.4E-2"/>
    <s v=""/>
    <n v="0.71099999999999997"/>
    <n v="0.71099999999999997"/>
    <s v=""/>
    <n v="0.7"/>
    <n v="0.7"/>
    <s v=""/>
  </r>
  <r>
    <x v="116"/>
    <x v="26"/>
    <n v="1"/>
    <n v="1"/>
    <x v="24"/>
    <s v="$131B"/>
    <s v="Tom"/>
    <m/>
    <n v="49.67"/>
    <n v="0.69299999999999995"/>
    <n v="0.23"/>
    <n v="280"/>
    <s v=""/>
    <n v="0.69299999999999995"/>
    <n v="0.373"/>
    <s v=""/>
    <n v="0.373"/>
    <n v="0.32100000000000001"/>
    <s v=""/>
    <n v="0.32100000000000001"/>
    <n v="0.2"/>
    <s v=""/>
    <n v="0.2"/>
  </r>
  <r>
    <x v="84"/>
    <x v="113"/>
    <n v="1"/>
    <n v="1"/>
    <x v="108"/>
    <s v="$15B"/>
    <s v="Tom"/>
    <m/>
    <n v="647"/>
    <n v="0.69099999999999995"/>
    <n v="0.23"/>
    <n v="279"/>
    <s v=""/>
    <n v="0.69099999999999995"/>
    <n v="0.626"/>
    <s v=""/>
    <n v="0.626"/>
    <n v="6.5000000000000002E-2"/>
    <s v=""/>
    <n v="6.5000000000000002E-2"/>
    <n v="0"/>
    <s v=""/>
    <n v="0"/>
  </r>
  <r>
    <x v="8"/>
    <x v="114"/>
    <n v="1"/>
    <n v="1"/>
    <x v="109"/>
    <s v="N/A Stock quote details"/>
    <s v="Tom"/>
    <m/>
    <n v="51.95"/>
    <n v="0.68899999999999995"/>
    <n v="0.23"/>
    <n v="278"/>
    <s v=""/>
    <n v="0.68899999999999995"/>
    <n v="0.432"/>
    <s v=""/>
    <n v="0.432"/>
    <n v="0.25700000000000001"/>
    <s v=""/>
    <n v="0.25700000000000001"/>
    <n v="0.2"/>
    <s v=""/>
    <n v="0.2"/>
  </r>
  <r>
    <x v="117"/>
    <x v="115"/>
    <n v="1"/>
    <n v="1"/>
    <x v="110"/>
    <s v="$2B"/>
    <s v="Tom"/>
    <m/>
    <n v="16.39"/>
    <n v="0.68799999999999994"/>
    <n v="0.23"/>
    <n v="277"/>
    <s v=""/>
    <n v="0.68799999999999994"/>
    <n v="1.774"/>
    <s v=""/>
    <n v="1.774"/>
    <n v="-1.0860000000000001"/>
    <s v=""/>
    <n v="-1.0860000000000001"/>
    <n v="-0.4"/>
    <s v=""/>
    <n v="-0.4"/>
  </r>
  <r>
    <x v="118"/>
    <x v="116"/>
    <n v="1"/>
    <n v="1"/>
    <x v="14"/>
    <s v="$610M"/>
    <s v="Tom"/>
    <m/>
    <n v="18.420000000000002"/>
    <n v="0.65400000000000003"/>
    <n v="0.22"/>
    <n v="276"/>
    <s v=""/>
    <n v="0.65400000000000003"/>
    <n v="-4.7E-2"/>
    <s v=""/>
    <n v="-4.7E-2"/>
    <n v="0.70099999999999996"/>
    <s v=""/>
    <n v="0.70099999999999996"/>
    <n v="0.7"/>
    <s v=""/>
    <n v="0.7"/>
  </r>
  <r>
    <x v="25"/>
    <x v="117"/>
    <n v="1"/>
    <n v="1"/>
    <x v="111"/>
    <s v="$2B"/>
    <s v="Tom"/>
    <m/>
    <n v="64.39"/>
    <n v="0.64700000000000002"/>
    <n v="0.22"/>
    <n v="275"/>
    <s v=""/>
    <n v="0.64700000000000002"/>
    <n v="0.91600000000000004"/>
    <s v=""/>
    <n v="0.91600000000000004"/>
    <n v="-0.26900000000000002"/>
    <s v=""/>
    <n v="-0.26900000000000002"/>
    <n v="-0.1"/>
    <s v=""/>
    <n v="-0.1"/>
  </r>
  <r>
    <x v="119"/>
    <x v="118"/>
    <n v="1"/>
    <n v="1"/>
    <x v="112"/>
    <s v="N/A Stock quote details"/>
    <s v="Tom"/>
    <m/>
    <n v="20.73"/>
    <n v="0.61599999999999999"/>
    <n v="0.21"/>
    <n v="274"/>
    <s v=""/>
    <n v="0.61599999999999999"/>
    <n v="0.27"/>
    <s v=""/>
    <n v="0.27"/>
    <n v="0.34699999999999998"/>
    <s v=""/>
    <n v="0.34699999999999998"/>
    <n v="0.3"/>
    <s v=""/>
    <n v="0.3"/>
  </r>
  <r>
    <x v="120"/>
    <x v="119"/>
    <n v="1"/>
    <n v="1"/>
    <x v="113"/>
    <s v="$53B"/>
    <s v="David"/>
    <n v="8"/>
    <n v="114.09"/>
    <n v="0.61099999999999999"/>
    <n v="0.21"/>
    <n v="273"/>
    <n v="0.61099999999999999"/>
    <s v=""/>
    <n v="0.42899999999999999"/>
    <n v="0.42899999999999999"/>
    <s v=""/>
    <n v="0.183"/>
    <n v="0.183"/>
    <s v=""/>
    <n v="0.1"/>
    <n v="0.1"/>
    <s v=""/>
  </r>
  <r>
    <x v="121"/>
    <x v="120"/>
    <n v="1"/>
    <n v="1"/>
    <x v="114"/>
    <s v="$73B"/>
    <s v="David"/>
    <n v="9"/>
    <n v="128.11000000000001"/>
    <n v="0.6"/>
    <n v="0.2"/>
    <n v="272"/>
    <n v="0.6"/>
    <s v=""/>
    <n v="0.114"/>
    <n v="0.114"/>
    <s v=""/>
    <n v="0.48499999999999999"/>
    <n v="0.48499999999999999"/>
    <s v=""/>
    <n v="0.4"/>
    <n v="0.4"/>
    <s v=""/>
  </r>
  <r>
    <x v="122"/>
    <x v="121"/>
    <n v="1"/>
    <n v="1"/>
    <x v="115"/>
    <s v="$8B"/>
    <s v="David"/>
    <n v="14"/>
    <n v="40.93"/>
    <n v="0.59499999999999997"/>
    <n v="0.2"/>
    <n v="271"/>
    <n v="0.59499999999999997"/>
    <s v=""/>
    <n v="0.51100000000000001"/>
    <n v="0.51100000000000001"/>
    <s v=""/>
    <n v="8.4000000000000005E-2"/>
    <n v="8.4000000000000005E-2"/>
    <s v=""/>
    <n v="0.1"/>
    <n v="0.1"/>
    <s v=""/>
  </r>
  <r>
    <x v="123"/>
    <x v="122"/>
    <n v="1"/>
    <n v="1"/>
    <x v="116"/>
    <s v="$34B"/>
    <s v="Tom"/>
    <m/>
    <n v="65.45"/>
    <n v="0.59199999999999997"/>
    <n v="0.2"/>
    <n v="269"/>
    <s v=""/>
    <n v="0.59199999999999997"/>
    <n v="0.53700000000000003"/>
    <s v=""/>
    <n v="0.53700000000000003"/>
    <n v="5.5E-2"/>
    <s v=""/>
    <n v="5.5E-2"/>
    <n v="0"/>
    <s v=""/>
    <n v="0"/>
  </r>
  <r>
    <x v="124"/>
    <x v="123"/>
    <n v="1"/>
    <n v="1"/>
    <x v="117"/>
    <s v="$5B"/>
    <s v="Tom"/>
    <m/>
    <n v="56.77"/>
    <n v="0.59199999999999997"/>
    <n v="0.2"/>
    <n v="269"/>
    <s v=""/>
    <n v="0.59199999999999997"/>
    <n v="1.792"/>
    <s v=""/>
    <n v="1.792"/>
    <n v="-1.2"/>
    <s v=""/>
    <n v="-1.2"/>
    <n v="-0.4"/>
    <s v=""/>
    <n v="-0.4"/>
  </r>
  <r>
    <x v="68"/>
    <x v="38"/>
    <n v="1"/>
    <n v="1"/>
    <x v="36"/>
    <s v="$18B"/>
    <s v="Tom"/>
    <m/>
    <n v="27.7"/>
    <n v="0.58499999999999996"/>
    <n v="0.2"/>
    <n v="268"/>
    <s v=""/>
    <n v="0.58499999999999996"/>
    <n v="0.47599999999999998"/>
    <s v=""/>
    <n v="0.47599999999999998"/>
    <n v="0.11"/>
    <s v=""/>
    <n v="0.11"/>
    <n v="0.1"/>
    <s v=""/>
    <n v="0.1"/>
  </r>
  <r>
    <x v="115"/>
    <x v="124"/>
    <n v="1"/>
    <n v="1"/>
    <x v="118"/>
    <s v="N/A Stock quote details"/>
    <s v="David"/>
    <m/>
    <n v="21.01"/>
    <n v="0.58199999999999996"/>
    <n v="0.2"/>
    <n v="266"/>
    <n v="0.58199999999999996"/>
    <s v=""/>
    <n v="0.73099999999999998"/>
    <n v="0.73099999999999998"/>
    <s v=""/>
    <n v="-0.14899999999999999"/>
    <n v="-0.14899999999999999"/>
    <s v=""/>
    <n v="-0.1"/>
    <n v="-0.1"/>
    <s v=""/>
  </r>
  <r>
    <x v="125"/>
    <x v="125"/>
    <n v="1"/>
    <n v="1"/>
    <x v="119"/>
    <s v="N/A Stock quote details"/>
    <s v="Tom"/>
    <m/>
    <n v="37.270000000000003"/>
    <n v="0.58199999999999996"/>
    <n v="0.2"/>
    <n v="266"/>
    <s v=""/>
    <n v="0.58199999999999996"/>
    <n v="0.161"/>
    <s v=""/>
    <n v="0.161"/>
    <n v="0.42099999999999999"/>
    <s v=""/>
    <n v="0.42099999999999999"/>
    <n v="0.4"/>
    <s v=""/>
    <n v="0.4"/>
  </r>
  <r>
    <x v="126"/>
    <x v="126"/>
    <n v="1"/>
    <n v="1"/>
    <x v="120"/>
    <s v="$3B"/>
    <s v="David"/>
    <n v="13"/>
    <n v="93.75"/>
    <n v="0.57599999999999996"/>
    <n v="0.2"/>
    <n v="265"/>
    <n v="0.57599999999999996"/>
    <s v=""/>
    <n v="0.442"/>
    <n v="0.442"/>
    <s v=""/>
    <n v="0.13400000000000001"/>
    <n v="0.13400000000000001"/>
    <s v=""/>
    <n v="0.1"/>
    <n v="0.1"/>
    <s v=""/>
  </r>
  <r>
    <x v="127"/>
    <x v="127"/>
    <n v="1"/>
    <n v="1"/>
    <x v="121"/>
    <s v="$2B"/>
    <s v="Tom"/>
    <m/>
    <n v="15.85"/>
    <n v="0.56499999999999995"/>
    <n v="0.19"/>
    <n v="264"/>
    <s v=""/>
    <n v="0.56499999999999995"/>
    <n v="1.7070000000000001"/>
    <s v=""/>
    <n v="1.7070000000000001"/>
    <n v="-1.1419999999999999"/>
    <s v=""/>
    <n v="-1.1419999999999999"/>
    <n v="-0.4"/>
    <s v=""/>
    <n v="-0.4"/>
  </r>
  <r>
    <x v="128"/>
    <x v="128"/>
    <n v="1"/>
    <n v="1"/>
    <x v="122"/>
    <s v="$3B"/>
    <s v="David"/>
    <n v="10"/>
    <n v="90.8"/>
    <n v="0.56399999999999995"/>
    <n v="0.19"/>
    <n v="263"/>
    <n v="0.56399999999999995"/>
    <s v=""/>
    <n v="0.66200000000000003"/>
    <n v="0.66200000000000003"/>
    <s v=""/>
    <n v="-9.9000000000000005E-2"/>
    <n v="-9.9000000000000005E-2"/>
    <s v=""/>
    <n v="-0.1"/>
    <n v="-0.1"/>
    <s v=""/>
  </r>
  <r>
    <x v="83"/>
    <x v="129"/>
    <n v="1"/>
    <n v="1"/>
    <x v="123"/>
    <s v="N/A Stock quote details"/>
    <s v="David"/>
    <m/>
    <n v="10.56"/>
    <n v="0.56299999999999994"/>
    <n v="0.19"/>
    <n v="262"/>
    <n v="0.56299999999999994"/>
    <s v=""/>
    <n v="0.24299999999999999"/>
    <n v="0.24299999999999999"/>
    <s v=""/>
    <n v="0.32"/>
    <n v="0.32"/>
    <s v=""/>
    <n v="0.3"/>
    <n v="0.3"/>
    <s v=""/>
  </r>
  <r>
    <x v="129"/>
    <x v="130"/>
    <n v="1"/>
    <n v="1"/>
    <x v="124"/>
    <s v="$18B"/>
    <s v="Tom"/>
    <m/>
    <n v="7.46"/>
    <n v="0.54600000000000004"/>
    <n v="0.19"/>
    <n v="261"/>
    <s v=""/>
    <n v="0.54600000000000004"/>
    <n v="-7.1999999999999995E-2"/>
    <s v=""/>
    <n v="-7.1999999999999995E-2"/>
    <n v="0.61799999999999999"/>
    <s v=""/>
    <n v="0.61799999999999999"/>
    <n v="0.7"/>
    <s v=""/>
    <n v="0.7"/>
  </r>
  <r>
    <x v="122"/>
    <x v="131"/>
    <n v="1"/>
    <n v="1"/>
    <x v="125"/>
    <s v="$5B"/>
    <s v="Tom"/>
    <m/>
    <n v="37.56"/>
    <n v="0.53900000000000003"/>
    <n v="0.19"/>
    <n v="260"/>
    <s v=""/>
    <n v="0.53900000000000003"/>
    <n v="0.51100000000000001"/>
    <s v=""/>
    <n v="0.51100000000000001"/>
    <n v="2.8000000000000001E-2"/>
    <s v=""/>
    <n v="2.8000000000000001E-2"/>
    <n v="0"/>
    <s v=""/>
    <n v="0"/>
  </r>
  <r>
    <x v="130"/>
    <x v="65"/>
    <n v="1"/>
    <n v="1"/>
    <x v="61"/>
    <s v="N/A Stock quote details"/>
    <s v="David"/>
    <m/>
    <n v="27.57"/>
    <n v="0.51400000000000001"/>
    <n v="0.18"/>
    <n v="259"/>
    <n v="0.51400000000000001"/>
    <s v=""/>
    <n v="1.613"/>
    <n v="1.613"/>
    <s v=""/>
    <n v="-1.0980000000000001"/>
    <n v="-1.0980000000000001"/>
    <s v=""/>
    <n v="-0.4"/>
    <n v="-0.4"/>
    <s v=""/>
  </r>
  <r>
    <x v="131"/>
    <x v="114"/>
    <n v="1"/>
    <n v="1"/>
    <x v="109"/>
    <s v="N/A Stock quote details"/>
    <s v="Tom"/>
    <m/>
    <n v="58.37"/>
    <n v="0.503"/>
    <n v="0.18"/>
    <n v="258"/>
    <s v=""/>
    <n v="0.503"/>
    <n v="0.373"/>
    <s v=""/>
    <n v="0.373"/>
    <n v="0.13"/>
    <s v=""/>
    <n v="0.13"/>
    <n v="0.1"/>
    <s v=""/>
    <n v="0.1"/>
  </r>
  <r>
    <x v="120"/>
    <x v="132"/>
    <n v="1"/>
    <n v="1"/>
    <x v="126"/>
    <s v="$8B"/>
    <s v="Tom"/>
    <m/>
    <n v="98.61"/>
    <n v="0.502"/>
    <n v="0.18"/>
    <n v="257"/>
    <s v=""/>
    <n v="0.502"/>
    <n v="0.42899999999999999"/>
    <s v=""/>
    <n v="0.42899999999999999"/>
    <n v="7.3999999999999996E-2"/>
    <s v=""/>
    <n v="7.3999999999999996E-2"/>
    <n v="0.1"/>
    <s v=""/>
    <n v="0.1"/>
  </r>
  <r>
    <x v="61"/>
    <x v="133"/>
    <n v="1"/>
    <n v="1"/>
    <x v="127"/>
    <s v="N/A Stock quote details"/>
    <s v="David"/>
    <m/>
    <n v="6.03"/>
    <n v="0.501"/>
    <n v="0.18"/>
    <n v="256"/>
    <n v="0.501"/>
    <s v=""/>
    <n v="0.4"/>
    <n v="0.4"/>
    <s v=""/>
    <n v="0.10100000000000001"/>
    <n v="0.10100000000000001"/>
    <s v=""/>
    <n v="0.1"/>
    <n v="0.1"/>
    <s v=""/>
  </r>
  <r>
    <x v="132"/>
    <x v="92"/>
    <n v="1"/>
    <n v="1"/>
    <x v="88"/>
    <s v="$4B"/>
    <s v="Tom"/>
    <m/>
    <n v="36.049999999999997"/>
    <n v="0.498"/>
    <n v="0.18"/>
    <n v="255"/>
    <s v=""/>
    <n v="0.498"/>
    <n v="1.228"/>
    <s v=""/>
    <n v="1.228"/>
    <n v="-0.73"/>
    <s v=""/>
    <n v="-0.73"/>
    <n v="-0.3"/>
    <s v=""/>
    <n v="-0.3"/>
  </r>
  <r>
    <x v="90"/>
    <x v="134"/>
    <n v="1"/>
    <n v="1"/>
    <x v="128"/>
    <s v="N/A Stock quote details"/>
    <s v="Tom"/>
    <m/>
    <n v="104.92"/>
    <n v="0.496"/>
    <n v="0.17"/>
    <n v="254"/>
    <s v=""/>
    <n v="0.496"/>
    <n v="0.82899999999999996"/>
    <s v=""/>
    <n v="0.82899999999999996"/>
    <n v="-0.33400000000000002"/>
    <s v=""/>
    <n v="-0.33400000000000002"/>
    <n v="-0.2"/>
    <s v=""/>
    <n v="-0.2"/>
  </r>
  <r>
    <x v="58"/>
    <x v="135"/>
    <n v="1"/>
    <n v="1"/>
    <x v="129"/>
    <s v="$40B"/>
    <s v="David"/>
    <n v="10"/>
    <n v="78.84"/>
    <n v="0.48099999999999998"/>
    <n v="0.17"/>
    <n v="253"/>
    <n v="0.48099999999999998"/>
    <s v=""/>
    <n v="0.11799999999999999"/>
    <n v="0.11799999999999999"/>
    <s v=""/>
    <n v="0.36199999999999999"/>
    <n v="0.36199999999999999"/>
    <s v=""/>
    <n v="0.3"/>
    <n v="0.3"/>
    <s v=""/>
  </r>
  <r>
    <x v="133"/>
    <x v="136"/>
    <n v="1"/>
    <n v="1"/>
    <x v="130"/>
    <s v="$31B"/>
    <s v="Tom"/>
    <m/>
    <n v="76.83"/>
    <n v="0.48"/>
    <n v="0.17"/>
    <n v="252"/>
    <s v=""/>
    <n v="0.48"/>
    <n v="-4.8000000000000001E-2"/>
    <s v=""/>
    <n v="-4.8000000000000001E-2"/>
    <n v="0.52900000000000003"/>
    <s v=""/>
    <n v="0.52900000000000003"/>
    <n v="0.6"/>
    <s v=""/>
    <n v="0.6"/>
  </r>
  <r>
    <x v="134"/>
    <x v="77"/>
    <n v="1"/>
    <n v="1"/>
    <x v="73"/>
    <s v="$3B"/>
    <s v="David"/>
    <n v="6"/>
    <n v="32.9"/>
    <n v="0.46"/>
    <n v="0.16"/>
    <n v="251"/>
    <n v="0.46"/>
    <s v=""/>
    <n v="0.56699999999999995"/>
    <n v="0.56699999999999995"/>
    <s v=""/>
    <n v="-0.107"/>
    <n v="-0.107"/>
    <s v=""/>
    <n v="-0.1"/>
    <n v="-0.1"/>
    <s v=""/>
  </r>
  <r>
    <x v="135"/>
    <x v="137"/>
    <n v="1"/>
    <n v="1"/>
    <x v="131"/>
    <s v="$4B"/>
    <s v="David"/>
    <n v="13"/>
    <n v="43.06"/>
    <n v="0.45700000000000002"/>
    <n v="0.16"/>
    <n v="250"/>
    <n v="0.45700000000000002"/>
    <s v=""/>
    <n v="0.04"/>
    <n v="0.04"/>
    <s v=""/>
    <n v="0.41699999999999998"/>
    <n v="0.41699999999999998"/>
    <s v=""/>
    <n v="0.4"/>
    <n v="0.4"/>
    <s v=""/>
  </r>
  <r>
    <x v="136"/>
    <x v="138"/>
    <n v="1"/>
    <n v="1"/>
    <x v="132"/>
    <s v="$6B"/>
    <s v="David"/>
    <n v="11"/>
    <n v="44.3"/>
    <n v="0.439"/>
    <n v="0.16"/>
    <n v="249"/>
    <n v="0.439"/>
    <s v=""/>
    <n v="0.79500000000000004"/>
    <n v="0.79500000000000004"/>
    <s v=""/>
    <n v="-0.35599999999999998"/>
    <n v="-0.35599999999999998"/>
    <s v=""/>
    <n v="-0.2"/>
    <n v="-0.2"/>
    <s v=""/>
  </r>
  <r>
    <x v="110"/>
    <x v="139"/>
    <n v="1"/>
    <n v="1"/>
    <x v="133"/>
    <s v="$8B"/>
    <s v="David"/>
    <n v="13"/>
    <n v="18.079999999999998"/>
    <n v="0.433"/>
    <n v="0.16"/>
    <n v="248"/>
    <n v="0.433"/>
    <s v=""/>
    <n v="1.4379999999999999"/>
    <n v="1.4379999999999999"/>
    <s v=""/>
    <n v="-1.006"/>
    <n v="-1.006"/>
    <s v=""/>
    <n v="-0.4"/>
    <n v="-0.4"/>
    <s v=""/>
  </r>
  <r>
    <x v="137"/>
    <x v="140"/>
    <n v="1"/>
    <n v="1"/>
    <x v="134"/>
    <s v="N/A Stock quote details"/>
    <s v="Tom"/>
    <m/>
    <n v="23.68"/>
    <n v="0.42899999999999999"/>
    <n v="0.16"/>
    <n v="247"/>
    <s v=""/>
    <n v="0.42899999999999999"/>
    <n v="0.19600000000000001"/>
    <s v=""/>
    <n v="0.19600000000000001"/>
    <n v="0.23300000000000001"/>
    <s v=""/>
    <n v="0.23300000000000001"/>
    <n v="0.2"/>
    <s v=""/>
    <n v="0.2"/>
  </r>
  <r>
    <x v="138"/>
    <x v="141"/>
    <n v="1"/>
    <n v="1"/>
    <x v="135"/>
    <s v="$5B"/>
    <s v="David"/>
    <m/>
    <n v="36.75"/>
    <n v="0.42399999999999999"/>
    <n v="0.15"/>
    <n v="246"/>
    <n v="0.42399999999999999"/>
    <s v=""/>
    <n v="-0.128"/>
    <n v="-0.128"/>
    <s v=""/>
    <n v="0.55200000000000005"/>
    <n v="0.55200000000000005"/>
    <s v=""/>
    <n v="0.6"/>
    <n v="0.6"/>
    <s v=""/>
  </r>
  <r>
    <x v="139"/>
    <x v="7"/>
    <n v="1"/>
    <n v="1"/>
    <x v="7"/>
    <s v="$112B"/>
    <s v="Tom"/>
    <m/>
    <n v="430.26"/>
    <n v="0.41299999999999998"/>
    <n v="0.15"/>
    <n v="245"/>
    <s v=""/>
    <n v="0.41299999999999998"/>
    <n v="-0.154"/>
    <s v=""/>
    <n v="-0.154"/>
    <n v="0.56699999999999995"/>
    <s v=""/>
    <n v="0.56699999999999995"/>
    <n v="0.7"/>
    <s v=""/>
    <n v="0.7"/>
  </r>
  <r>
    <x v="140"/>
    <x v="30"/>
    <n v="1"/>
    <n v="1"/>
    <x v="28"/>
    <s v="$83B"/>
    <s v="Tom"/>
    <m/>
    <n v="50.15"/>
    <n v="0.41199999999999998"/>
    <n v="0.15"/>
    <n v="244"/>
    <s v=""/>
    <n v="0.41199999999999998"/>
    <n v="0.376"/>
    <s v=""/>
    <n v="0.376"/>
    <n v="3.5999999999999997E-2"/>
    <s v=""/>
    <n v="3.5999999999999997E-2"/>
    <n v="0"/>
    <s v=""/>
    <n v="0"/>
  </r>
  <r>
    <x v="141"/>
    <x v="142"/>
    <n v="1"/>
    <n v="1"/>
    <x v="136"/>
    <s v="$2B"/>
    <s v="David"/>
    <n v="10"/>
    <n v="81.58"/>
    <n v="0.41"/>
    <n v="0.15"/>
    <n v="243"/>
    <n v="0.41"/>
    <s v=""/>
    <n v="0.44400000000000001"/>
    <n v="0.44400000000000001"/>
    <s v=""/>
    <n v="-3.4000000000000002E-2"/>
    <n v="-3.4000000000000002E-2"/>
    <s v=""/>
    <n v="0"/>
    <n v="0"/>
    <s v=""/>
  </r>
  <r>
    <x v="142"/>
    <x v="143"/>
    <n v="1"/>
    <n v="1"/>
    <x v="137"/>
    <s v="N/A Corporate Action Details"/>
    <s v="David"/>
    <n v="11"/>
    <s v="$0 N/A Corporate Action Details"/>
    <n v="0.39800000000000002"/>
    <n v="0.15"/>
    <n v="242"/>
    <n v="0.39800000000000002"/>
    <s v=""/>
    <n v="2.448"/>
    <n v="2.448"/>
    <s v=""/>
    <n v="-2.0499999999999998"/>
    <n v="-2.0499999999999998"/>
    <s v=""/>
    <n v="-0.6"/>
    <n v="-0.6"/>
    <s v=""/>
  </r>
  <r>
    <x v="143"/>
    <x v="144"/>
    <n v="1"/>
    <n v="1"/>
    <x v="138"/>
    <s v="$8B"/>
    <s v="Tom"/>
    <m/>
    <n v="25.04"/>
    <n v="0.39700000000000002"/>
    <n v="0.15"/>
    <n v="241"/>
    <s v=""/>
    <n v="0.39700000000000002"/>
    <n v="0.48299999999999998"/>
    <s v=""/>
    <n v="0.48299999999999998"/>
    <n v="-8.5999999999999993E-2"/>
    <s v=""/>
    <n v="-8.5999999999999993E-2"/>
    <n v="-0.1"/>
    <s v=""/>
    <n v="-0.1"/>
  </r>
  <r>
    <x v="144"/>
    <x v="145"/>
    <n v="1"/>
    <n v="1"/>
    <x v="139"/>
    <s v="N/A Stock quote details"/>
    <s v="Tom"/>
    <m/>
    <n v="67.75"/>
    <n v="0.39100000000000001"/>
    <n v="0.14000000000000001"/>
    <n v="240"/>
    <s v=""/>
    <n v="0.39100000000000001"/>
    <n v="-2.5999999999999999E-2"/>
    <s v=""/>
    <n v="-2.5999999999999999E-2"/>
    <n v="0.41699999999999998"/>
    <s v=""/>
    <n v="0.41699999999999998"/>
    <n v="0.4"/>
    <s v=""/>
    <n v="0.4"/>
  </r>
  <r>
    <x v="118"/>
    <x v="143"/>
    <n v="1"/>
    <n v="1"/>
    <x v="137"/>
    <s v="N/A Corporate Action Details"/>
    <s v="David"/>
    <n v="11"/>
    <s v="$0 N/A Corporate Action Details"/>
    <n v="0.38400000000000001"/>
    <n v="0.14000000000000001"/>
    <n v="238"/>
    <n v="0.38400000000000001"/>
    <s v=""/>
    <n v="1.968"/>
    <n v="1.968"/>
    <s v=""/>
    <n v="-1.5840000000000001"/>
    <n v="-1.5840000000000001"/>
    <s v=""/>
    <n v="-0.5"/>
    <n v="-0.5"/>
    <s v=""/>
  </r>
  <r>
    <x v="29"/>
    <x v="146"/>
    <n v="1"/>
    <n v="1"/>
    <x v="140"/>
    <s v="N/A Stock quote details"/>
    <s v="Tom"/>
    <m/>
    <n v="19.2"/>
    <n v="0.38400000000000001"/>
    <n v="0.14000000000000001"/>
    <n v="238"/>
    <s v=""/>
    <n v="0.38400000000000001"/>
    <n v="0.42099999999999999"/>
    <s v=""/>
    <n v="0.42099999999999999"/>
    <n v="-3.6999999999999998E-2"/>
    <s v=""/>
    <n v="-3.6999999999999998E-2"/>
    <n v="0"/>
    <s v=""/>
    <n v="0"/>
  </r>
  <r>
    <x v="109"/>
    <x v="99"/>
    <n v="1"/>
    <n v="1"/>
    <x v="82"/>
    <s v="$6B"/>
    <s v="Tom"/>
    <m/>
    <n v="25.56"/>
    <n v="0.38200000000000001"/>
    <n v="0.14000000000000001"/>
    <n v="237"/>
    <s v=""/>
    <n v="0.38200000000000001"/>
    <n v="0.44600000000000001"/>
    <s v=""/>
    <n v="0.44600000000000001"/>
    <n v="-6.4000000000000001E-2"/>
    <s v=""/>
    <n v="-6.4000000000000001E-2"/>
    <n v="0"/>
    <s v=""/>
    <n v="0"/>
  </r>
  <r>
    <x v="47"/>
    <x v="80"/>
    <n v="1"/>
    <n v="1"/>
    <x v="76"/>
    <s v="$483B"/>
    <s v="Tom"/>
    <m/>
    <n v="123.56"/>
    <n v="0.372"/>
    <n v="0.14000000000000001"/>
    <n v="236"/>
    <s v=""/>
    <n v="0.372"/>
    <n v="0.35"/>
    <s v=""/>
    <n v="0.35"/>
    <n v="2.1999999999999999E-2"/>
    <s v=""/>
    <n v="2.1999999999999999E-2"/>
    <n v="0"/>
    <s v=""/>
    <n v="0"/>
  </r>
  <r>
    <x v="89"/>
    <x v="147"/>
    <n v="1"/>
    <n v="1"/>
    <x v="141"/>
    <s v="$23B"/>
    <s v="David"/>
    <n v="11"/>
    <n v="6.35"/>
    <n v="0.36499999999999999"/>
    <n v="0.14000000000000001"/>
    <n v="235"/>
    <n v="0.36499999999999999"/>
    <s v=""/>
    <n v="1.8779999999999999"/>
    <n v="1.8779999999999999"/>
    <s v=""/>
    <n v="-1.514"/>
    <n v="-1.514"/>
    <s v=""/>
    <n v="-0.5"/>
    <n v="-0.5"/>
    <s v=""/>
  </r>
  <r>
    <x v="145"/>
    <x v="148"/>
    <n v="1"/>
    <n v="1"/>
    <x v="142"/>
    <s v="$33B"/>
    <s v="David"/>
    <n v="13"/>
    <n v="42.3"/>
    <n v="0.36399999999999999"/>
    <n v="0.13"/>
    <n v="234"/>
    <n v="0.36399999999999999"/>
    <s v=""/>
    <n v="2.3610000000000002"/>
    <n v="2.3610000000000002"/>
    <s v=""/>
    <n v="-1.9970000000000001"/>
    <n v="-1.9970000000000001"/>
    <s v=""/>
    <n v="-0.6"/>
    <n v="-0.6"/>
    <s v=""/>
  </r>
  <r>
    <x v="146"/>
    <x v="149"/>
    <n v="1"/>
    <n v="1"/>
    <x v="143"/>
    <s v="$10B"/>
    <s v="Tom"/>
    <m/>
    <n v="40.17"/>
    <n v="0.36299999999999999"/>
    <n v="0.13"/>
    <n v="233"/>
    <s v=""/>
    <n v="0.36299999999999999"/>
    <n v="1.2330000000000001"/>
    <s v=""/>
    <n v="1.2330000000000001"/>
    <n v="-0.87"/>
    <s v=""/>
    <n v="-0.87"/>
    <n v="-0.4"/>
    <s v=""/>
    <n v="-0.4"/>
  </r>
  <r>
    <x v="141"/>
    <x v="47"/>
    <n v="1"/>
    <n v="1"/>
    <x v="44"/>
    <s v="$471B"/>
    <s v="Tom"/>
    <m/>
    <n v="141.83000000000001"/>
    <n v="0.36199999999999999"/>
    <n v="0.13"/>
    <n v="232"/>
    <s v=""/>
    <n v="0.36199999999999999"/>
    <n v="0.44400000000000001"/>
    <s v=""/>
    <n v="0.44400000000000001"/>
    <n v="-8.2000000000000003E-2"/>
    <s v=""/>
    <n v="-8.2000000000000003E-2"/>
    <n v="-0.1"/>
    <s v=""/>
    <n v="-0.1"/>
  </r>
  <r>
    <x v="37"/>
    <x v="150"/>
    <n v="1"/>
    <n v="1"/>
    <x v="144"/>
    <s v="$2B"/>
    <s v="Tom"/>
    <m/>
    <n v="39.799999999999997"/>
    <n v="0.36"/>
    <n v="0.13"/>
    <n v="231"/>
    <s v=""/>
    <n v="0.36"/>
    <n v="0.88800000000000001"/>
    <s v=""/>
    <n v="0.88800000000000001"/>
    <n v="-0.52800000000000002"/>
    <s v=""/>
    <n v="-0.52800000000000002"/>
    <n v="-0.3"/>
    <s v=""/>
    <n v="-0.3"/>
  </r>
  <r>
    <x v="91"/>
    <x v="83"/>
    <n v="1"/>
    <n v="1"/>
    <x v="79"/>
    <s v="$18B"/>
    <s v="Tom"/>
    <m/>
    <n v="484.99"/>
    <n v="0.35599999999999998"/>
    <n v="0.13"/>
    <n v="230"/>
    <s v=""/>
    <n v="0.35599999999999998"/>
    <n v="0.219"/>
    <s v=""/>
    <n v="0.219"/>
    <n v="0.13800000000000001"/>
    <s v=""/>
    <n v="0.13800000000000001"/>
    <n v="0.1"/>
    <s v=""/>
    <n v="0.1"/>
  </r>
  <r>
    <x v="43"/>
    <x v="151"/>
    <n v="1"/>
    <n v="1"/>
    <x v="145"/>
    <s v="$6B"/>
    <s v="Tom"/>
    <m/>
    <n v="45.16"/>
    <n v="0.35399999999999998"/>
    <n v="0.13"/>
    <n v="229"/>
    <s v=""/>
    <n v="0.35399999999999998"/>
    <n v="0.54100000000000004"/>
    <s v=""/>
    <n v="0.54100000000000004"/>
    <n v="-0.186"/>
    <s v=""/>
    <n v="-0.186"/>
    <n v="-0.1"/>
    <s v=""/>
    <n v="-0.1"/>
  </r>
  <r>
    <x v="147"/>
    <x v="152"/>
    <n v="1"/>
    <n v="1"/>
    <x v="64"/>
    <s v="$16B"/>
    <s v="David"/>
    <n v="10"/>
    <n v="16.79"/>
    <n v="0.34300000000000003"/>
    <n v="0.13"/>
    <n v="228"/>
    <n v="0.34300000000000003"/>
    <s v=""/>
    <n v="2.1259999999999999"/>
    <n v="2.1259999999999999"/>
    <s v=""/>
    <n v="-1.7829999999999999"/>
    <n v="-1.7829999999999999"/>
    <s v=""/>
    <n v="-0.6"/>
    <n v="-0.6"/>
    <s v=""/>
  </r>
  <r>
    <x v="148"/>
    <x v="27"/>
    <n v="1"/>
    <n v="1"/>
    <x v="25"/>
    <s v="$263B"/>
    <s v="Tom"/>
    <m/>
    <n v="195.31"/>
    <n v="0.34200000000000003"/>
    <n v="0.13"/>
    <n v="227"/>
    <s v=""/>
    <n v="0.34200000000000003"/>
    <n v="2.9000000000000001E-2"/>
    <s v=""/>
    <n v="2.9000000000000001E-2"/>
    <n v="0.312"/>
    <s v=""/>
    <n v="0.312"/>
    <n v="0.3"/>
    <s v=""/>
    <n v="0.3"/>
  </r>
  <r>
    <x v="117"/>
    <x v="153"/>
    <n v="1"/>
    <n v="1"/>
    <x v="146"/>
    <s v="$2B"/>
    <s v="David"/>
    <m/>
    <n v="33.049999999999997"/>
    <n v="0.33600000000000002"/>
    <n v="0.13"/>
    <n v="226"/>
    <n v="0.33600000000000002"/>
    <s v=""/>
    <n v="0.48299999999999998"/>
    <n v="0.48299999999999998"/>
    <s v=""/>
    <n v="-0.14699999999999999"/>
    <n v="-0.14699999999999999"/>
    <s v=""/>
    <n v="-0.1"/>
    <n v="-0.1"/>
    <s v=""/>
  </r>
  <r>
    <x v="149"/>
    <x v="154"/>
    <n v="1"/>
    <n v="1"/>
    <x v="147"/>
    <s v="N/A Stock quote details"/>
    <s v="Tom"/>
    <m/>
    <n v="31.73"/>
    <n v="0.315"/>
    <n v="0.12"/>
    <n v="225"/>
    <s v=""/>
    <n v="0.315"/>
    <n v="0.46800000000000003"/>
    <s v=""/>
    <n v="0.46800000000000003"/>
    <n v="-0.153"/>
    <s v=""/>
    <n v="-0.153"/>
    <n v="-0.1"/>
    <s v=""/>
    <n v="-0.1"/>
  </r>
  <r>
    <x v="150"/>
    <x v="155"/>
    <n v="1"/>
    <n v="1"/>
    <x v="148"/>
    <s v="N/A Stock quote details"/>
    <s v="David"/>
    <n v="12"/>
    <n v="83.45"/>
    <n v="0.312"/>
    <n v="0.12"/>
    <n v="224"/>
    <n v="0.312"/>
    <s v=""/>
    <n v="1.3049999999999999"/>
    <n v="1.3049999999999999"/>
    <s v=""/>
    <n v="-0.99199999999999999"/>
    <n v="-0.99199999999999999"/>
    <s v=""/>
    <n v="-0.4"/>
    <n v="-0.4"/>
    <s v=""/>
  </r>
  <r>
    <x v="151"/>
    <x v="156"/>
    <n v="1"/>
    <n v="1"/>
    <x v="149"/>
    <s v="$63B"/>
    <s v="David"/>
    <n v="12"/>
    <n v="176.7"/>
    <n v="0.30599999999999999"/>
    <n v="0.12"/>
    <n v="223"/>
    <n v="0.30599999999999999"/>
    <s v=""/>
    <n v="0.22500000000000001"/>
    <n v="0.22500000000000001"/>
    <s v=""/>
    <n v="8.2000000000000003E-2"/>
    <n v="8.2000000000000003E-2"/>
    <s v=""/>
    <n v="0.1"/>
    <n v="0.1"/>
    <s v=""/>
  </r>
  <r>
    <x v="152"/>
    <x v="157"/>
    <n v="1"/>
    <n v="1"/>
    <x v="150"/>
    <s v="$4B"/>
    <s v="David"/>
    <n v="15"/>
    <n v="18.14"/>
    <n v="0.29399999999999998"/>
    <n v="0.11"/>
    <n v="222"/>
    <n v="0.29399999999999998"/>
    <s v=""/>
    <n v="1.196"/>
    <n v="1.196"/>
    <s v=""/>
    <n v="-0.90100000000000002"/>
    <n v="-0.90100000000000002"/>
    <s v=""/>
    <n v="-0.4"/>
    <n v="-0.4"/>
    <s v=""/>
  </r>
  <r>
    <x v="128"/>
    <x v="158"/>
    <n v="1"/>
    <n v="1"/>
    <x v="151"/>
    <s v="$7B"/>
    <s v="Tom"/>
    <m/>
    <n v="59.52"/>
    <n v="0.28999999999999998"/>
    <n v="0.11"/>
    <n v="220"/>
    <s v=""/>
    <n v="0.28999999999999998"/>
    <n v="0.55600000000000005"/>
    <s v=""/>
    <n v="0.55600000000000005"/>
    <n v="-0.26600000000000001"/>
    <s v=""/>
    <n v="-0.26600000000000001"/>
    <n v="-0.2"/>
    <s v=""/>
    <n v="-0.2"/>
  </r>
  <r>
    <x v="153"/>
    <x v="61"/>
    <n v="1"/>
    <n v="1"/>
    <x v="57"/>
    <s v="$40B"/>
    <s v="Tom"/>
    <m/>
    <n v="35.36"/>
    <n v="0.28999999999999998"/>
    <n v="0.11"/>
    <n v="220"/>
    <s v=""/>
    <n v="0.28999999999999998"/>
    <n v="9.5000000000000001E-2"/>
    <s v=""/>
    <n v="9.5000000000000001E-2"/>
    <n v="0.19500000000000001"/>
    <s v=""/>
    <n v="0.19500000000000001"/>
    <n v="0.2"/>
    <s v=""/>
    <n v="0.2"/>
  </r>
  <r>
    <x v="87"/>
    <x v="159"/>
    <n v="1"/>
    <n v="1"/>
    <x v="152"/>
    <s v="N/A Stock quote details"/>
    <s v="Tom"/>
    <m/>
    <n v="19.309999999999999"/>
    <n v="0.28899999999999998"/>
    <n v="0.11"/>
    <n v="219"/>
    <s v=""/>
    <n v="0.28899999999999998"/>
    <n v="-1E-3"/>
    <s v=""/>
    <n v="-1E-3"/>
    <n v="0.28999999999999998"/>
    <s v=""/>
    <n v="0.28999999999999998"/>
    <n v="0.3"/>
    <s v=""/>
    <n v="0.3"/>
  </r>
  <r>
    <x v="154"/>
    <x v="109"/>
    <n v="1"/>
    <n v="1"/>
    <x v="104"/>
    <s v="$501M"/>
    <s v="Tom"/>
    <m/>
    <n v="8.61"/>
    <n v="0.28299999999999997"/>
    <n v="0.11"/>
    <n v="218"/>
    <s v=""/>
    <n v="0.28299999999999997"/>
    <n v="0.57699999999999996"/>
    <s v=""/>
    <n v="0.57699999999999996"/>
    <n v="-0.29399999999999998"/>
    <s v=""/>
    <n v="-0.29399999999999998"/>
    <n v="-0.2"/>
    <s v=""/>
    <n v="-0.2"/>
  </r>
  <r>
    <x v="155"/>
    <x v="160"/>
    <n v="1"/>
    <n v="1"/>
    <x v="153"/>
    <s v="$4B"/>
    <s v="Tom"/>
    <m/>
    <n v="28.85"/>
    <n v="0.28100000000000003"/>
    <n v="0.11"/>
    <n v="216"/>
    <s v=""/>
    <n v="0.28100000000000003"/>
    <n v="0.65"/>
    <s v=""/>
    <n v="0.65"/>
    <n v="-0.36899999999999999"/>
    <s v=""/>
    <n v="-0.36899999999999999"/>
    <n v="-0.2"/>
    <s v=""/>
    <n v="-0.2"/>
  </r>
  <r>
    <x v="27"/>
    <x v="161"/>
    <n v="1"/>
    <n v="1"/>
    <x v="61"/>
    <s v="N/A Stock quote details"/>
    <s v="Tom"/>
    <m/>
    <n v="11.98"/>
    <n v="0.28100000000000003"/>
    <n v="0.11"/>
    <n v="216"/>
    <s v=""/>
    <n v="0.28100000000000003"/>
    <n v="-0.106"/>
    <s v=""/>
    <n v="-0.106"/>
    <n v="0.38700000000000001"/>
    <s v=""/>
    <n v="0.38700000000000001"/>
    <n v="0.4"/>
    <s v=""/>
    <n v="0.4"/>
  </r>
  <r>
    <x v="156"/>
    <x v="162"/>
    <n v="1"/>
    <n v="1"/>
    <x v="154"/>
    <s v="N/A Stock quote details"/>
    <s v="Tom"/>
    <m/>
    <n v="51.55"/>
    <n v="0.27900000000000003"/>
    <n v="0.11"/>
    <n v="215"/>
    <s v=""/>
    <n v="0.27900000000000003"/>
    <n v="-8.6999999999999994E-2"/>
    <s v=""/>
    <n v="-8.6999999999999994E-2"/>
    <n v="0.36499999999999999"/>
    <s v=""/>
    <n v="0.36499999999999999"/>
    <n v="0.4"/>
    <s v=""/>
    <n v="0.4"/>
  </r>
  <r>
    <x v="15"/>
    <x v="163"/>
    <n v="1"/>
    <n v="1"/>
    <x v="54"/>
    <s v="$3B"/>
    <s v="Tom"/>
    <m/>
    <n v="34.159999999999997"/>
    <n v="0.27800000000000002"/>
    <n v="0.11"/>
    <n v="214"/>
    <s v=""/>
    <n v="0.27800000000000002"/>
    <n v="0.92300000000000004"/>
    <s v=""/>
    <n v="0.92300000000000004"/>
    <n v="-0.64500000000000002"/>
    <s v=""/>
    <n v="-0.64500000000000002"/>
    <n v="-0.3"/>
    <s v=""/>
    <n v="-0.3"/>
  </r>
  <r>
    <x v="157"/>
    <x v="84"/>
    <n v="1"/>
    <n v="1"/>
    <x v="80"/>
    <s v="$3B"/>
    <s v="Tom"/>
    <m/>
    <n v="34.19"/>
    <n v="0.26800000000000002"/>
    <n v="0.1"/>
    <n v="213"/>
    <s v=""/>
    <n v="0.26800000000000002"/>
    <n v="3.7999999999999999E-2"/>
    <s v=""/>
    <n v="3.7999999999999999E-2"/>
    <n v="0.23"/>
    <s v=""/>
    <n v="0.23"/>
    <n v="0.2"/>
    <s v=""/>
    <n v="0.2"/>
  </r>
  <r>
    <x v="158"/>
    <x v="136"/>
    <n v="1"/>
    <n v="1"/>
    <x v="130"/>
    <s v="$31B"/>
    <s v="Tom"/>
    <m/>
    <n v="90.45"/>
    <n v="0.25800000000000001"/>
    <n v="0.1"/>
    <n v="211"/>
    <s v=""/>
    <n v="0.25800000000000001"/>
    <n v="-7.0999999999999994E-2"/>
    <s v=""/>
    <n v="-7.0999999999999994E-2"/>
    <n v="0.32800000000000001"/>
    <s v=""/>
    <n v="0.32800000000000001"/>
    <n v="0.4"/>
    <s v=""/>
    <n v="0.4"/>
  </r>
  <r>
    <x v="32"/>
    <x v="164"/>
    <n v="1"/>
    <n v="1"/>
    <x v="155"/>
    <s v="$2B"/>
    <s v="David"/>
    <n v="20"/>
    <n v="23.2"/>
    <n v="0.25800000000000001"/>
    <n v="0.1"/>
    <n v="211"/>
    <n v="0.25800000000000001"/>
    <s v=""/>
    <n v="1.272"/>
    <n v="1.272"/>
    <s v=""/>
    <n v="-1.014"/>
    <n v="-1.014"/>
    <s v=""/>
    <n v="-0.4"/>
    <n v="-0.4"/>
    <s v=""/>
  </r>
  <r>
    <x v="127"/>
    <x v="165"/>
    <n v="1"/>
    <n v="1"/>
    <x v="156"/>
    <s v="$23B"/>
    <s v="David"/>
    <m/>
    <n v="12.79"/>
    <n v="0.25600000000000001"/>
    <n v="0.1"/>
    <n v="210"/>
    <n v="0.25600000000000001"/>
    <s v=""/>
    <n v="0.58199999999999996"/>
    <n v="0.58199999999999996"/>
    <s v=""/>
    <n v="-0.32600000000000001"/>
    <n v="-0.32600000000000001"/>
    <s v=""/>
    <n v="-0.2"/>
    <n v="-0.2"/>
    <s v=""/>
  </r>
  <r>
    <x v="7"/>
    <x v="161"/>
    <n v="1"/>
    <n v="1"/>
    <x v="61"/>
    <s v="N/A Stock quote details"/>
    <s v="Tom"/>
    <m/>
    <n v="12.23"/>
    <n v="0.254"/>
    <n v="0.1"/>
    <n v="209"/>
    <s v=""/>
    <n v="0.254"/>
    <n v="-8.4000000000000005E-2"/>
    <s v=""/>
    <n v="-8.4000000000000005E-2"/>
    <n v="0.33800000000000002"/>
    <s v=""/>
    <n v="0.33800000000000002"/>
    <n v="0.4"/>
    <s v=""/>
    <n v="0.4"/>
  </r>
  <r>
    <x v="159"/>
    <x v="166"/>
    <n v="1"/>
    <n v="1"/>
    <x v="157"/>
    <s v="$6B"/>
    <s v="Tom"/>
    <m/>
    <n v="92.9"/>
    <n v="0.25"/>
    <n v="0.1"/>
    <n v="207"/>
    <s v=""/>
    <n v="0.25"/>
    <n v="2.5999999999999999E-2"/>
    <s v=""/>
    <n v="2.5999999999999999E-2"/>
    <n v="0.223"/>
    <s v=""/>
    <n v="0.223"/>
    <n v="0.2"/>
    <s v=""/>
    <n v="0.2"/>
  </r>
  <r>
    <x v="131"/>
    <x v="167"/>
    <n v="1"/>
    <n v="1"/>
    <x v="158"/>
    <s v="N/A Stock quote details"/>
    <s v="David"/>
    <m/>
    <n v="29.99"/>
    <n v="0.25"/>
    <n v="0.1"/>
    <n v="207"/>
    <n v="0.25"/>
    <s v=""/>
    <n v="3.3000000000000002E-2"/>
    <n v="3.3000000000000002E-2"/>
    <s v=""/>
    <n v="0.216"/>
    <n v="0.216"/>
    <s v=""/>
    <n v="0.2"/>
    <n v="0.2"/>
    <s v=""/>
  </r>
  <r>
    <x v="160"/>
    <x v="168"/>
    <n v="1"/>
    <n v="1"/>
    <x v="159"/>
    <s v="$5B"/>
    <s v="David"/>
    <n v="11"/>
    <n v="89.42"/>
    <n v="0.249"/>
    <n v="0.1"/>
    <n v="206"/>
    <n v="0.249"/>
    <s v=""/>
    <n v="-7.8E-2"/>
    <n v="-7.8E-2"/>
    <s v=""/>
    <n v="0.32700000000000001"/>
    <n v="0.32700000000000001"/>
    <s v=""/>
    <n v="0.4"/>
    <n v="0.4"/>
    <s v=""/>
  </r>
  <r>
    <x v="73"/>
    <x v="169"/>
    <n v="1"/>
    <n v="1"/>
    <x v="160"/>
    <s v="$36B"/>
    <s v="Tom"/>
    <m/>
    <n v="12.97"/>
    <n v="0.24199999999999999"/>
    <n v="0.09"/>
    <n v="205"/>
    <s v=""/>
    <n v="0.24199999999999999"/>
    <n v="0.49199999999999999"/>
    <s v=""/>
    <n v="0.49199999999999999"/>
    <n v="-0.25"/>
    <s v=""/>
    <n v="-0.25"/>
    <n v="-0.2"/>
    <s v=""/>
    <n v="-0.2"/>
  </r>
  <r>
    <x v="161"/>
    <x v="113"/>
    <n v="1"/>
    <n v="1"/>
    <x v="108"/>
    <s v="$15B"/>
    <s v="Tom"/>
    <m/>
    <n v="882.92"/>
    <n v="0.23899999999999999"/>
    <n v="0.09"/>
    <n v="203"/>
    <s v=""/>
    <n v="0.23899999999999999"/>
    <n v="0.34399999999999997"/>
    <s v=""/>
    <n v="0.34399999999999997"/>
    <n v="-0.105"/>
    <s v=""/>
    <n v="-0.105"/>
    <n v="-0.1"/>
    <s v=""/>
    <n v="-0.1"/>
  </r>
  <r>
    <x v="162"/>
    <x v="170"/>
    <n v="1"/>
    <n v="1"/>
    <x v="161"/>
    <s v="$30B"/>
    <s v="Tom"/>
    <m/>
    <n v="43.55"/>
    <n v="0.23899999999999999"/>
    <n v="0.09"/>
    <n v="203"/>
    <s v=""/>
    <n v="0.23899999999999999"/>
    <n v="0.52800000000000002"/>
    <s v=""/>
    <n v="0.52800000000000002"/>
    <n v="-0.28899999999999998"/>
    <s v=""/>
    <n v="-0.28899999999999998"/>
    <n v="-0.2"/>
    <s v=""/>
    <n v="-0.2"/>
  </r>
  <r>
    <x v="106"/>
    <x v="171"/>
    <n v="1"/>
    <n v="1"/>
    <x v="162"/>
    <s v="$2B"/>
    <s v="Tom"/>
    <m/>
    <n v="56.3"/>
    <n v="0.23499999999999999"/>
    <n v="0.09"/>
    <n v="202"/>
    <s v=""/>
    <n v="0.23499999999999999"/>
    <n v="4.7E-2"/>
    <s v=""/>
    <n v="4.7E-2"/>
    <n v="0.188"/>
    <s v=""/>
    <n v="0.188"/>
    <n v="0.2"/>
    <s v=""/>
    <n v="0.2"/>
  </r>
  <r>
    <x v="67"/>
    <x v="172"/>
    <n v="1"/>
    <n v="1"/>
    <x v="163"/>
    <s v="$7B"/>
    <s v="Tom"/>
    <m/>
    <n v="30.24"/>
    <n v="0.23"/>
    <n v="0.09"/>
    <n v="201"/>
    <s v=""/>
    <n v="0.23"/>
    <n v="0.17100000000000001"/>
    <s v=""/>
    <n v="0.17100000000000001"/>
    <n v="5.8999999999999997E-2"/>
    <s v=""/>
    <n v="5.8999999999999997E-2"/>
    <n v="0.1"/>
    <s v=""/>
    <n v="0.1"/>
  </r>
  <r>
    <x v="1"/>
    <x v="163"/>
    <n v="1"/>
    <n v="1"/>
    <x v="54"/>
    <s v="$3B"/>
    <s v="Tom"/>
    <m/>
    <n v="35.630000000000003"/>
    <n v="0.22500000000000001"/>
    <n v="0.09"/>
    <n v="200"/>
    <s v=""/>
    <n v="0.22500000000000001"/>
    <n v="0.86299999999999999"/>
    <s v=""/>
    <n v="0.86299999999999999"/>
    <n v="-0.63800000000000001"/>
    <s v=""/>
    <n v="-0.63800000000000001"/>
    <n v="-0.3"/>
    <s v=""/>
    <n v="-0.3"/>
  </r>
  <r>
    <x v="163"/>
    <x v="173"/>
    <n v="1"/>
    <n v="1"/>
    <x v="60"/>
    <s v="$244M"/>
    <s v="David"/>
    <m/>
    <n v="15.77"/>
    <n v="0.224"/>
    <n v="0.09"/>
    <n v="199"/>
    <n v="0.224"/>
    <s v=""/>
    <n v="-4.2999999999999997E-2"/>
    <n v="-4.2999999999999997E-2"/>
    <s v=""/>
    <n v="0.26700000000000002"/>
    <n v="0.26700000000000002"/>
    <s v=""/>
    <n v="0.3"/>
    <n v="0.3"/>
    <s v=""/>
  </r>
  <r>
    <x v="164"/>
    <x v="174"/>
    <n v="1"/>
    <n v="1"/>
    <x v="164"/>
    <s v="$4,280B"/>
    <s v="David"/>
    <n v="11"/>
    <n v="34.770000000000003"/>
    <n v="0.22"/>
    <n v="0.09"/>
    <n v="198"/>
    <n v="0.22"/>
    <s v=""/>
    <n v="0.01"/>
    <n v="0.01"/>
    <s v=""/>
    <n v="0.20899999999999999"/>
    <n v="0.20899999999999999"/>
    <s v=""/>
    <n v="0.2"/>
    <n v="0.2"/>
    <s v=""/>
  </r>
  <r>
    <x v="155"/>
    <x v="165"/>
    <n v="1"/>
    <n v="1"/>
    <x v="156"/>
    <s v="$23B"/>
    <s v="David"/>
    <m/>
    <n v="13.2"/>
    <n v="0.217"/>
    <n v="0.09"/>
    <n v="197"/>
    <n v="0.217"/>
    <s v=""/>
    <n v="0.57699999999999996"/>
    <n v="0.57699999999999996"/>
    <s v=""/>
    <n v="-0.36"/>
    <n v="-0.36"/>
    <s v=""/>
    <n v="-0.2"/>
    <n v="-0.2"/>
    <s v=""/>
  </r>
  <r>
    <x v="165"/>
    <x v="175"/>
    <n v="1"/>
    <n v="1"/>
    <x v="165"/>
    <s v="$4B"/>
    <s v="David"/>
    <n v="10"/>
    <n v="67.209999999999994"/>
    <n v="0.21199999999999999"/>
    <n v="0.08"/>
    <n v="196"/>
    <n v="0.21199999999999999"/>
    <s v=""/>
    <n v="0.66200000000000003"/>
    <n v="0.66200000000000003"/>
    <s v=""/>
    <n v="-0.45"/>
    <n v="-0.45"/>
    <s v=""/>
    <n v="-0.3"/>
    <n v="-0.3"/>
    <s v=""/>
  </r>
  <r>
    <x v="166"/>
    <x v="2"/>
    <n v="1"/>
    <n v="1"/>
    <x v="2"/>
    <s v="$63B"/>
    <s v="Tom"/>
    <m/>
    <n v="1270.1199999999999"/>
    <n v="0.20300000000000001"/>
    <n v="0.08"/>
    <n v="195"/>
    <s v=""/>
    <n v="0.20300000000000001"/>
    <n v="0.57399999999999995"/>
    <s v=""/>
    <n v="0.57399999999999995"/>
    <n v="-0.371"/>
    <s v=""/>
    <n v="-0.371"/>
    <n v="-0.2"/>
    <s v=""/>
    <n v="-0.2"/>
  </r>
  <r>
    <x v="167"/>
    <x v="176"/>
    <n v="1"/>
    <n v="1"/>
    <x v="166"/>
    <s v="$6B"/>
    <s v="David"/>
    <n v="13"/>
    <n v="5.44"/>
    <n v="0.2"/>
    <n v="0.08"/>
    <n v="194"/>
    <n v="0.2"/>
    <s v=""/>
    <n v="-3.7999999999999999E-2"/>
    <n v="-3.7999999999999999E-2"/>
    <s v=""/>
    <n v="0.23799999999999999"/>
    <n v="0.23799999999999999"/>
    <s v=""/>
    <n v="0.2"/>
    <n v="0.2"/>
    <s v=""/>
  </r>
  <r>
    <x v="81"/>
    <x v="177"/>
    <n v="1"/>
    <n v="1"/>
    <x v="167"/>
    <s v="$6B"/>
    <s v="Tom"/>
    <m/>
    <n v="64.540000000000006"/>
    <n v="0.19900000000000001"/>
    <n v="0.08"/>
    <n v="193"/>
    <s v=""/>
    <n v="0.19900000000000001"/>
    <n v="0.81399999999999995"/>
    <s v=""/>
    <n v="0.81399999999999995"/>
    <n v="-0.61499999999999999"/>
    <s v=""/>
    <n v="-0.61499999999999999"/>
    <n v="-0.3"/>
    <s v=""/>
    <n v="-0.3"/>
  </r>
  <r>
    <x v="168"/>
    <x v="178"/>
    <n v="1"/>
    <n v="1"/>
    <x v="168"/>
    <s v="$9B"/>
    <s v="David"/>
    <n v="8"/>
    <n v="68.67"/>
    <n v="0.17699999999999999"/>
    <n v="7.0000000000000007E-2"/>
    <n v="192"/>
    <n v="0.17699999999999999"/>
    <s v=""/>
    <n v="0.24099999999999999"/>
    <n v="0.24099999999999999"/>
    <s v=""/>
    <n v="-6.4000000000000001E-2"/>
    <n v="-6.4000000000000001E-2"/>
    <s v=""/>
    <n v="-0.1"/>
    <n v="-0.1"/>
    <s v=""/>
  </r>
  <r>
    <x v="88"/>
    <x v="122"/>
    <n v="1"/>
    <n v="1"/>
    <x v="116"/>
    <s v="$34B"/>
    <s v="Tom"/>
    <m/>
    <n v="88.9"/>
    <n v="0.17199999999999999"/>
    <n v="7.0000000000000007E-2"/>
    <n v="190"/>
    <s v=""/>
    <n v="0.17199999999999999"/>
    <n v="0.23799999999999999"/>
    <s v=""/>
    <n v="0.23799999999999999"/>
    <n v="-6.6000000000000003E-2"/>
    <s v=""/>
    <n v="-6.6000000000000003E-2"/>
    <n v="-0.1"/>
    <s v=""/>
    <n v="-0.1"/>
  </r>
  <r>
    <x v="72"/>
    <x v="179"/>
    <n v="1"/>
    <n v="1"/>
    <x v="169"/>
    <s v="$1B"/>
    <s v="David"/>
    <n v="17"/>
    <n v="25.39"/>
    <n v="0.17199999999999999"/>
    <n v="7.0000000000000007E-2"/>
    <n v="190"/>
    <n v="0.17199999999999999"/>
    <s v=""/>
    <n v="1.431"/>
    <n v="1.431"/>
    <s v=""/>
    <n v="-1.2589999999999999"/>
    <n v="-1.2589999999999999"/>
    <s v=""/>
    <n v="-0.5"/>
    <n v="-0.5"/>
    <s v=""/>
  </r>
  <r>
    <x v="169"/>
    <x v="180"/>
    <n v="1"/>
    <n v="1"/>
    <x v="32"/>
    <s v="N/A Stock quote details"/>
    <s v="Tom"/>
    <m/>
    <n v="21"/>
    <n v="0.16900000000000001"/>
    <n v="7.0000000000000007E-2"/>
    <n v="189"/>
    <s v=""/>
    <n v="0.16900000000000001"/>
    <n v="0.59799999999999998"/>
    <s v=""/>
    <n v="0.59799999999999998"/>
    <n v="-0.42899999999999999"/>
    <s v=""/>
    <n v="-0.42899999999999999"/>
    <n v="-0.3"/>
    <s v=""/>
    <n v="-0.3"/>
  </r>
  <r>
    <x v="35"/>
    <x v="106"/>
    <n v="1"/>
    <n v="1"/>
    <x v="101"/>
    <s v="N/A Stock quote details"/>
    <s v="Tom"/>
    <m/>
    <n v="34.869999999999997"/>
    <n v="0.16800000000000001"/>
    <n v="7.0000000000000007E-2"/>
    <n v="188"/>
    <s v=""/>
    <n v="0.16800000000000001"/>
    <n v="1.0940000000000001"/>
    <s v=""/>
    <n v="1.0940000000000001"/>
    <n v="-0.92600000000000005"/>
    <s v=""/>
    <n v="-0.92600000000000005"/>
    <n v="-0.4"/>
    <s v=""/>
    <n v="-0.4"/>
  </r>
  <r>
    <x v="170"/>
    <x v="181"/>
    <n v="1"/>
    <n v="1"/>
    <x v="170"/>
    <s v="N/A Stock quote details"/>
    <s v="David"/>
    <m/>
    <n v="37.979999999999997"/>
    <n v="0.153"/>
    <n v="0.06"/>
    <n v="187"/>
    <n v="0.153"/>
    <s v=""/>
    <n v="0.59599999999999997"/>
    <n v="0.59599999999999997"/>
    <s v=""/>
    <n v="-0.443"/>
    <n v="-0.443"/>
    <s v=""/>
    <n v="-0.3"/>
    <n v="-0.3"/>
    <s v=""/>
  </r>
  <r>
    <x v="123"/>
    <x v="182"/>
    <n v="1"/>
    <n v="1"/>
    <x v="171"/>
    <s v="$930B"/>
    <s v="David"/>
    <n v="7"/>
    <n v="51.68"/>
    <n v="0.15"/>
    <n v="0.06"/>
    <n v="186"/>
    <n v="0.15"/>
    <s v=""/>
    <n v="0.53700000000000003"/>
    <n v="0.53700000000000003"/>
    <s v=""/>
    <n v="-0.38600000000000001"/>
    <n v="-0.38600000000000001"/>
    <s v=""/>
    <n v="-0.3"/>
    <n v="-0.3"/>
    <s v=""/>
  </r>
  <r>
    <x v="152"/>
    <x v="183"/>
    <n v="1"/>
    <n v="1"/>
    <x v="172"/>
    <s v="N/A Stock quote details"/>
    <s v="Tom"/>
    <m/>
    <n v="37.520000000000003"/>
    <n v="0.14599999999999999"/>
    <n v="0.06"/>
    <n v="185"/>
    <s v=""/>
    <n v="0.14599999999999999"/>
    <n v="0.76500000000000001"/>
    <s v=""/>
    <n v="0.76500000000000001"/>
    <n v="-0.61899999999999999"/>
    <s v=""/>
    <n v="-0.61899999999999999"/>
    <n v="-0.4"/>
    <s v=""/>
    <n v="-0.4"/>
  </r>
  <r>
    <x v="171"/>
    <x v="184"/>
    <n v="1"/>
    <n v="1"/>
    <x v="173"/>
    <s v="$13B"/>
    <s v="Tom"/>
    <m/>
    <n v="81.25"/>
    <n v="0.14499999999999999"/>
    <n v="0.06"/>
    <n v="184"/>
    <s v=""/>
    <n v="0.14499999999999999"/>
    <n v="0.14899999999999999"/>
    <s v=""/>
    <n v="0.14899999999999999"/>
    <n v="-3.0000000000000001E-3"/>
    <s v=""/>
    <n v="-3.0000000000000001E-3"/>
    <n v="0"/>
    <s v=""/>
    <n v="0"/>
  </r>
  <r>
    <x v="28"/>
    <x v="185"/>
    <n v="1"/>
    <n v="1"/>
    <x v="174"/>
    <s v="$781M"/>
    <s v="Tom"/>
    <m/>
    <s v="$0 N/A Corporate Action Details"/>
    <n v="0.14399999999999999"/>
    <n v="0.06"/>
    <n v="183"/>
    <s v=""/>
    <n v="0.14399999999999999"/>
    <n v="1.8280000000000001"/>
    <s v=""/>
    <n v="1.8280000000000001"/>
    <n v="-1.6830000000000001"/>
    <s v=""/>
    <n v="-1.6830000000000001"/>
    <n v="-0.6"/>
    <s v=""/>
    <n v="-0.6"/>
  </r>
  <r>
    <x v="172"/>
    <x v="186"/>
    <n v="1"/>
    <n v="1"/>
    <x v="175"/>
    <s v="$6B"/>
    <s v="Tom"/>
    <m/>
    <n v="38.96"/>
    <n v="0.128"/>
    <n v="0.05"/>
    <n v="182"/>
    <s v=""/>
    <n v="0.128"/>
    <n v="0.03"/>
    <s v=""/>
    <n v="0.03"/>
    <n v="9.7000000000000003E-2"/>
    <s v=""/>
    <n v="9.7000000000000003E-2"/>
    <n v="0.1"/>
    <s v=""/>
    <n v="0.1"/>
  </r>
  <r>
    <x v="173"/>
    <x v="187"/>
    <n v="1"/>
    <n v="1"/>
    <x v="176"/>
    <s v="$222M"/>
    <s v="Tom"/>
    <m/>
    <n v="10.32"/>
    <n v="0.126"/>
    <n v="0.05"/>
    <n v="181"/>
    <s v=""/>
    <n v="0.126"/>
    <n v="0.13500000000000001"/>
    <s v=""/>
    <n v="0.13500000000000001"/>
    <n v="-8.9999999999999993E-3"/>
    <s v=""/>
    <n v="-8.9999999999999993E-3"/>
    <n v="0"/>
    <s v=""/>
    <n v="0"/>
  </r>
  <r>
    <x v="174"/>
    <x v="46"/>
    <n v="1"/>
    <n v="1"/>
    <x v="43"/>
    <s v="$10B"/>
    <s v="Tom"/>
    <m/>
    <n v="192.75"/>
    <n v="0.123"/>
    <n v="0.05"/>
    <n v="180"/>
    <s v=""/>
    <n v="0.123"/>
    <n v="-0.104"/>
    <s v=""/>
    <n v="-0.104"/>
    <n v="0.22700000000000001"/>
    <s v=""/>
    <n v="0.22700000000000001"/>
    <n v="0.3"/>
    <s v=""/>
    <n v="0.3"/>
  </r>
  <r>
    <x v="175"/>
    <x v="188"/>
    <n v="1"/>
    <n v="1"/>
    <x v="177"/>
    <s v="$117B"/>
    <s v="David"/>
    <n v="9"/>
    <n v="176.78"/>
    <n v="0.122"/>
    <n v="0.05"/>
    <n v="179"/>
    <n v="0.122"/>
    <s v=""/>
    <n v="3.3000000000000002E-2"/>
    <n v="3.3000000000000002E-2"/>
    <s v=""/>
    <n v="8.8999999999999996E-2"/>
    <n v="8.8999999999999996E-2"/>
    <s v=""/>
    <n v="0.1"/>
    <n v="0.1"/>
    <s v=""/>
  </r>
  <r>
    <x v="176"/>
    <x v="0"/>
    <n v="1"/>
    <n v="1"/>
    <x v="0"/>
    <s v="$152B"/>
    <s v="David"/>
    <n v="12"/>
    <n v="311.69"/>
    <n v="0.112"/>
    <n v="0.05"/>
    <n v="178"/>
    <n v="0.112"/>
    <s v=""/>
    <n v="-0.11"/>
    <n v="-0.11"/>
    <s v=""/>
    <n v="0.222"/>
    <n v="0.222"/>
    <s v=""/>
    <n v="0.2"/>
    <n v="0.2"/>
    <s v=""/>
  </r>
  <r>
    <x v="156"/>
    <x v="73"/>
    <n v="1"/>
    <n v="1"/>
    <x v="69"/>
    <s v="$30B"/>
    <s v="David"/>
    <n v="10"/>
    <n v="104.1"/>
    <n v="0.111"/>
    <n v="0.05"/>
    <n v="177"/>
    <n v="0.111"/>
    <s v=""/>
    <n v="1.544"/>
    <n v="1.544"/>
    <s v=""/>
    <n v="-1.4319999999999999"/>
    <n v="-1.4319999999999999"/>
    <s v=""/>
    <n v="-0.6"/>
    <n v="-0.6"/>
    <s v=""/>
  </r>
  <r>
    <x v="177"/>
    <x v="189"/>
    <n v="1"/>
    <n v="1"/>
    <x v="178"/>
    <s v="$249B"/>
    <s v="David"/>
    <m/>
    <n v="22.5"/>
    <n v="0.11"/>
    <n v="0.05"/>
    <n v="176"/>
    <n v="0.11"/>
    <s v=""/>
    <n v="0.17799999999999999"/>
    <n v="0.17799999999999999"/>
    <s v=""/>
    <n v="-6.9000000000000006E-2"/>
    <n v="-6.9000000000000006E-2"/>
    <s v=""/>
    <n v="-0.1"/>
    <n v="-0.1"/>
    <s v=""/>
  </r>
  <r>
    <x v="178"/>
    <x v="190"/>
    <n v="1"/>
    <n v="1"/>
    <x v="179"/>
    <s v="$1B"/>
    <s v="David"/>
    <m/>
    <n v="24.86"/>
    <n v="0.108"/>
    <n v="0.04"/>
    <n v="175"/>
    <n v="0.108"/>
    <s v=""/>
    <n v="0.192"/>
    <n v="0.192"/>
    <s v=""/>
    <n v="-8.4000000000000005E-2"/>
    <n v="-8.4000000000000005E-2"/>
    <s v=""/>
    <n v="-0.1"/>
    <n v="-0.1"/>
    <s v=""/>
  </r>
  <r>
    <x v="98"/>
    <x v="191"/>
    <n v="1"/>
    <n v="1"/>
    <x v="180"/>
    <s v="N/A Stock quote details"/>
    <s v="Tom"/>
    <m/>
    <s v="$0 N/A Corporate Action Details"/>
    <n v="9.6000000000000002E-2"/>
    <n v="0.04"/>
    <n v="174"/>
    <s v=""/>
    <n v="9.6000000000000002E-2"/>
    <n v="0.158"/>
    <s v=""/>
    <n v="0.158"/>
    <n v="-6.2E-2"/>
    <s v=""/>
    <n v="-6.2E-2"/>
    <n v="-0.1"/>
    <s v=""/>
    <n v="-0.1"/>
  </r>
  <r>
    <x v="179"/>
    <x v="192"/>
    <n v="1"/>
    <n v="1"/>
    <x v="181"/>
    <s v="$2B"/>
    <s v="David"/>
    <n v="12"/>
    <n v="23.16"/>
    <n v="9.1999999999999998E-2"/>
    <n v="0.04"/>
    <n v="173"/>
    <n v="9.1999999999999998E-2"/>
    <s v=""/>
    <n v="1.589"/>
    <n v="1.589"/>
    <s v=""/>
    <n v="-1.4970000000000001"/>
    <n v="-1.4970000000000001"/>
    <s v=""/>
    <n v="-0.6"/>
    <n v="-0.6"/>
    <s v=""/>
  </r>
  <r>
    <x v="23"/>
    <x v="53"/>
    <n v="1"/>
    <n v="1"/>
    <x v="50"/>
    <s v="$17B"/>
    <s v="Tom"/>
    <m/>
    <n v="88.92"/>
    <n v="9.0999999999999998E-2"/>
    <n v="0.04"/>
    <n v="172"/>
    <s v=""/>
    <n v="9.0999999999999998E-2"/>
    <n v="0.61"/>
    <s v=""/>
    <n v="0.61"/>
    <n v="-0.51800000000000002"/>
    <s v=""/>
    <n v="-0.51800000000000002"/>
    <n v="-0.3"/>
    <s v=""/>
    <n v="-0.3"/>
  </r>
  <r>
    <x v="104"/>
    <x v="177"/>
    <n v="1"/>
    <n v="1"/>
    <x v="167"/>
    <s v="$6B"/>
    <s v="Tom"/>
    <m/>
    <n v="71.38"/>
    <n v="8.4000000000000005E-2"/>
    <n v="0.04"/>
    <n v="171"/>
    <s v=""/>
    <n v="8.4000000000000005E-2"/>
    <n v="0.70899999999999996"/>
    <s v=""/>
    <n v="0.70899999999999996"/>
    <n v="-0.625"/>
    <s v=""/>
    <n v="-0.625"/>
    <n v="-0.4"/>
    <s v=""/>
    <n v="-0.4"/>
  </r>
  <r>
    <x v="180"/>
    <x v="193"/>
    <n v="1"/>
    <n v="1"/>
    <x v="182"/>
    <s v="$12B"/>
    <s v="David"/>
    <n v="9"/>
    <n v="140.79"/>
    <n v="7.6999999999999999E-2"/>
    <n v="0.03"/>
    <n v="170"/>
    <n v="7.6999999999999999E-2"/>
    <s v=""/>
    <n v="-2.5000000000000001E-2"/>
    <n v="-2.5000000000000001E-2"/>
    <s v=""/>
    <n v="0.10199999999999999"/>
    <n v="0.10199999999999999"/>
    <s v=""/>
    <n v="0.1"/>
    <n v="0.1"/>
    <s v=""/>
  </r>
  <r>
    <x v="181"/>
    <x v="194"/>
    <n v="1"/>
    <n v="1"/>
    <x v="183"/>
    <s v="N/A Stock quote details"/>
    <s v="David"/>
    <m/>
    <n v="5.25"/>
    <n v="7.3999999999999996E-2"/>
    <n v="0.03"/>
    <n v="169"/>
    <n v="7.3999999999999996E-2"/>
    <s v=""/>
    <n v="-5.0000000000000001E-3"/>
    <n v="-5.0000000000000001E-3"/>
    <s v=""/>
    <n v="7.9000000000000001E-2"/>
    <n v="7.9000000000000001E-2"/>
    <s v=""/>
    <n v="0.1"/>
    <n v="0.1"/>
    <s v=""/>
  </r>
  <r>
    <x v="85"/>
    <x v="195"/>
    <n v="1"/>
    <n v="1"/>
    <x v="184"/>
    <s v="$10B"/>
    <s v="David"/>
    <n v="10"/>
    <n v="32.450000000000003"/>
    <n v="7.0000000000000007E-2"/>
    <n v="0.03"/>
    <n v="168"/>
    <n v="7.0000000000000007E-2"/>
    <s v=""/>
    <n v="1.913"/>
    <n v="1.913"/>
    <s v=""/>
    <n v="-1.8420000000000001"/>
    <n v="-1.8420000000000001"/>
    <s v=""/>
    <n v="-0.6"/>
    <n v="-0.6"/>
    <s v=""/>
  </r>
  <r>
    <x v="182"/>
    <x v="83"/>
    <n v="1"/>
    <n v="1"/>
    <x v="79"/>
    <s v="$18B"/>
    <s v="Tom"/>
    <m/>
    <n v="615.30999999999995"/>
    <n v="6.9000000000000006E-2"/>
    <n v="0.03"/>
    <n v="167"/>
    <s v=""/>
    <n v="6.9000000000000006E-2"/>
    <n v="0.434"/>
    <s v=""/>
    <n v="0.434"/>
    <n v="-0.36399999999999999"/>
    <s v=""/>
    <n v="-0.36399999999999999"/>
    <n v="-0.3"/>
    <s v=""/>
    <n v="-0.3"/>
  </r>
  <r>
    <x v="78"/>
    <x v="196"/>
    <n v="1"/>
    <n v="1"/>
    <x v="185"/>
    <s v="N/A Stock quote details"/>
    <s v="David"/>
    <m/>
    <n v="50.15"/>
    <n v="6.6000000000000003E-2"/>
    <n v="0.03"/>
    <n v="166"/>
    <n v="6.6000000000000003E-2"/>
    <s v=""/>
    <n v="-0.317"/>
    <n v="-0.317"/>
    <s v=""/>
    <n v="0.38300000000000001"/>
    <n v="0.38300000000000001"/>
    <s v=""/>
    <n v="0.6"/>
    <n v="0.6"/>
    <s v=""/>
  </r>
  <r>
    <x v="116"/>
    <x v="197"/>
    <n v="1"/>
    <n v="1"/>
    <x v="186"/>
    <s v="$105B"/>
    <s v="David"/>
    <n v="7"/>
    <n v="89.01"/>
    <n v="0.06"/>
    <n v="0.03"/>
    <n v="165"/>
    <n v="0.06"/>
    <s v=""/>
    <n v="0.373"/>
    <n v="0.373"/>
    <s v=""/>
    <n v="-0.313"/>
    <n v="-0.313"/>
    <s v=""/>
    <n v="-0.2"/>
    <n v="-0.2"/>
    <s v=""/>
  </r>
  <r>
    <x v="183"/>
    <x v="198"/>
    <n v="1"/>
    <n v="1"/>
    <x v="187"/>
    <s v="$14B"/>
    <s v="Tom"/>
    <m/>
    <n v="176.96"/>
    <n v="4.9000000000000002E-2"/>
    <n v="0.02"/>
    <n v="163"/>
    <s v=""/>
    <n v="4.9000000000000002E-2"/>
    <n v="0.153"/>
    <s v=""/>
    <n v="0.153"/>
    <n v="-0.104"/>
    <s v=""/>
    <n v="-0.104"/>
    <n v="-0.1"/>
    <s v=""/>
    <n v="-0.1"/>
  </r>
  <r>
    <x v="63"/>
    <x v="199"/>
    <n v="1"/>
    <n v="1"/>
    <x v="188"/>
    <s v="N/A Stock quote details"/>
    <s v="Tom"/>
    <m/>
    <n v="182.35"/>
    <n v="4.9000000000000002E-2"/>
    <n v="0.02"/>
    <n v="163"/>
    <s v=""/>
    <n v="4.9000000000000002E-2"/>
    <n v="0.32600000000000001"/>
    <s v=""/>
    <n v="0.32600000000000001"/>
    <n v="-0.27700000000000002"/>
    <s v=""/>
    <n v="-0.27700000000000002"/>
    <n v="-0.2"/>
    <s v=""/>
    <n v="-0.2"/>
  </r>
  <r>
    <x v="184"/>
    <x v="200"/>
    <n v="1"/>
    <n v="1"/>
    <x v="189"/>
    <s v="$19B"/>
    <s v="David"/>
    <n v="6"/>
    <n v="123.17"/>
    <n v="3.6999999999999998E-2"/>
    <n v="0.02"/>
    <n v="162"/>
    <n v="3.6999999999999998E-2"/>
    <s v=""/>
    <n v="-0.03"/>
    <n v="-0.03"/>
    <s v=""/>
    <n v="6.7000000000000004E-2"/>
    <n v="6.7000000000000004E-2"/>
    <s v=""/>
    <n v="0.1"/>
    <n v="0.1"/>
    <s v=""/>
  </r>
  <r>
    <x v="185"/>
    <x v="176"/>
    <n v="1"/>
    <n v="1"/>
    <x v="166"/>
    <s v="$6B"/>
    <s v="David"/>
    <n v="13"/>
    <n v="6.3"/>
    <n v="3.5999999999999997E-2"/>
    <n v="0.02"/>
    <n v="160"/>
    <n v="3.5999999999999997E-2"/>
    <s v=""/>
    <n v="-7.0999999999999994E-2"/>
    <n v="-7.0999999999999994E-2"/>
    <s v=""/>
    <n v="0.108"/>
    <n v="0.108"/>
    <s v=""/>
    <n v="0.1"/>
    <n v="0.1"/>
    <s v=""/>
  </r>
  <r>
    <x v="186"/>
    <x v="201"/>
    <n v="1"/>
    <n v="1"/>
    <x v="190"/>
    <s v="$10B"/>
    <s v="David"/>
    <n v="12"/>
    <n v="178.91"/>
    <n v="3.5999999999999997E-2"/>
    <n v="0.02"/>
    <n v="160"/>
    <n v="3.5999999999999997E-2"/>
    <s v=""/>
    <n v="3.3000000000000002E-2"/>
    <n v="3.3000000000000002E-2"/>
    <s v=""/>
    <n v="3.0000000000000001E-3"/>
    <n v="3.0000000000000001E-3"/>
    <s v=""/>
    <n v="0"/>
    <n v="0"/>
    <s v=""/>
  </r>
  <r>
    <x v="187"/>
    <x v="202"/>
    <n v="1"/>
    <n v="1"/>
    <x v="191"/>
    <s v="$2B"/>
    <s v="Tom"/>
    <m/>
    <n v="8.65"/>
    <n v="2.9000000000000001E-2"/>
    <n v="0.01"/>
    <n v="159"/>
    <s v=""/>
    <n v="2.9000000000000001E-2"/>
    <n v="5.0000000000000001E-3"/>
    <s v=""/>
    <n v="5.0000000000000001E-3"/>
    <n v="2.5000000000000001E-2"/>
    <s v=""/>
    <n v="2.5000000000000001E-2"/>
    <n v="0"/>
    <s v=""/>
    <n v="0"/>
  </r>
  <r>
    <x v="77"/>
    <x v="203"/>
    <n v="1"/>
    <n v="1"/>
    <x v="192"/>
    <s v="$39B"/>
    <s v="David"/>
    <m/>
    <n v="13.27"/>
    <n v="2.3E-2"/>
    <n v="0.01"/>
    <n v="158"/>
    <n v="2.3E-2"/>
    <s v=""/>
    <n v="0.54700000000000004"/>
    <n v="0.54700000000000004"/>
    <s v=""/>
    <n v="-0.52400000000000002"/>
    <n v="-0.52400000000000002"/>
    <s v=""/>
    <n v="-0.3"/>
    <n v="-0.3"/>
    <s v=""/>
  </r>
  <r>
    <x v="48"/>
    <x v="204"/>
    <n v="1"/>
    <n v="1"/>
    <x v="193"/>
    <s v="$3B"/>
    <s v="David"/>
    <m/>
    <n v="214.91"/>
    <n v="2.1000000000000001E-2"/>
    <n v="0.01"/>
    <n v="157"/>
    <n v="2.1000000000000001E-2"/>
    <s v=""/>
    <n v="6.7000000000000004E-2"/>
    <n v="6.7000000000000004E-2"/>
    <s v=""/>
    <n v="-4.5999999999999999E-2"/>
    <n v="-4.5999999999999999E-2"/>
    <s v=""/>
    <n v="0"/>
    <n v="0"/>
    <s v=""/>
  </r>
  <r>
    <x v="9"/>
    <x v="205"/>
    <n v="1"/>
    <n v="1"/>
    <x v="194"/>
    <s v="N/A Stock quote details"/>
    <s v="Tom"/>
    <m/>
    <n v="9.68"/>
    <n v="1.7999999999999999E-2"/>
    <n v="0.01"/>
    <n v="156"/>
    <s v=""/>
    <n v="1.7999999999999999E-2"/>
    <n v="0.108"/>
    <s v=""/>
    <n v="0.108"/>
    <n v="-0.09"/>
    <s v=""/>
    <n v="-0.09"/>
    <n v="-0.1"/>
    <s v=""/>
    <n v="-0.1"/>
  </r>
  <r>
    <x v="188"/>
    <x v="1"/>
    <n v="1"/>
    <n v="1"/>
    <x v="1"/>
    <s v="$896B"/>
    <s v="David"/>
    <n v="9"/>
    <n v="1770.72"/>
    <n v="1.7000000000000001E-2"/>
    <n v="0.01"/>
    <n v="155"/>
    <n v="1.7000000000000001E-2"/>
    <s v=""/>
    <n v="0.02"/>
    <n v="0.02"/>
    <s v=""/>
    <n v="-3.0000000000000001E-3"/>
    <n v="-3.0000000000000001E-3"/>
    <s v=""/>
    <n v="0"/>
    <n v="0"/>
    <s v=""/>
  </r>
  <r>
    <x v="189"/>
    <x v="206"/>
    <n v="1"/>
    <n v="1"/>
    <x v="195"/>
    <s v="$366M"/>
    <s v="Tom"/>
    <m/>
    <n v="39.9"/>
    <n v="1.0999999999999999E-2"/>
    <n v="0"/>
    <n v="154"/>
    <s v=""/>
    <n v="1.0999999999999999E-2"/>
    <n v="0.13200000000000001"/>
    <s v=""/>
    <n v="0.13200000000000001"/>
    <n v="-0.121"/>
    <s v=""/>
    <n v="-0.121"/>
    <n v="-0.1"/>
    <s v=""/>
    <n v="-0.1"/>
  </r>
  <r>
    <x v="94"/>
    <x v="65"/>
    <n v="1"/>
    <n v="1"/>
    <x v="61"/>
    <s v="N/A Stock quote details"/>
    <s v="David"/>
    <m/>
    <n v="41.47"/>
    <n v="7.0000000000000001E-3"/>
    <n v="0"/>
    <n v="153"/>
    <n v="7.0000000000000001E-3"/>
    <s v=""/>
    <n v="0.78900000000000003"/>
    <n v="0.78900000000000003"/>
    <s v=""/>
    <n v="-0.78200000000000003"/>
    <n v="-0.78200000000000003"/>
    <s v=""/>
    <n v="-0.4"/>
    <n v="-0.4"/>
    <s v=""/>
  </r>
  <r>
    <x v="190"/>
    <x v="207"/>
    <n v="1"/>
    <n v="1"/>
    <x v="196"/>
    <s v="$58B"/>
    <s v="David"/>
    <n v="10"/>
    <n v="40.130000000000003"/>
    <n v="-6.0000000000000001E-3"/>
    <n v="0"/>
    <n v="151"/>
    <n v="-6.0000000000000001E-3"/>
    <s v=""/>
    <n v="0.191"/>
    <n v="0.191"/>
    <s v=""/>
    <n v="-0.19600000000000001"/>
    <n v="-0.19600000000000001"/>
    <s v=""/>
    <n v="-0.2"/>
    <n v="-0.2"/>
    <s v=""/>
  </r>
  <r>
    <x v="149"/>
    <x v="208"/>
    <n v="1"/>
    <n v="1"/>
    <x v="197"/>
    <s v="$11B"/>
    <s v="David"/>
    <n v="18"/>
    <n v="21.7"/>
    <n v="-6.0000000000000001E-3"/>
    <n v="0"/>
    <n v="151"/>
    <n v="-6.0000000000000001E-3"/>
    <s v=""/>
    <n v="1.7689999999999999"/>
    <n v="1.7689999999999999"/>
    <s v=""/>
    <n v="-1.7749999999999999"/>
    <n v="-1.7749999999999999"/>
    <s v=""/>
    <n v="-0.6"/>
    <n v="-0.6"/>
    <s v=""/>
  </r>
  <r>
    <x v="105"/>
    <x v="209"/>
    <n v="1"/>
    <n v="1"/>
    <x v="198"/>
    <s v="$80B"/>
    <s v="David"/>
    <n v="10"/>
    <n v="62.13"/>
    <n v="-1.2999999999999999E-2"/>
    <n v="-0.01"/>
    <n v="150"/>
    <n v="-1.2999999999999999E-2"/>
    <s v=""/>
    <n v="0.69199999999999995"/>
    <n v="0.69199999999999995"/>
    <s v=""/>
    <n v="-0.70599999999999996"/>
    <n v="-0.70599999999999996"/>
    <s v=""/>
    <n v="-0.4"/>
    <n v="-0.4"/>
    <s v=""/>
  </r>
  <r>
    <x v="191"/>
    <x v="210"/>
    <n v="1"/>
    <n v="1"/>
    <x v="199"/>
    <s v="$48B"/>
    <s v="David"/>
    <n v="10"/>
    <n v="114.52"/>
    <n v="-2.1000000000000001E-2"/>
    <n v="-0.01"/>
    <n v="149"/>
    <n v="-2.1000000000000001E-2"/>
    <s v=""/>
    <n v="-5.7000000000000002E-2"/>
    <n v="-5.7000000000000002E-2"/>
    <s v=""/>
    <n v="3.5999999999999997E-2"/>
    <n v="3.5999999999999997E-2"/>
    <s v=""/>
    <n v="0"/>
    <n v="0"/>
    <s v=""/>
  </r>
  <r>
    <x v="38"/>
    <x v="211"/>
    <n v="1"/>
    <n v="1"/>
    <x v="200"/>
    <s v="$5B"/>
    <s v="David"/>
    <n v="19"/>
    <n v="16.02"/>
    <n v="-2.4E-2"/>
    <n v="-0.01"/>
    <n v="148"/>
    <n v="-2.4E-2"/>
    <s v=""/>
    <n v="2.2989999999999999"/>
    <n v="2.2989999999999999"/>
    <s v=""/>
    <n v="-2.323"/>
    <n v="-2.323"/>
    <s v=""/>
    <n v="-0.7"/>
    <n v="-0.7"/>
    <s v=""/>
  </r>
  <r>
    <x v="190"/>
    <x v="212"/>
    <n v="1"/>
    <n v="1"/>
    <x v="201"/>
    <s v="$4B"/>
    <s v="Tom"/>
    <m/>
    <n v="80.010000000000005"/>
    <n v="-2.5999999999999999E-2"/>
    <n v="-0.01"/>
    <n v="147"/>
    <s v=""/>
    <n v="-2.5999999999999999E-2"/>
    <n v="0.191"/>
    <s v=""/>
    <n v="0.191"/>
    <n v="-0.217"/>
    <s v=""/>
    <n v="-0.217"/>
    <n v="-0.2"/>
    <s v=""/>
    <n v="-0.2"/>
  </r>
  <r>
    <x v="192"/>
    <x v="213"/>
    <n v="1"/>
    <n v="1"/>
    <x v="202"/>
    <s v="$6B"/>
    <s v="Tom"/>
    <m/>
    <n v="50.11"/>
    <n v="-2.8000000000000001E-2"/>
    <n v="-0.01"/>
    <n v="146"/>
    <s v=""/>
    <n v="-2.8000000000000001E-2"/>
    <n v="0.59899999999999998"/>
    <s v=""/>
    <n v="0.59899999999999998"/>
    <n v="-0.627"/>
    <s v=""/>
    <n v="-0.627"/>
    <n v="-0.4"/>
    <s v=""/>
    <n v="-0.4"/>
  </r>
  <r>
    <x v="135"/>
    <x v="113"/>
    <n v="1"/>
    <n v="1"/>
    <x v="108"/>
    <s v="$15B"/>
    <s v="Tom"/>
    <m/>
    <n v="1139.3599999999999"/>
    <n v="-0.04"/>
    <n v="-0.02"/>
    <n v="145"/>
    <s v=""/>
    <n v="-0.04"/>
    <n v="0.04"/>
    <s v=""/>
    <n v="0.04"/>
    <n v="-7.9000000000000001E-2"/>
    <s v=""/>
    <n v="-7.9000000000000001E-2"/>
    <n v="-0.1"/>
    <s v=""/>
    <n v="-0.1"/>
  </r>
  <r>
    <x v="86"/>
    <x v="74"/>
    <n v="1"/>
    <n v="1"/>
    <x v="70"/>
    <s v="$5B"/>
    <s v="Tom"/>
    <m/>
    <n v="47.95"/>
    <n v="-4.4999999999999998E-2"/>
    <n v="-0.02"/>
    <n v="144"/>
    <s v=""/>
    <n v="-4.4999999999999998E-2"/>
    <n v="1.5980000000000001"/>
    <s v=""/>
    <n v="1.5980000000000001"/>
    <n v="-1.643"/>
    <s v=""/>
    <n v="-1.643"/>
    <n v="-0.6"/>
    <s v=""/>
    <n v="-0.6"/>
  </r>
  <r>
    <x v="108"/>
    <x v="214"/>
    <n v="1"/>
    <n v="1"/>
    <x v="203"/>
    <s v="$6B"/>
    <s v="David"/>
    <n v="12"/>
    <n v="326.42"/>
    <n v="-4.8000000000000001E-2"/>
    <n v="-0.02"/>
    <n v="143"/>
    <n v="-4.8000000000000001E-2"/>
    <s v=""/>
    <n v="0.42099999999999999"/>
    <n v="0.42099999999999999"/>
    <s v=""/>
    <n v="-0.46899999999999997"/>
    <n v="-0.46899999999999997"/>
    <s v=""/>
    <n v="-0.3"/>
    <n v="-0.3"/>
    <s v=""/>
  </r>
  <r>
    <x v="193"/>
    <x v="215"/>
    <n v="1"/>
    <n v="1"/>
    <x v="204"/>
    <s v="$4B"/>
    <s v="Tom"/>
    <m/>
    <n v="16.86"/>
    <n v="-5.0999999999999997E-2"/>
    <n v="-0.02"/>
    <n v="142"/>
    <s v=""/>
    <n v="-5.0999999999999997E-2"/>
    <n v="7.4999999999999997E-2"/>
    <s v=""/>
    <n v="7.4999999999999997E-2"/>
    <n v="-0.126"/>
    <s v=""/>
    <n v="-0.126"/>
    <n v="-0.1"/>
    <s v=""/>
    <n v="-0.1"/>
  </r>
  <r>
    <x v="194"/>
    <x v="216"/>
    <n v="1"/>
    <n v="1"/>
    <x v="205"/>
    <s v="N/A Stock quote details"/>
    <s v="David"/>
    <m/>
    <n v="5.88"/>
    <n v="-5.6000000000000001E-2"/>
    <n v="-0.03"/>
    <n v="141"/>
    <n v="-5.6000000000000001E-2"/>
    <s v=""/>
    <n v="0.23899999999999999"/>
    <n v="0.23899999999999999"/>
    <s v=""/>
    <n v="-0.29499999999999998"/>
    <n v="-0.29499999999999998"/>
    <s v=""/>
    <n v="-0.2"/>
    <n v="-0.2"/>
    <s v=""/>
  </r>
  <r>
    <x v="195"/>
    <x v="217"/>
    <n v="1"/>
    <n v="1"/>
    <x v="206"/>
    <s v="$7B"/>
    <s v="Tom"/>
    <m/>
    <n v="69.150000000000006"/>
    <n v="-6.2E-2"/>
    <n v="-0.03"/>
    <n v="140"/>
    <s v=""/>
    <n v="-6.2E-2"/>
    <n v="0.214"/>
    <s v=""/>
    <n v="0.214"/>
    <n v="-0.27600000000000002"/>
    <s v=""/>
    <n v="-0.27600000000000002"/>
    <n v="-0.2"/>
    <s v=""/>
    <n v="-0.2"/>
  </r>
  <r>
    <x v="196"/>
    <x v="218"/>
    <n v="1"/>
    <n v="1"/>
    <x v="207"/>
    <s v="$6B"/>
    <s v="Tom"/>
    <m/>
    <n v="153.55000000000001"/>
    <n v="-7.0999999999999994E-2"/>
    <n v="-0.03"/>
    <n v="139"/>
    <s v=""/>
    <n v="-7.0999999999999994E-2"/>
    <n v="-0.115"/>
    <s v=""/>
    <n v="-0.115"/>
    <n v="4.3999999999999997E-2"/>
    <s v=""/>
    <n v="4.3999999999999997E-2"/>
    <n v="0"/>
    <s v=""/>
    <n v="0"/>
  </r>
  <r>
    <x v="197"/>
    <x v="219"/>
    <n v="1"/>
    <n v="1"/>
    <x v="208"/>
    <s v="$8B"/>
    <s v="David"/>
    <n v="11"/>
    <n v="96.85"/>
    <n v="-8.6999999999999994E-2"/>
    <n v="-0.04"/>
    <n v="138"/>
    <n v="-8.6999999999999994E-2"/>
    <s v=""/>
    <n v="-7.6999999999999999E-2"/>
    <n v="-7.6999999999999999E-2"/>
    <s v=""/>
    <n v="-0.01"/>
    <n v="-0.01"/>
    <s v=""/>
    <n v="0"/>
    <n v="0"/>
    <s v=""/>
  </r>
  <r>
    <x v="187"/>
    <x v="220"/>
    <n v="1"/>
    <n v="1"/>
    <x v="209"/>
    <s v="N/A Stock quote details"/>
    <s v="David"/>
    <m/>
    <n v="44.91"/>
    <n v="-9.1999999999999998E-2"/>
    <n v="-0.04"/>
    <n v="137"/>
    <n v="-9.1999999999999998E-2"/>
    <s v=""/>
    <n v="0.152"/>
    <n v="0.152"/>
    <s v=""/>
    <n v="-0.24399999999999999"/>
    <n v="-0.24399999999999999"/>
    <s v=""/>
    <n v="-0.2"/>
    <n v="-0.2"/>
    <s v=""/>
  </r>
  <r>
    <x v="198"/>
    <x v="221"/>
    <n v="1"/>
    <n v="1"/>
    <x v="210"/>
    <s v="$346,718B"/>
    <s v="David"/>
    <n v="8"/>
    <n v="25.92"/>
    <n v="-9.5000000000000001E-2"/>
    <n v="-0.04"/>
    <n v="136"/>
    <n v="-9.5000000000000001E-2"/>
    <s v=""/>
    <n v="6.2E-2"/>
    <n v="6.2E-2"/>
    <s v=""/>
    <n v="-0.157"/>
    <n v="-0.157"/>
    <s v=""/>
    <n v="-0.1"/>
    <n v="-0.1"/>
    <s v=""/>
  </r>
  <r>
    <x v="199"/>
    <x v="74"/>
    <n v="1"/>
    <n v="1"/>
    <x v="70"/>
    <s v="$5B"/>
    <s v="Tom"/>
    <m/>
    <n v="51.34"/>
    <n v="-0.108"/>
    <n v="-0.05"/>
    <n v="135"/>
    <s v=""/>
    <n v="-0.108"/>
    <n v="1.3340000000000001"/>
    <s v=""/>
    <n v="1.3340000000000001"/>
    <n v="-1.4430000000000001"/>
    <s v=""/>
    <n v="-1.4430000000000001"/>
    <n v="-0.6"/>
    <s v=""/>
    <n v="-0.6"/>
  </r>
  <r>
    <x v="200"/>
    <x v="222"/>
    <n v="1"/>
    <n v="1"/>
    <x v="211"/>
    <s v="$24B"/>
    <s v="David"/>
    <n v="12"/>
    <n v="302.51"/>
    <n v="-0.11899999999999999"/>
    <n v="-0.06"/>
    <n v="134"/>
    <n v="-0.11899999999999999"/>
    <s v=""/>
    <n v="-0.185"/>
    <n v="-0.185"/>
    <s v=""/>
    <n v="6.6000000000000003E-2"/>
    <n v="6.6000000000000003E-2"/>
    <s v=""/>
    <n v="0.1"/>
    <n v="0.1"/>
    <s v=""/>
  </r>
  <r>
    <x v="95"/>
    <x v="51"/>
    <n v="1"/>
    <n v="1"/>
    <x v="48"/>
    <s v="$7B"/>
    <s v="David"/>
    <n v="10"/>
    <n v="206.84"/>
    <n v="-0.12"/>
    <n v="-0.06"/>
    <n v="133"/>
    <n v="-0.12"/>
    <s v=""/>
    <n v="7.1999999999999995E-2"/>
    <n v="7.1999999999999995E-2"/>
    <s v=""/>
    <n v="-0.192"/>
    <n v="-0.192"/>
    <s v=""/>
    <n v="-0.2"/>
    <n v="-0.2"/>
    <s v=""/>
  </r>
  <r>
    <x v="99"/>
    <x v="223"/>
    <n v="1"/>
    <n v="1"/>
    <x v="212"/>
    <s v="N/A Corporate Action Details"/>
    <s v="Tom"/>
    <m/>
    <s v="$0 N/A Corporate Action Details"/>
    <n v="-0.122"/>
    <n v="-0.06"/>
    <n v="132"/>
    <s v=""/>
    <n v="-0.122"/>
    <n v="0.45900000000000002"/>
    <s v=""/>
    <n v="0.45900000000000002"/>
    <n v="-0.58099999999999996"/>
    <s v=""/>
    <n v="-0.58099999999999996"/>
    <n v="-0.4"/>
    <s v=""/>
    <n v="-0.4"/>
  </r>
  <r>
    <x v="75"/>
    <x v="224"/>
    <n v="1"/>
    <n v="1"/>
    <x v="147"/>
    <m/>
    <s v="Tom"/>
    <m/>
    <n v="47.66"/>
    <n v="-0.124"/>
    <n v="-0.06"/>
    <n v="131"/>
    <s v=""/>
    <n v="-0.124"/>
    <n v="0.89100000000000001"/>
    <s v=""/>
    <n v="0.89100000000000001"/>
    <n v="-1.016"/>
    <s v=""/>
    <n v="-1.016"/>
    <n v="-0.5"/>
    <s v=""/>
    <n v="-0.5"/>
  </r>
  <r>
    <x v="201"/>
    <x v="225"/>
    <n v="1"/>
    <n v="1"/>
    <x v="213"/>
    <s v="$9B"/>
    <s v="Tom"/>
    <m/>
    <n v="41.14"/>
    <n v="-0.125"/>
    <n v="-0.06"/>
    <n v="129"/>
    <s v=""/>
    <n v="-0.125"/>
    <n v="-9.1999999999999998E-2"/>
    <s v=""/>
    <n v="-9.1999999999999998E-2"/>
    <n v="-3.4000000000000002E-2"/>
    <s v=""/>
    <n v="-3.4000000000000002E-2"/>
    <n v="0"/>
    <s v=""/>
    <n v="0"/>
  </r>
  <r>
    <x v="45"/>
    <x v="226"/>
    <n v="1"/>
    <n v="1"/>
    <x v="214"/>
    <s v="$17B"/>
    <s v="David"/>
    <m/>
    <n v="35.450000000000003"/>
    <n v="-0.125"/>
    <n v="-0.06"/>
    <n v="129"/>
    <n v="-0.125"/>
    <s v=""/>
    <n v="0.40699999999999997"/>
    <n v="0.40699999999999997"/>
    <s v=""/>
    <n v="-0.53200000000000003"/>
    <n v="-0.53200000000000003"/>
    <s v=""/>
    <n v="-0.4"/>
    <n v="-0.4"/>
    <s v=""/>
  </r>
  <r>
    <x v="202"/>
    <x v="24"/>
    <n v="1"/>
    <n v="1"/>
    <x v="22"/>
    <s v="$7B"/>
    <s v="David"/>
    <n v="9"/>
    <n v="45.43"/>
    <n v="-0.126"/>
    <n v="-0.06"/>
    <n v="128"/>
    <n v="-0.126"/>
    <s v=""/>
    <n v="0.17"/>
    <n v="0.17"/>
    <s v=""/>
    <n v="-0.29599999999999999"/>
    <n v="-0.29599999999999999"/>
    <s v=""/>
    <n v="-0.3"/>
    <n v="-0.3"/>
    <s v=""/>
  </r>
  <r>
    <x v="96"/>
    <x v="227"/>
    <n v="1"/>
    <n v="1"/>
    <x v="215"/>
    <s v="N/A Stock quote details"/>
    <s v="David"/>
    <m/>
    <n v="27.69"/>
    <n v="-0.13200000000000001"/>
    <n v="-0.06"/>
    <n v="126"/>
    <n v="-0.13200000000000001"/>
    <s v=""/>
    <n v="0.69699999999999995"/>
    <n v="0.69699999999999995"/>
    <s v=""/>
    <n v="-0.83"/>
    <n v="-0.83"/>
    <s v=""/>
    <n v="-0.5"/>
    <n v="-0.5"/>
    <s v=""/>
  </r>
  <r>
    <x v="173"/>
    <x v="194"/>
    <n v="1"/>
    <n v="1"/>
    <x v="183"/>
    <s v="N/A Stock quote details"/>
    <s v="David"/>
    <m/>
    <n v="6.5"/>
    <n v="-0.13200000000000001"/>
    <n v="-0.06"/>
    <n v="126"/>
    <n v="-0.13200000000000001"/>
    <s v=""/>
    <n v="-4.2000000000000003E-2"/>
    <n v="-4.2000000000000003E-2"/>
    <s v=""/>
    <n v="-0.09"/>
    <n v="-0.09"/>
    <s v=""/>
    <n v="-0.1"/>
    <n v="-0.1"/>
    <s v=""/>
  </r>
  <r>
    <x v="203"/>
    <x v="228"/>
    <n v="1"/>
    <n v="1"/>
    <x v="216"/>
    <s v="$2B"/>
    <s v="Tom"/>
    <m/>
    <n v="37.99"/>
    <n v="-0.13400000000000001"/>
    <n v="-0.06"/>
    <n v="125"/>
    <s v=""/>
    <n v="-0.13400000000000001"/>
    <n v="0.68899999999999995"/>
    <s v=""/>
    <n v="0.68899999999999995"/>
    <n v="-0.82299999999999995"/>
    <s v=""/>
    <n v="-0.82299999999999995"/>
    <n v="-0.5"/>
    <s v=""/>
    <n v="-0.5"/>
  </r>
  <r>
    <x v="111"/>
    <x v="229"/>
    <n v="1"/>
    <n v="1"/>
    <x v="217"/>
    <s v="N/A Corporate Action Details"/>
    <s v="David"/>
    <n v="13"/>
    <s v="$0 N/A Corporate Action Details"/>
    <n v="-0.13600000000000001"/>
    <n v="-0.06"/>
    <n v="124"/>
    <n v="-0.13600000000000001"/>
    <s v=""/>
    <n v="1.6040000000000001"/>
    <n v="1.6040000000000001"/>
    <s v=""/>
    <n v="-1.74"/>
    <n v="-1.74"/>
    <s v=""/>
    <n v="-0.7"/>
    <n v="-0.7"/>
    <s v=""/>
  </r>
  <r>
    <x v="204"/>
    <x v="230"/>
    <n v="1"/>
    <n v="1"/>
    <x v="218"/>
    <s v="$94B"/>
    <s v="David"/>
    <n v="7"/>
    <n v="158.66"/>
    <n v="-0.14399999999999999"/>
    <n v="-7.0000000000000007E-2"/>
    <n v="123"/>
    <n v="-0.14399999999999999"/>
    <s v=""/>
    <n v="-3.5000000000000003E-2"/>
    <n v="-3.5000000000000003E-2"/>
    <s v=""/>
    <n v="-0.109"/>
    <n v="-0.109"/>
    <s v=""/>
    <n v="-0.1"/>
    <n v="-0.1"/>
    <s v=""/>
  </r>
  <r>
    <x v="205"/>
    <x v="231"/>
    <n v="1"/>
    <n v="1"/>
    <x v="219"/>
    <s v="$14M"/>
    <s v="Tom"/>
    <m/>
    <n v="48.45"/>
    <n v="-0.15"/>
    <n v="-7.0000000000000007E-2"/>
    <n v="122"/>
    <s v=""/>
    <n v="-0.15"/>
    <n v="0.222"/>
    <s v=""/>
    <n v="0.222"/>
    <n v="-0.372"/>
    <s v=""/>
    <n v="-0.372"/>
    <n v="-0.3"/>
    <s v=""/>
    <n v="-0.3"/>
  </r>
  <r>
    <x v="206"/>
    <x v="166"/>
    <n v="1"/>
    <n v="1"/>
    <x v="157"/>
    <s v="$6B"/>
    <s v="Tom"/>
    <m/>
    <n v="136.80000000000001"/>
    <n v="-0.151"/>
    <n v="-7.0000000000000007E-2"/>
    <n v="121"/>
    <s v=""/>
    <n v="-0.151"/>
    <n v="-4.2000000000000003E-2"/>
    <s v=""/>
    <n v="-4.2000000000000003E-2"/>
    <n v="-0.109"/>
    <s v=""/>
    <n v="-0.109"/>
    <n v="-0.1"/>
    <s v=""/>
    <n v="-0.1"/>
  </r>
  <r>
    <x v="207"/>
    <x v="232"/>
    <n v="1"/>
    <n v="1"/>
    <x v="220"/>
    <s v="$4B"/>
    <s v="Tom"/>
    <m/>
    <n v="65.69"/>
    <n v="-0.16200000000000001"/>
    <n v="-0.08"/>
    <n v="120"/>
    <s v=""/>
    <n v="-0.16200000000000001"/>
    <n v="-0.02"/>
    <s v=""/>
    <n v="-0.02"/>
    <n v="-0.14199999999999999"/>
    <s v=""/>
    <n v="-0.14199999999999999"/>
    <n v="-0.1"/>
    <s v=""/>
    <n v="-0.1"/>
  </r>
  <r>
    <x v="208"/>
    <x v="233"/>
    <n v="1"/>
    <n v="1"/>
    <x v="221"/>
    <s v="$6B"/>
    <s v="David"/>
    <n v="14"/>
    <n v="106.47"/>
    <n v="-0.16400000000000001"/>
    <n v="-0.08"/>
    <n v="119"/>
    <n v="-0.16400000000000001"/>
    <s v=""/>
    <n v="-0.02"/>
    <n v="-0.02"/>
    <s v=""/>
    <n v="-0.14399999999999999"/>
    <n v="-0.14399999999999999"/>
    <s v=""/>
    <n v="-0.1"/>
    <n v="-0.1"/>
    <s v=""/>
  </r>
  <r>
    <x v="103"/>
    <x v="234"/>
    <n v="1"/>
    <n v="1"/>
    <x v="222"/>
    <s v="N/A Stock quote details"/>
    <s v="Tom"/>
    <m/>
    <n v="14.42"/>
    <n v="-0.16700000000000001"/>
    <n v="-0.08"/>
    <n v="117"/>
    <s v=""/>
    <n v="-0.16700000000000001"/>
    <n v="0.127"/>
    <s v=""/>
    <n v="0.127"/>
    <n v="-0.29399999999999998"/>
    <s v=""/>
    <n v="-0.29399999999999998"/>
    <n v="-0.3"/>
    <s v=""/>
    <n v="-0.3"/>
  </r>
  <r>
    <x v="142"/>
    <x v="235"/>
    <n v="1"/>
    <n v="1"/>
    <x v="223"/>
    <s v="N/A Stock quote details"/>
    <s v="Tom"/>
    <m/>
    <n v="7.5"/>
    <n v="-0.16700000000000001"/>
    <n v="-0.08"/>
    <n v="117"/>
    <s v=""/>
    <n v="-0.16700000000000001"/>
    <n v="9.7000000000000003E-2"/>
    <s v=""/>
    <n v="9.7000000000000003E-2"/>
    <n v="-0.26300000000000001"/>
    <s v=""/>
    <n v="-0.26300000000000001"/>
    <n v="-0.2"/>
    <s v=""/>
    <n v="-0.2"/>
  </r>
  <r>
    <x v="209"/>
    <x v="236"/>
    <n v="1"/>
    <n v="1"/>
    <x v="224"/>
    <s v="$14B"/>
    <s v="Tom"/>
    <m/>
    <n v="30.01"/>
    <n v="-0.17100000000000001"/>
    <n v="-0.08"/>
    <n v="116"/>
    <s v=""/>
    <n v="-0.17100000000000001"/>
    <n v="-6.8000000000000005E-2"/>
    <s v=""/>
    <n v="-6.8000000000000005E-2"/>
    <n v="-0.10199999999999999"/>
    <s v=""/>
    <n v="-0.10199999999999999"/>
    <n v="-0.1"/>
    <s v=""/>
    <n v="-0.1"/>
  </r>
  <r>
    <x v="210"/>
    <x v="154"/>
    <n v="1"/>
    <n v="1"/>
    <x v="147"/>
    <s v="N/A Stock quote details"/>
    <s v="Tom"/>
    <m/>
    <n v="50.46"/>
    <n v="-0.17299999999999999"/>
    <n v="-0.08"/>
    <n v="115"/>
    <s v=""/>
    <n v="-0.17299999999999999"/>
    <n v="0.27700000000000002"/>
    <s v=""/>
    <n v="0.27700000000000002"/>
    <n v="-0.45"/>
    <s v=""/>
    <n v="-0.45"/>
    <n v="-0.4"/>
    <s v=""/>
    <n v="-0.4"/>
  </r>
  <r>
    <x v="41"/>
    <x v="237"/>
    <n v="1"/>
    <n v="1"/>
    <x v="225"/>
    <s v="$1B"/>
    <s v="Tom"/>
    <m/>
    <n v="34.99"/>
    <n v="-0.17599999999999999"/>
    <n v="-0.08"/>
    <n v="114"/>
    <s v=""/>
    <n v="-0.17599999999999999"/>
    <n v="1.4019999999999999"/>
    <s v=""/>
    <n v="1.4019999999999999"/>
    <n v="-1.5780000000000001"/>
    <s v=""/>
    <n v="-1.5780000000000001"/>
    <n v="-0.7"/>
    <s v=""/>
    <n v="-0.7"/>
  </r>
  <r>
    <x v="211"/>
    <x v="224"/>
    <n v="1"/>
    <n v="1"/>
    <x v="147"/>
    <m/>
    <s v="Tom"/>
    <m/>
    <n v="51.72"/>
    <n v="-0.193"/>
    <n v="-0.09"/>
    <n v="113"/>
    <s v=""/>
    <n v="-0.193"/>
    <n v="0.78200000000000003"/>
    <s v=""/>
    <n v="0.78200000000000003"/>
    <n v="-0.97499999999999998"/>
    <s v=""/>
    <n v="-0.97499999999999998"/>
    <n v="-0.5"/>
    <s v=""/>
    <n v="-0.5"/>
  </r>
  <r>
    <x v="212"/>
    <x v="184"/>
    <n v="1"/>
    <n v="1"/>
    <x v="173"/>
    <s v="$13B"/>
    <s v="Tom"/>
    <m/>
    <n v="115.5"/>
    <n v="-0.19400000000000001"/>
    <n v="-0.09"/>
    <n v="112"/>
    <s v=""/>
    <n v="-0.19400000000000001"/>
    <n v="1.9E-2"/>
    <s v=""/>
    <n v="1.9E-2"/>
    <n v="-0.21299999999999999"/>
    <s v=""/>
    <n v="-0.21299999999999999"/>
    <n v="-0.2"/>
    <s v=""/>
    <n v="-0.2"/>
  </r>
  <r>
    <x v="147"/>
    <x v="238"/>
    <n v="1"/>
    <n v="1"/>
    <x v="226"/>
    <s v="$139MM"/>
    <s v="Tom"/>
    <m/>
    <n v="20.34"/>
    <n v="-0.20100000000000001"/>
    <n v="-0.1"/>
    <n v="111"/>
    <s v=""/>
    <n v="-0.20100000000000001"/>
    <n v="0.57899999999999996"/>
    <s v=""/>
    <n v="0.57899999999999996"/>
    <n v="-0.78"/>
    <s v=""/>
    <n v="-0.78"/>
    <n v="-0.5"/>
    <s v=""/>
    <n v="-0.5"/>
  </r>
  <r>
    <x v="54"/>
    <x v="239"/>
    <n v="1"/>
    <n v="1"/>
    <x v="227"/>
    <s v="N/A Stock quote details"/>
    <s v="Tom"/>
    <m/>
    <n v="142.91"/>
    <n v="-0.20200000000000001"/>
    <n v="-0.1"/>
    <n v="110"/>
    <s v=""/>
    <n v="-0.20200000000000001"/>
    <n v="0.182"/>
    <s v=""/>
    <n v="0.182"/>
    <n v="-0.38400000000000001"/>
    <s v=""/>
    <n v="-0.38400000000000001"/>
    <n v="-0.3"/>
    <s v=""/>
    <n v="-0.3"/>
  </r>
  <r>
    <x v="213"/>
    <x v="240"/>
    <n v="1"/>
    <n v="1"/>
    <x v="228"/>
    <s v="$104B"/>
    <s v="David"/>
    <n v="5"/>
    <n v="207.5"/>
    <n v="-0.20899999999999999"/>
    <n v="-0.1"/>
    <n v="108"/>
    <n v="-0.20899999999999999"/>
    <s v=""/>
    <n v="-0.14000000000000001"/>
    <n v="-0.14000000000000001"/>
    <s v=""/>
    <n v="-7.0000000000000007E-2"/>
    <n v="-7.0000000000000007E-2"/>
    <s v=""/>
    <n v="-0.1"/>
    <n v="-0.1"/>
    <s v=""/>
  </r>
  <r>
    <x v="214"/>
    <x v="241"/>
    <n v="1"/>
    <n v="1"/>
    <x v="229"/>
    <s v="$2B"/>
    <s v="David"/>
    <m/>
    <n v="42.85"/>
    <n v="-0.20899999999999999"/>
    <n v="-0.1"/>
    <n v="108"/>
    <n v="-0.20899999999999999"/>
    <s v=""/>
    <n v="0.34599999999999997"/>
    <n v="0.34599999999999997"/>
    <s v=""/>
    <n v="-0.55500000000000005"/>
    <n v="-0.55500000000000005"/>
    <s v=""/>
    <n v="-0.4"/>
    <n v="-0.4"/>
    <s v=""/>
  </r>
  <r>
    <x v="215"/>
    <x v="242"/>
    <n v="1"/>
    <n v="1"/>
    <x v="230"/>
    <s v="$31B"/>
    <s v="David"/>
    <n v="10"/>
    <n v="176.27"/>
    <n v="-0.21099999999999999"/>
    <n v="-0.1"/>
    <n v="107"/>
    <n v="-0.21099999999999999"/>
    <s v=""/>
    <n v="-0.17"/>
    <n v="-0.17"/>
    <s v=""/>
    <n v="-4.2000000000000003E-2"/>
    <n v="-4.2000000000000003E-2"/>
    <s v=""/>
    <n v="0"/>
    <n v="0"/>
    <s v=""/>
  </r>
  <r>
    <x v="44"/>
    <x v="243"/>
    <n v="1"/>
    <n v="1"/>
    <x v="231"/>
    <s v="$52B"/>
    <s v="David"/>
    <n v="11"/>
    <n v="66.97"/>
    <n v="-0.22800000000000001"/>
    <n v="-0.11"/>
    <n v="106"/>
    <n v="-0.22800000000000001"/>
    <s v=""/>
    <n v="-0.161"/>
    <n v="-0.161"/>
    <s v=""/>
    <n v="-6.8000000000000005E-2"/>
    <n v="-6.8000000000000005E-2"/>
    <s v=""/>
    <n v="-0.1"/>
    <n v="-0.1"/>
    <s v=""/>
  </r>
  <r>
    <x v="55"/>
    <x v="244"/>
    <n v="1"/>
    <n v="1"/>
    <x v="232"/>
    <s v="N/A Corporate Action Details"/>
    <s v="Tom"/>
    <m/>
    <s v="$0 N/A Corporate Action Details"/>
    <n v="-0.23899999999999999"/>
    <n v="-0.12"/>
    <n v="105"/>
    <s v=""/>
    <n v="-0.23899999999999999"/>
    <n v="1.6839999999999999"/>
    <s v=""/>
    <n v="1.6839999999999999"/>
    <n v="-1.9219999999999999"/>
    <s v=""/>
    <n v="-1.9219999999999999"/>
    <n v="-0.7"/>
    <s v=""/>
    <n v="-0.7"/>
  </r>
  <r>
    <x v="216"/>
    <x v="245"/>
    <n v="1"/>
    <n v="1"/>
    <x v="233"/>
    <s v="$2B"/>
    <s v="Tom"/>
    <m/>
    <n v="22.16"/>
    <n v="-0.248"/>
    <n v="-0.12"/>
    <n v="103"/>
    <s v=""/>
    <n v="-0.248"/>
    <n v="-0.17699999999999999"/>
    <s v=""/>
    <n v="-0.17699999999999999"/>
    <n v="-7.0000000000000007E-2"/>
    <s v=""/>
    <n v="-7.0000000000000007E-2"/>
    <n v="-0.1"/>
    <s v=""/>
    <n v="-0.1"/>
  </r>
  <r>
    <x v="217"/>
    <x v="237"/>
    <n v="1"/>
    <n v="1"/>
    <x v="225"/>
    <s v="$1B"/>
    <s v="Tom"/>
    <m/>
    <n v="38.36"/>
    <n v="-0.248"/>
    <n v="-0.12"/>
    <n v="103"/>
    <s v=""/>
    <n v="-0.248"/>
    <n v="1.639"/>
    <s v=""/>
    <n v="1.639"/>
    <n v="-1.887"/>
    <s v=""/>
    <n v="-1.887"/>
    <n v="-0.7"/>
    <s v=""/>
    <n v="-0.7"/>
  </r>
  <r>
    <x v="218"/>
    <x v="246"/>
    <n v="1"/>
    <n v="1"/>
    <x v="234"/>
    <s v="$2B"/>
    <s v="Tom"/>
    <m/>
    <n v="28.83"/>
    <n v="-0.26400000000000001"/>
    <n v="-0.13"/>
    <n v="102"/>
    <s v=""/>
    <n v="-0.26400000000000001"/>
    <n v="3.7999999999999999E-2"/>
    <s v=""/>
    <n v="3.7999999999999999E-2"/>
    <n v="-0.30199999999999999"/>
    <s v=""/>
    <n v="-0.30199999999999999"/>
    <n v="-0.3"/>
    <s v=""/>
    <n v="-0.3"/>
  </r>
  <r>
    <x v="114"/>
    <x v="247"/>
    <n v="1"/>
    <n v="1"/>
    <x v="235"/>
    <s v="$873M"/>
    <s v="David"/>
    <n v="14"/>
    <n v="35.42"/>
    <n v="-0.27"/>
    <n v="-0.14000000000000001"/>
    <n v="101"/>
    <n v="-0.27"/>
    <s v=""/>
    <n v="0.55400000000000005"/>
    <n v="0.55400000000000005"/>
    <s v=""/>
    <n v="-0.82399999999999995"/>
    <n v="-0.82399999999999995"/>
    <s v=""/>
    <n v="-0.5"/>
    <n v="-0.5"/>
    <s v=""/>
  </r>
  <r>
    <x v="183"/>
    <x v="248"/>
    <n v="1"/>
    <n v="1"/>
    <x v="236"/>
    <s v="$83B"/>
    <s v="David"/>
    <n v="8"/>
    <n v="198.26"/>
    <n v="-0.27300000000000002"/>
    <n v="-0.14000000000000001"/>
    <n v="100"/>
    <n v="-0.27300000000000002"/>
    <s v=""/>
    <n v="0.153"/>
    <n v="0.153"/>
    <s v=""/>
    <n v="-0.42699999999999999"/>
    <n v="-0.42699999999999999"/>
    <s v=""/>
    <n v="-0.4"/>
    <n v="-0.4"/>
    <s v=""/>
  </r>
  <r>
    <x v="219"/>
    <x v="123"/>
    <n v="1"/>
    <n v="1"/>
    <x v="117"/>
    <s v="$5B"/>
    <s v="Tom"/>
    <m/>
    <n v="124.43"/>
    <n v="-0.27400000000000002"/>
    <n v="-0.14000000000000001"/>
    <n v="99"/>
    <s v=""/>
    <n v="-0.27400000000000002"/>
    <n v="1.0740000000000001"/>
    <s v=""/>
    <n v="1.0740000000000001"/>
    <n v="-1.3480000000000001"/>
    <s v=""/>
    <n v="-1.3480000000000001"/>
    <n v="-0.6"/>
    <s v=""/>
    <n v="-0.6"/>
  </r>
  <r>
    <x v="79"/>
    <x v="223"/>
    <n v="1"/>
    <n v="1"/>
    <x v="212"/>
    <s v="N/A Corporate Action Details"/>
    <s v="Tom"/>
    <m/>
    <s v="$0 N/A Corporate Action Details"/>
    <n v="-0.27700000000000002"/>
    <n v="-0.14000000000000001"/>
    <n v="98"/>
    <s v=""/>
    <n v="-0.27700000000000002"/>
    <n v="0.69399999999999995"/>
    <s v=""/>
    <n v="0.69399999999999995"/>
    <n v="-0.97199999999999998"/>
    <s v=""/>
    <n v="-0.97199999999999998"/>
    <n v="-0.6"/>
    <s v=""/>
    <n v="-0.6"/>
  </r>
  <r>
    <x v="220"/>
    <x v="249"/>
    <n v="1"/>
    <n v="1"/>
    <x v="237"/>
    <s v="$289M"/>
    <s v="David"/>
    <m/>
    <n v="47.61"/>
    <n v="-0.28199999999999997"/>
    <n v="-0.14000000000000001"/>
    <n v="97"/>
    <n v="-0.28199999999999997"/>
    <s v=""/>
    <n v="-0.33100000000000002"/>
    <n v="-0.33100000000000002"/>
    <s v=""/>
    <n v="4.8000000000000001E-2"/>
    <n v="4.8000000000000001E-2"/>
    <s v=""/>
    <n v="0.1"/>
    <n v="0.1"/>
    <s v=""/>
  </r>
  <r>
    <x v="121"/>
    <x v="250"/>
    <n v="1"/>
    <n v="1"/>
    <x v="238"/>
    <s v="$931M"/>
    <s v="Tom"/>
    <m/>
    <n v="41.83"/>
    <n v="-0.28299999999999997"/>
    <n v="-0.14000000000000001"/>
    <n v="96"/>
    <s v=""/>
    <n v="-0.28299999999999997"/>
    <n v="0.114"/>
    <s v=""/>
    <n v="0.114"/>
    <n v="-0.39700000000000002"/>
    <s v=""/>
    <n v="-0.39700000000000002"/>
    <n v="-0.4"/>
    <s v=""/>
    <n v="-0.4"/>
  </r>
  <r>
    <x v="132"/>
    <x v="211"/>
    <n v="1"/>
    <n v="1"/>
    <x v="200"/>
    <s v="$5B"/>
    <s v="David"/>
    <n v="19"/>
    <n v="22.13"/>
    <n v="-0.29299999999999998"/>
    <n v="-0.15"/>
    <n v="95"/>
    <n v="-0.29299999999999998"/>
    <s v=""/>
    <n v="1.331"/>
    <n v="1.331"/>
    <s v=""/>
    <n v="-1.6240000000000001"/>
    <n v="-1.6240000000000001"/>
    <s v=""/>
    <n v="-0.7"/>
    <n v="-0.7"/>
    <s v=""/>
  </r>
  <r>
    <x v="217"/>
    <x v="251"/>
    <n v="1"/>
    <n v="1"/>
    <x v="239"/>
    <s v="N/A Stock quote details"/>
    <s v="David"/>
    <m/>
    <n v="30.6"/>
    <n v="-0.29599999999999999"/>
    <n v="-0.15"/>
    <n v="94"/>
    <n v="-0.29599999999999999"/>
    <s v=""/>
    <n v="0.122"/>
    <n v="0.122"/>
    <s v=""/>
    <n v="-0.41799999999999998"/>
    <n v="-0.41799999999999998"/>
    <s v=""/>
    <n v="-0.4"/>
    <n v="-0.4"/>
    <s v=""/>
  </r>
  <r>
    <x v="221"/>
    <x v="231"/>
    <n v="1"/>
    <n v="1"/>
    <x v="219"/>
    <s v="$14M"/>
    <s v="Tom"/>
    <m/>
    <n v="58.95"/>
    <n v="-0.30099999999999999"/>
    <n v="-0.16"/>
    <n v="93"/>
    <s v=""/>
    <n v="-0.30099999999999999"/>
    <n v="0.16200000000000001"/>
    <s v=""/>
    <n v="0.16200000000000001"/>
    <n v="-0.46400000000000002"/>
    <s v=""/>
    <n v="-0.46400000000000002"/>
    <n v="-0.4"/>
    <s v=""/>
    <n v="-0.4"/>
  </r>
  <r>
    <x v="222"/>
    <x v="252"/>
    <n v="1"/>
    <n v="1"/>
    <x v="240"/>
    <s v="$5B"/>
    <s v="David"/>
    <n v="8"/>
    <n v="61.97"/>
    <n v="-0.30299999999999999"/>
    <n v="-0.16"/>
    <n v="92"/>
    <n v="-0.30299999999999999"/>
    <s v=""/>
    <n v="-3.0000000000000001E-3"/>
    <n v="-3.0000000000000001E-3"/>
    <s v=""/>
    <n v="-0.3"/>
    <n v="-0.3"/>
    <s v=""/>
    <n v="-0.3"/>
    <n v="-0.3"/>
    <s v=""/>
  </r>
  <r>
    <x v="223"/>
    <x v="253"/>
    <n v="1"/>
    <n v="1"/>
    <x v="241"/>
    <s v="$29B"/>
    <s v="Tom"/>
    <m/>
    <n v="94.49"/>
    <n v="-0.30399999999999999"/>
    <n v="-0.16"/>
    <n v="91"/>
    <s v=""/>
    <n v="-0.30399999999999999"/>
    <n v="-2.5999999999999999E-2"/>
    <s v=""/>
    <n v="-2.5999999999999999E-2"/>
    <n v="-0.27800000000000002"/>
    <s v=""/>
    <n v="-0.27800000000000002"/>
    <n v="-0.3"/>
    <s v=""/>
    <n v="-0.3"/>
  </r>
  <r>
    <x v="146"/>
    <x v="254"/>
    <n v="1"/>
    <n v="1"/>
    <x v="242"/>
    <s v="$493M"/>
    <s v="David"/>
    <n v="13"/>
    <n v="36.9"/>
    <n v="-0.30499999999999999"/>
    <n v="-0.16"/>
    <n v="90"/>
    <n v="-0.30499999999999999"/>
    <s v=""/>
    <n v="1.2330000000000001"/>
    <n v="1.2330000000000001"/>
    <s v=""/>
    <n v="-1.538"/>
    <n v="-1.538"/>
    <s v=""/>
    <n v="-0.7"/>
    <n v="-0.7"/>
    <s v=""/>
  </r>
  <r>
    <x v="71"/>
    <x v="203"/>
    <n v="1"/>
    <n v="1"/>
    <x v="192"/>
    <s v="$39B"/>
    <s v="David"/>
    <m/>
    <n v="19.73"/>
    <n v="-0.312"/>
    <n v="-0.16"/>
    <n v="89"/>
    <n v="-0.312"/>
    <s v=""/>
    <n v="0.69499999999999995"/>
    <n v="0.69499999999999995"/>
    <s v=""/>
    <n v="-1.006"/>
    <n v="-1.006"/>
    <s v=""/>
    <n v="-0.6"/>
    <n v="-0.6"/>
    <s v=""/>
  </r>
  <r>
    <x v="224"/>
    <x v="198"/>
    <n v="1"/>
    <n v="1"/>
    <x v="187"/>
    <s v="$14B"/>
    <s v="Tom"/>
    <m/>
    <n v="271.85000000000002"/>
    <n v="-0.317"/>
    <n v="-0.17"/>
    <n v="88"/>
    <s v=""/>
    <n v="-0.317"/>
    <n v="4.0000000000000001E-3"/>
    <s v=""/>
    <n v="4.0000000000000001E-3"/>
    <n v="-0.32"/>
    <s v=""/>
    <n v="-0.32"/>
    <n v="-0.3"/>
    <s v=""/>
    <n v="-0.3"/>
  </r>
  <r>
    <x v="112"/>
    <x v="255"/>
    <n v="1"/>
    <n v="1"/>
    <x v="243"/>
    <s v="$357M"/>
    <s v="Tom"/>
    <m/>
    <n v="28.08"/>
    <n v="-0.32400000000000001"/>
    <n v="-0.17"/>
    <n v="87"/>
    <s v=""/>
    <n v="-0.32400000000000001"/>
    <n v="0.19400000000000001"/>
    <s v=""/>
    <n v="0.19400000000000001"/>
    <n v="-0.51800000000000002"/>
    <s v=""/>
    <n v="-0.51800000000000002"/>
    <n v="-0.4"/>
    <s v=""/>
    <n v="-0.4"/>
  </r>
  <r>
    <x v="181"/>
    <x v="256"/>
    <n v="1"/>
    <n v="1"/>
    <x v="244"/>
    <s v="$5B"/>
    <s v="Tom"/>
    <m/>
    <n v="8.01"/>
    <n v="-0.33"/>
    <n v="-0.17"/>
    <n v="86"/>
    <s v=""/>
    <n v="-0.33"/>
    <n v="0.248"/>
    <s v=""/>
    <n v="0.248"/>
    <n v="-0.57899999999999996"/>
    <s v=""/>
    <n v="-0.57899999999999996"/>
    <n v="-0.5"/>
    <s v=""/>
    <n v="-0.5"/>
  </r>
  <r>
    <x v="34"/>
    <x v="257"/>
    <n v="1"/>
    <n v="1"/>
    <x v="245"/>
    <s v="$3B"/>
    <s v="Tom"/>
    <m/>
    <n v="63"/>
    <n v="-0.33400000000000002"/>
    <n v="-0.18"/>
    <n v="85"/>
    <s v=""/>
    <n v="-0.33400000000000002"/>
    <n v="0.35499999999999998"/>
    <s v=""/>
    <n v="0.35499999999999998"/>
    <n v="-0.68799999999999994"/>
    <s v=""/>
    <n v="-0.68799999999999994"/>
    <n v="-0.5"/>
    <s v=""/>
    <n v="-0.5"/>
  </r>
  <r>
    <x v="170"/>
    <x v="258"/>
    <n v="1"/>
    <n v="1"/>
    <x v="246"/>
    <s v="N/A Stock quote details"/>
    <s v="Tom"/>
    <m/>
    <n v="24.5"/>
    <n v="-0.33600000000000002"/>
    <n v="-0.18"/>
    <n v="84"/>
    <s v=""/>
    <n v="-0.33600000000000002"/>
    <n v="9.6000000000000002E-2"/>
    <s v=""/>
    <n v="9.6000000000000002E-2"/>
    <n v="-0.432"/>
    <s v=""/>
    <n v="-0.432"/>
    <n v="-0.4"/>
    <s v=""/>
    <n v="-0.4"/>
  </r>
  <r>
    <x v="11"/>
    <x v="259"/>
    <n v="1"/>
    <n v="1"/>
    <x v="247"/>
    <s v="$2B"/>
    <s v="David"/>
    <m/>
    <n v="71.48"/>
    <n v="-0.33700000000000002"/>
    <n v="-0.18"/>
    <n v="83"/>
    <n v="-0.33700000000000002"/>
    <s v=""/>
    <n v="0.13400000000000001"/>
    <n v="0.13400000000000001"/>
    <s v=""/>
    <n v="-0.47099999999999997"/>
    <n v="-0.47099999999999997"/>
    <s v=""/>
    <n v="-0.4"/>
    <n v="-0.4"/>
    <s v=""/>
  </r>
  <r>
    <x v="19"/>
    <x v="260"/>
    <n v="1"/>
    <n v="1"/>
    <x v="248"/>
    <s v="$8B"/>
    <s v="Tom"/>
    <m/>
    <n v="24.82"/>
    <n v="-0.34"/>
    <n v="-0.18"/>
    <n v="82"/>
    <s v=""/>
    <n v="-0.34"/>
    <n v="1E-3"/>
    <s v=""/>
    <n v="1E-3"/>
    <n v="-0.34100000000000003"/>
    <s v=""/>
    <n v="-0.34100000000000003"/>
    <n v="-0.3"/>
    <s v=""/>
    <n v="-0.3"/>
  </r>
  <r>
    <x v="143"/>
    <x v="261"/>
    <n v="1"/>
    <n v="1"/>
    <x v="249"/>
    <s v="$2B"/>
    <s v="David"/>
    <n v="16"/>
    <n v="29.46"/>
    <n v="-0.34200000000000003"/>
    <n v="-0.18"/>
    <n v="81"/>
    <n v="-0.34200000000000003"/>
    <s v=""/>
    <n v="0.48299999999999998"/>
    <n v="0.48299999999999998"/>
    <s v=""/>
    <n v="-0.82499999999999996"/>
    <n v="-0.82499999999999996"/>
    <s v=""/>
    <n v="-0.6"/>
    <n v="-0.6"/>
    <s v=""/>
  </r>
  <r>
    <x v="56"/>
    <x v="262"/>
    <n v="1"/>
    <n v="1"/>
    <x v="250"/>
    <s v="$7B"/>
    <s v="David"/>
    <n v="13"/>
    <n v="47.26"/>
    <n v="-0.34399999999999997"/>
    <n v="-0.18"/>
    <n v="80"/>
    <n v="-0.34399999999999997"/>
    <s v=""/>
    <n v="0.191"/>
    <n v="0.191"/>
    <s v=""/>
    <n v="-0.53400000000000003"/>
    <n v="-0.53400000000000003"/>
    <s v=""/>
    <n v="-0.4"/>
    <n v="-0.4"/>
    <s v=""/>
  </r>
  <r>
    <x v="137"/>
    <x v="263"/>
    <n v="1"/>
    <n v="1"/>
    <x v="251"/>
    <s v="$134M"/>
    <s v="David"/>
    <n v="17"/>
    <n v="10.3"/>
    <n v="-0.34799999999999998"/>
    <n v="-0.19"/>
    <n v="79"/>
    <n v="-0.34799999999999998"/>
    <s v=""/>
    <n v="3.1539999999999999"/>
    <n v="3.1539999999999999"/>
    <s v=""/>
    <n v="-3.5019999999999998"/>
    <n v="-3.5019999999999998"/>
    <s v=""/>
    <n v="-0.8"/>
    <n v="-0.8"/>
    <s v=""/>
  </r>
  <r>
    <x v="168"/>
    <x v="31"/>
    <n v="1"/>
    <n v="1"/>
    <x v="29"/>
    <s v="$5B"/>
    <s v="Tom"/>
    <m/>
    <n v="40.25"/>
    <n v="-0.35299999999999998"/>
    <n v="-0.19"/>
    <n v="78"/>
    <s v=""/>
    <n v="-0.35299999999999998"/>
    <n v="0.24099999999999999"/>
    <s v=""/>
    <n v="0.24099999999999999"/>
    <n v="-0.59399999999999997"/>
    <s v=""/>
    <n v="-0.59399999999999997"/>
    <n v="-0.5"/>
    <s v=""/>
    <n v="-0.5"/>
  </r>
  <r>
    <x v="161"/>
    <x v="264"/>
    <n v="1"/>
    <n v="1"/>
    <x v="252"/>
    <s v="$4B"/>
    <s v="David"/>
    <n v="12"/>
    <n v="20.73"/>
    <n v="-0.35399999999999998"/>
    <n v="-0.19"/>
    <n v="77"/>
    <n v="-0.35399999999999998"/>
    <s v=""/>
    <n v="0.34399999999999997"/>
    <n v="0.34399999999999997"/>
    <s v=""/>
    <n v="-0.69799999999999995"/>
    <n v="-0.69799999999999995"/>
    <s v=""/>
    <n v="-0.5"/>
    <n v="-0.5"/>
    <s v=""/>
  </r>
  <r>
    <x v="0"/>
    <x v="265"/>
    <n v="1"/>
    <n v="1"/>
    <x v="253"/>
    <s v="$1B"/>
    <s v="Tom"/>
    <m/>
    <n v="11.8"/>
    <n v="-0.35799999999999998"/>
    <n v="-0.19"/>
    <n v="76"/>
    <s v=""/>
    <n v="-0.35799999999999998"/>
    <n v="1.1499999999999999"/>
    <s v=""/>
    <n v="1.1499999999999999"/>
    <n v="-1.5089999999999999"/>
    <s v=""/>
    <n v="-1.5089999999999999"/>
    <n v="-0.7"/>
    <s v=""/>
    <n v="-0.7"/>
  </r>
  <r>
    <x v="76"/>
    <x v="169"/>
    <n v="1"/>
    <n v="1"/>
    <x v="160"/>
    <s v="$36B"/>
    <s v="David"/>
    <n v="10"/>
    <n v="25.15"/>
    <n v="-0.36"/>
    <n v="-0.19"/>
    <n v="75"/>
    <n v="-0.36"/>
    <s v=""/>
    <n v="1.2649999999999999"/>
    <n v="1.2649999999999999"/>
    <s v=""/>
    <n v="-1.625"/>
    <n v="-1.625"/>
    <s v=""/>
    <n v="-0.7"/>
    <n v="-0.7"/>
    <s v=""/>
  </r>
  <r>
    <x v="151"/>
    <x v="266"/>
    <n v="1"/>
    <n v="1"/>
    <x v="254"/>
    <s v="$3B"/>
    <s v="Tom"/>
    <m/>
    <n v="51.23"/>
    <n v="-0.36099999999999999"/>
    <n v="-0.19"/>
    <n v="74"/>
    <s v=""/>
    <n v="-0.36099999999999999"/>
    <n v="0.22500000000000001"/>
    <s v=""/>
    <n v="0.22500000000000001"/>
    <n v="-0.58499999999999996"/>
    <s v=""/>
    <n v="-0.58499999999999996"/>
    <n v="-0.5"/>
    <s v=""/>
    <n v="-0.5"/>
  </r>
  <r>
    <x v="64"/>
    <x v="267"/>
    <n v="1"/>
    <n v="1"/>
    <x v="255"/>
    <s v="$924M"/>
    <s v="David"/>
    <n v="19"/>
    <n v="12.27"/>
    <n v="-0.36399999999999999"/>
    <n v="-0.2"/>
    <n v="73"/>
    <n v="-0.36399999999999999"/>
    <s v=""/>
    <n v="1.474"/>
    <n v="1.474"/>
    <s v=""/>
    <n v="-1.8380000000000001"/>
    <n v="-1.8380000000000001"/>
    <s v=""/>
    <n v="-0.7"/>
    <n v="-0.7"/>
    <s v=""/>
  </r>
  <r>
    <x v="177"/>
    <x v="268"/>
    <n v="1"/>
    <n v="1"/>
    <x v="256"/>
    <s v="$4B"/>
    <s v="Tom"/>
    <m/>
    <n v="19.260000000000002"/>
    <n v="-0.37"/>
    <n v="-0.2"/>
    <n v="72"/>
    <s v=""/>
    <n v="-0.37"/>
    <n v="-0.158"/>
    <s v=""/>
    <n v="-0.158"/>
    <n v="-0.21199999999999999"/>
    <s v=""/>
    <n v="-0.21199999999999999"/>
    <n v="-0.3"/>
    <s v=""/>
    <n v="-0.3"/>
  </r>
  <r>
    <x v="211"/>
    <x v="269"/>
    <n v="1"/>
    <n v="1"/>
    <x v="257"/>
    <s v="N/A Stock quote details"/>
    <s v="David"/>
    <m/>
    <n v="9.5"/>
    <n v="-0.376"/>
    <n v="-0.2"/>
    <n v="70"/>
    <n v="-0.376"/>
    <s v=""/>
    <n v="0.66700000000000004"/>
    <n v="0.66700000000000004"/>
    <s v=""/>
    <n v="-1.0429999999999999"/>
    <n v="-1.0429999999999999"/>
    <s v=""/>
    <n v="-0.6"/>
    <n v="-0.6"/>
    <s v=""/>
  </r>
  <r>
    <x v="119"/>
    <x v="270"/>
    <n v="1"/>
    <n v="1"/>
    <x v="258"/>
    <s v="$15B"/>
    <s v="David"/>
    <m/>
    <n v="31.15"/>
    <n v="-0.376"/>
    <n v="-0.2"/>
    <n v="70"/>
    <n v="-0.376"/>
    <s v=""/>
    <n v="-0.23400000000000001"/>
    <n v="-0.23400000000000001"/>
    <s v=""/>
    <n v="-0.14199999999999999"/>
    <n v="-0.14199999999999999"/>
    <s v=""/>
    <n v="-0.2"/>
    <n v="-0.2"/>
    <s v=""/>
  </r>
  <r>
    <x v="145"/>
    <x v="271"/>
    <n v="1"/>
    <n v="1"/>
    <x v="259"/>
    <s v="N/A Stock quote details"/>
    <s v="Tom"/>
    <m/>
    <n v="21.26"/>
    <n v="-0.379"/>
    <n v="-0.21"/>
    <n v="69"/>
    <s v=""/>
    <n v="-0.379"/>
    <n v="0.374"/>
    <s v=""/>
    <n v="0.374"/>
    <n v="-0.753"/>
    <s v=""/>
    <n v="-0.753"/>
    <n v="-0.5"/>
    <s v=""/>
    <n v="-0.5"/>
  </r>
  <r>
    <x v="225"/>
    <x v="101"/>
    <n v="1"/>
    <n v="1"/>
    <x v="96"/>
    <s v="N/A Stock quote details"/>
    <s v="David"/>
    <m/>
    <n v="34.69"/>
    <n v="-0.38200000000000001"/>
    <n v="-0.21"/>
    <n v="68"/>
    <n v="-0.38200000000000001"/>
    <s v=""/>
    <n v="-0.23400000000000001"/>
    <n v="-0.23400000000000001"/>
    <s v=""/>
    <n v="-0.14799999999999999"/>
    <n v="-0.14799999999999999"/>
    <s v=""/>
    <n v="-0.2"/>
    <n v="-0.2"/>
    <s v=""/>
  </r>
  <r>
    <x v="97"/>
    <x v="272"/>
    <n v="1"/>
    <n v="1"/>
    <x v="192"/>
    <s v="$39B"/>
    <s v="David"/>
    <m/>
    <n v="22.1"/>
    <n v="-0.38600000000000001"/>
    <n v="-0.21"/>
    <n v="67"/>
    <n v="-0.38600000000000001"/>
    <s v=""/>
    <n v="0.21199999999999999"/>
    <n v="0.21199999999999999"/>
    <s v=""/>
    <n v="-0.59799999999999998"/>
    <n v="-0.59799999999999998"/>
    <s v=""/>
    <n v="-0.5"/>
    <n v="-0.5"/>
    <s v=""/>
  </r>
  <r>
    <x v="150"/>
    <x v="244"/>
    <n v="1"/>
    <n v="1"/>
    <x v="232"/>
    <s v="N/A Corporate Action Details"/>
    <s v="Tom"/>
    <m/>
    <s v="$0 N/A Corporate Action Details"/>
    <n v="-0.40100000000000002"/>
    <n v="-0.22"/>
    <n v="66"/>
    <s v=""/>
    <n v="-0.40100000000000002"/>
    <n v="1.0580000000000001"/>
    <s v=""/>
    <n v="1.0580000000000001"/>
    <n v="-1.4590000000000001"/>
    <s v=""/>
    <n v="-1.4590000000000001"/>
    <n v="-0.7"/>
    <s v=""/>
    <n v="-0.7"/>
  </r>
  <r>
    <x v="107"/>
    <x v="273"/>
    <n v="1"/>
    <n v="1"/>
    <x v="260"/>
    <s v="$893M"/>
    <s v="David"/>
    <n v="13"/>
    <n v="21.2"/>
    <n v="-0.41299999999999998"/>
    <n v="-0.23"/>
    <n v="65"/>
    <n v="-0.41299999999999998"/>
    <s v=""/>
    <n v="0.47799999999999998"/>
    <n v="0.47799999999999998"/>
    <s v=""/>
    <n v="-0.89100000000000001"/>
    <n v="-0.89100000000000001"/>
    <s v=""/>
    <n v="-0.6"/>
    <n v="-0.6"/>
    <s v=""/>
  </r>
  <r>
    <x v="138"/>
    <x v="274"/>
    <n v="1"/>
    <n v="1"/>
    <x v="261"/>
    <s v="N/A Stock quote details"/>
    <s v="Tom"/>
    <m/>
    <n v="19.55"/>
    <n v="-0.42599999999999999"/>
    <n v="-0.24"/>
    <n v="64"/>
    <s v=""/>
    <n v="-0.42599999999999999"/>
    <n v="6.7000000000000004E-2"/>
    <s v=""/>
    <n v="6.7000000000000004E-2"/>
    <n v="-0.49299999999999999"/>
    <s v=""/>
    <n v="-0.49299999999999999"/>
    <n v="-0.5"/>
    <s v=""/>
    <n v="-0.5"/>
  </r>
  <r>
    <x v="189"/>
    <x v="275"/>
    <n v="1"/>
    <n v="1"/>
    <x v="262"/>
    <s v="N/A Stock quote details"/>
    <s v="David"/>
    <m/>
    <n v="35.01"/>
    <n v="-0.44400000000000001"/>
    <n v="-0.25"/>
    <n v="63"/>
    <n v="-0.44400000000000001"/>
    <s v=""/>
    <n v="0.32"/>
    <n v="0.32"/>
    <s v=""/>
    <n v="-0.76400000000000001"/>
    <n v="-0.76400000000000001"/>
    <s v=""/>
    <n v="-0.6"/>
    <n v="-0.6"/>
    <s v=""/>
  </r>
  <r>
    <x v="178"/>
    <x v="276"/>
    <n v="1"/>
    <n v="1"/>
    <x v="243"/>
    <s v="$357M"/>
    <s v="Tom"/>
    <m/>
    <n v="26.3"/>
    <n v="-0.44600000000000001"/>
    <n v="-0.26"/>
    <n v="62"/>
    <s v=""/>
    <n v="-0.44600000000000001"/>
    <n v="-6.4000000000000001E-2"/>
    <s v=""/>
    <n v="-6.4000000000000001E-2"/>
    <n v="-0.38200000000000001"/>
    <s v=""/>
    <n v="-0.38200000000000001"/>
    <n v="-0.4"/>
    <s v=""/>
    <n v="-0.4"/>
  </r>
  <r>
    <x v="226"/>
    <x v="277"/>
    <n v="1"/>
    <n v="1"/>
    <x v="263"/>
    <s v="$3B"/>
    <s v="David"/>
    <n v="11"/>
    <n v="90.13"/>
    <n v="-0.44800000000000001"/>
    <n v="-0.26"/>
    <n v="61"/>
    <n v="-0.44800000000000001"/>
    <s v=""/>
    <n v="4.5999999999999999E-2"/>
    <n v="4.5999999999999999E-2"/>
    <s v=""/>
    <n v="-0.495"/>
    <n v="-0.495"/>
    <s v=""/>
    <n v="-0.5"/>
    <n v="-0.5"/>
    <s v=""/>
  </r>
  <r>
    <x v="210"/>
    <x v="278"/>
    <n v="1"/>
    <n v="1"/>
    <x v="264"/>
    <s v="N/A Stock quote details"/>
    <s v="David"/>
    <m/>
    <n v="28.17"/>
    <n v="-0.45"/>
    <n v="-0.26"/>
    <n v="60"/>
    <n v="-0.45"/>
    <s v=""/>
    <n v="0.158"/>
    <n v="0.158"/>
    <s v=""/>
    <n v="-0.60799999999999998"/>
    <n v="-0.60799999999999998"/>
    <s v=""/>
    <n v="-0.5"/>
    <n v="-0.5"/>
    <s v=""/>
  </r>
  <r>
    <x v="28"/>
    <x v="279"/>
    <n v="1"/>
    <n v="1"/>
    <x v="265"/>
    <s v="$4B"/>
    <s v="Tom"/>
    <m/>
    <s v="$0 N/A Corporate Action Details"/>
    <n v="-0.45200000000000001"/>
    <n v="-0.26"/>
    <n v="59"/>
    <s v=""/>
    <n v="-0.45200000000000001"/>
    <n v="0.498"/>
    <s v=""/>
    <n v="0.498"/>
    <n v="-0.95"/>
    <s v=""/>
    <n v="-0.95"/>
    <n v="-0.6"/>
    <s v=""/>
    <n v="-0.6"/>
  </r>
  <r>
    <x v="227"/>
    <x v="280"/>
    <n v="1"/>
    <n v="1"/>
    <x v="266"/>
    <s v="N/A Stock quote details"/>
    <s v="Tom"/>
    <m/>
    <n v="15.68"/>
    <n v="-0.45600000000000002"/>
    <n v="-0.26"/>
    <n v="58"/>
    <s v=""/>
    <n v="-0.45600000000000002"/>
    <n v="0.25600000000000001"/>
    <s v=""/>
    <n v="0.25600000000000001"/>
    <n v="-0.71199999999999997"/>
    <s v=""/>
    <n v="-0.71199999999999997"/>
    <n v="-0.6"/>
    <s v=""/>
    <n v="-0.6"/>
  </r>
  <r>
    <x v="228"/>
    <x v="281"/>
    <n v="1"/>
    <n v="1"/>
    <x v="267"/>
    <s v="N/A Corporate Action Details"/>
    <s v="Tom"/>
    <m/>
    <s v="$0 N/A Corporate Action Details"/>
    <n v="-0.45700000000000002"/>
    <n v="-0.27"/>
    <n v="57"/>
    <s v=""/>
    <n v="-0.45700000000000002"/>
    <n v="0.83399999999999996"/>
    <s v=""/>
    <n v="0.83399999999999996"/>
    <n v="-1.29"/>
    <s v=""/>
    <n v="-1.29"/>
    <n v="-0.7"/>
    <s v=""/>
    <n v="-0.7"/>
  </r>
  <r>
    <x v="229"/>
    <x v="282"/>
    <n v="1"/>
    <n v="1"/>
    <x v="268"/>
    <s v="$3B"/>
    <s v="Tom"/>
    <m/>
    <n v="87.68"/>
    <n v="-0.46400000000000002"/>
    <n v="-0.27"/>
    <n v="56"/>
    <s v=""/>
    <n v="-0.46400000000000002"/>
    <n v="-2.8000000000000001E-2"/>
    <s v=""/>
    <n v="-2.8000000000000001E-2"/>
    <n v="-0.435"/>
    <s v=""/>
    <n v="-0.435"/>
    <n v="-0.4"/>
    <s v=""/>
    <n v="-0.4"/>
  </r>
  <r>
    <x v="24"/>
    <x v="283"/>
    <n v="1"/>
    <n v="1"/>
    <x v="269"/>
    <s v="$29B"/>
    <s v="David"/>
    <n v="8"/>
    <n v="29.95"/>
    <n v="-0.46899999999999997"/>
    <n v="-0.27"/>
    <n v="55"/>
    <n v="-0.46899999999999997"/>
    <s v=""/>
    <n v="0.32900000000000001"/>
    <n v="0.32900000000000001"/>
    <s v=""/>
    <n v="-0.79800000000000004"/>
    <n v="-0.79800000000000004"/>
    <s v=""/>
    <n v="-0.6"/>
    <n v="-0.6"/>
    <s v=""/>
  </r>
  <r>
    <x v="230"/>
    <x v="284"/>
    <n v="1"/>
    <n v="1"/>
    <x v="270"/>
    <s v="$773M"/>
    <s v="David"/>
    <n v="10"/>
    <n v="32.78"/>
    <n v="-0.48599999999999999"/>
    <n v="-0.28999999999999998"/>
    <n v="54"/>
    <n v="-0.48599999999999999"/>
    <s v=""/>
    <n v="6.6000000000000003E-2"/>
    <n v="6.6000000000000003E-2"/>
    <s v=""/>
    <n v="-0.55200000000000005"/>
    <n v="-0.55200000000000005"/>
    <s v=""/>
    <n v="-0.5"/>
    <n v="-0.5"/>
    <s v=""/>
  </r>
  <r>
    <x v="153"/>
    <x v="285"/>
    <n v="1"/>
    <n v="1"/>
    <x v="271"/>
    <s v="N/A Stock quote details"/>
    <s v="David"/>
    <m/>
    <n v="21.9"/>
    <n v="-0.501"/>
    <n v="-0.3"/>
    <n v="53"/>
    <n v="-0.501"/>
    <s v=""/>
    <n v="-0.13600000000000001"/>
    <n v="-0.13600000000000001"/>
    <s v=""/>
    <n v="-0.36599999999999999"/>
    <n v="-0.36599999999999999"/>
    <s v=""/>
    <n v="-0.4"/>
    <n v="-0.4"/>
    <s v=""/>
  </r>
  <r>
    <x v="31"/>
    <x v="115"/>
    <n v="1"/>
    <n v="1"/>
    <x v="110"/>
    <s v="$2B"/>
    <s v="Tom"/>
    <m/>
    <n v="56.12"/>
    <n v="-0.50700000000000001"/>
    <n v="-0.31"/>
    <n v="52"/>
    <s v=""/>
    <n v="-0.50700000000000001"/>
    <n v="0.81399999999999995"/>
    <s v=""/>
    <n v="0.81399999999999995"/>
    <n v="-1.3220000000000001"/>
    <s v=""/>
    <n v="-1.3220000000000001"/>
    <n v="-0.7"/>
    <s v=""/>
    <n v="-0.7"/>
  </r>
  <r>
    <x v="162"/>
    <x v="286"/>
    <n v="1"/>
    <n v="1"/>
    <x v="272"/>
    <s v="$4B"/>
    <s v="David"/>
    <n v="12"/>
    <n v="54.5"/>
    <n v="-0.50800000000000001"/>
    <n v="-0.31"/>
    <n v="50"/>
    <n v="-0.50800000000000001"/>
    <s v=""/>
    <n v="0.52800000000000002"/>
    <n v="0.52800000000000002"/>
    <s v=""/>
    <n v="-1.036"/>
    <n v="-1.036"/>
    <s v=""/>
    <n v="-0.7"/>
    <n v="-0.7"/>
    <s v=""/>
  </r>
  <r>
    <x v="214"/>
    <x v="287"/>
    <n v="1"/>
    <n v="1"/>
    <x v="273"/>
    <s v="$316M"/>
    <s v="Tom"/>
    <m/>
    <n v="30.76"/>
    <n v="-0.50800000000000001"/>
    <n v="-0.31"/>
    <n v="50"/>
    <s v=""/>
    <n v="-0.50800000000000001"/>
    <n v="0.77300000000000002"/>
    <s v=""/>
    <n v="0.77300000000000002"/>
    <n v="-1.28"/>
    <s v=""/>
    <n v="-1.28"/>
    <n v="-0.7"/>
    <s v=""/>
    <n v="-0.7"/>
  </r>
  <r>
    <x v="203"/>
    <x v="288"/>
    <n v="1"/>
    <n v="1"/>
    <x v="274"/>
    <s v="$6B"/>
    <s v="David"/>
    <m/>
    <n v="55.66"/>
    <n v="-0.51"/>
    <n v="-0.31"/>
    <n v="49"/>
    <n v="-0.51"/>
    <s v=""/>
    <n v="0.39400000000000002"/>
    <n v="0.39400000000000002"/>
    <s v=""/>
    <n v="-0.90400000000000003"/>
    <n v="-0.90400000000000003"/>
    <s v=""/>
    <n v="-0.6"/>
    <n v="-0.6"/>
    <s v=""/>
  </r>
  <r>
    <x v="126"/>
    <x v="257"/>
    <n v="1"/>
    <n v="1"/>
    <x v="245"/>
    <s v="$3B"/>
    <s v="Tom"/>
    <m/>
    <n v="86.35"/>
    <n v="-0.51400000000000001"/>
    <n v="-0.31"/>
    <n v="48"/>
    <s v=""/>
    <n v="-0.51400000000000001"/>
    <n v="0.36799999999999999"/>
    <s v=""/>
    <n v="0.36799999999999999"/>
    <n v="-0.88200000000000001"/>
    <s v=""/>
    <n v="-0.88200000000000001"/>
    <n v="-0.6"/>
    <s v=""/>
    <n v="-0.6"/>
  </r>
  <r>
    <x v="179"/>
    <x v="265"/>
    <n v="1"/>
    <n v="1"/>
    <x v="253"/>
    <s v="$1B"/>
    <s v="Tom"/>
    <m/>
    <n v="15.91"/>
    <n v="-0.52400000000000002"/>
    <n v="-0.32"/>
    <n v="47"/>
    <s v=""/>
    <n v="-0.52400000000000002"/>
    <n v="0.76400000000000001"/>
    <s v=""/>
    <n v="0.76400000000000001"/>
    <n v="-1.2889999999999999"/>
    <s v=""/>
    <n v="-1.2889999999999999"/>
    <n v="-0.7"/>
    <s v=""/>
    <n v="-0.7"/>
  </r>
  <r>
    <x v="231"/>
    <x v="246"/>
    <n v="1"/>
    <n v="1"/>
    <x v="234"/>
    <s v="$2B"/>
    <s v="Tom"/>
    <m/>
    <n v="45.19"/>
    <n v="-0.53100000000000003"/>
    <n v="-0.33"/>
    <n v="46"/>
    <s v=""/>
    <n v="-0.53100000000000003"/>
    <n v="-1.7000000000000001E-2"/>
    <s v=""/>
    <n v="-1.7000000000000001E-2"/>
    <n v="-0.51400000000000001"/>
    <s v=""/>
    <n v="-0.51400000000000001"/>
    <n v="-0.5"/>
    <s v=""/>
    <n v="-0.5"/>
  </r>
  <r>
    <x v="232"/>
    <x v="289"/>
    <n v="1"/>
    <n v="1"/>
    <x v="275"/>
    <s v="$2B"/>
    <s v="David"/>
    <m/>
    <n v="20.95"/>
    <n v="-0.53200000000000003"/>
    <n v="-0.33"/>
    <n v="45"/>
    <n v="-0.53200000000000003"/>
    <s v=""/>
    <n v="-0.26100000000000001"/>
    <n v="-0.26100000000000001"/>
    <s v=""/>
    <n v="-0.27100000000000002"/>
    <n v="-0.27100000000000002"/>
    <s v=""/>
    <n v="-0.4"/>
    <n v="-0.4"/>
    <s v=""/>
  </r>
  <r>
    <x v="228"/>
    <x v="290"/>
    <n v="1"/>
    <n v="1"/>
    <x v="276"/>
    <s v="$337M"/>
    <s v="David"/>
    <n v="15"/>
    <n v="14.74"/>
    <n v="-0.54100000000000004"/>
    <n v="-0.34"/>
    <n v="43"/>
    <n v="-0.54100000000000004"/>
    <s v=""/>
    <n v="0.83399999999999996"/>
    <n v="0.83399999999999996"/>
    <s v=""/>
    <n v="-1.375"/>
    <n v="-1.375"/>
    <s v=""/>
    <n v="-0.7"/>
    <n v="-0.7"/>
    <s v=""/>
  </r>
  <r>
    <x v="233"/>
    <x v="291"/>
    <n v="1"/>
    <n v="1"/>
    <x v="277"/>
    <s v="$982M"/>
    <s v="Tom"/>
    <m/>
    <n v="15.14"/>
    <n v="-0.54100000000000004"/>
    <n v="-0.34"/>
    <n v="43"/>
    <s v=""/>
    <n v="-0.54100000000000004"/>
    <n v="1.143"/>
    <s v=""/>
    <n v="1.143"/>
    <n v="-1.6839999999999999"/>
    <s v=""/>
    <n v="-1.6839999999999999"/>
    <n v="-0.8"/>
    <s v=""/>
    <n v="-0.8"/>
  </r>
  <r>
    <x v="101"/>
    <x v="292"/>
    <n v="1"/>
    <n v="1"/>
    <x v="278"/>
    <s v="$371M"/>
    <s v="David"/>
    <m/>
    <n v="17.09"/>
    <n v="-0.54200000000000004"/>
    <n v="-0.34"/>
    <n v="42"/>
    <n v="-0.54200000000000004"/>
    <s v=""/>
    <n v="1.1140000000000001"/>
    <n v="1.1140000000000001"/>
    <s v=""/>
    <n v="-1.6559999999999999"/>
    <n v="-1.6559999999999999"/>
    <s v=""/>
    <n v="-0.8"/>
    <n v="-0.8"/>
    <s v=""/>
  </r>
  <r>
    <x v="202"/>
    <x v="293"/>
    <n v="1"/>
    <n v="1"/>
    <x v="279"/>
    <s v="$1B"/>
    <s v="Tom"/>
    <m/>
    <n v="88.47"/>
    <n v="-0.55000000000000004"/>
    <n v="-0.35"/>
    <n v="41"/>
    <s v=""/>
    <n v="-0.55000000000000004"/>
    <n v="0.17"/>
    <s v=""/>
    <n v="0.17"/>
    <n v="-0.72"/>
    <s v=""/>
    <n v="-0.72"/>
    <n v="-0.6"/>
    <s v=""/>
    <n v="-0.6"/>
  </r>
  <r>
    <x v="234"/>
    <x v="294"/>
    <n v="1"/>
    <n v="1"/>
    <x v="164"/>
    <s v="$4,280B"/>
    <s v="David"/>
    <n v="11"/>
    <n v="32.25"/>
    <n v="-0.57199999999999995"/>
    <n v="-0.37"/>
    <n v="40"/>
    <n v="-0.57199999999999995"/>
    <s v=""/>
    <n v="0.248"/>
    <n v="0.248"/>
    <s v=""/>
    <n v="-0.82"/>
    <n v="-0.82"/>
    <s v=""/>
    <n v="-0.7"/>
    <n v="-0.7"/>
    <s v=""/>
  </r>
  <r>
    <x v="235"/>
    <x v="295"/>
    <n v="1"/>
    <n v="1"/>
    <x v="280"/>
    <s v="$84B"/>
    <s v="David"/>
    <n v="10"/>
    <n v="113.75"/>
    <n v="-0.57499999999999996"/>
    <n v="-0.37"/>
    <n v="39"/>
    <n v="-0.57499999999999996"/>
    <s v=""/>
    <n v="0.435"/>
    <n v="0.435"/>
    <s v=""/>
    <n v="-1.01"/>
    <n v="-1.01"/>
    <s v=""/>
    <n v="-0.7"/>
    <n v="-0.7"/>
    <s v=""/>
  </r>
  <r>
    <x v="125"/>
    <x v="296"/>
    <n v="1"/>
    <n v="1"/>
    <x v="252"/>
    <s v="$4B"/>
    <s v="David"/>
    <n v="12"/>
    <n v="15.73"/>
    <n v="-0.59299999999999997"/>
    <n v="-0.39"/>
    <n v="38"/>
    <n v="-0.59299999999999997"/>
    <s v=""/>
    <n v="0.39300000000000002"/>
    <n v="0.39300000000000002"/>
    <s v=""/>
    <n v="-0.98599999999999999"/>
    <n v="-0.98599999999999999"/>
    <s v=""/>
    <n v="-0.7"/>
    <n v="-0.7"/>
    <s v=""/>
  </r>
  <r>
    <x v="199"/>
    <x v="267"/>
    <n v="1"/>
    <n v="1"/>
    <x v="255"/>
    <s v="$924M"/>
    <s v="David"/>
    <n v="19"/>
    <n v="19.739999999999998"/>
    <n v="-0.60499999999999998"/>
    <n v="-0.4"/>
    <n v="37"/>
    <n v="-0.60499999999999998"/>
    <s v=""/>
    <n v="1.401"/>
    <n v="1.401"/>
    <s v=""/>
    <n v="-2.0059999999999998"/>
    <n v="-2.0059999999999998"/>
    <s v=""/>
    <n v="-0.8"/>
    <n v="-0.8"/>
    <s v=""/>
  </r>
  <r>
    <x v="4"/>
    <x v="297"/>
    <n v="1"/>
    <n v="1"/>
    <x v="281"/>
    <s v="$81B"/>
    <s v="Tom"/>
    <m/>
    <n v="19.59"/>
    <n v="-0.60899999999999999"/>
    <n v="-0.41"/>
    <n v="35"/>
    <s v=""/>
    <n v="-0.60899999999999999"/>
    <n v="3.3000000000000002E-2"/>
    <s v=""/>
    <n v="3.3000000000000002E-2"/>
    <n v="-0.64200000000000002"/>
    <s v=""/>
    <n v="-0.64200000000000002"/>
    <n v="-0.6"/>
    <s v=""/>
    <n v="-0.6"/>
  </r>
  <r>
    <x v="220"/>
    <x v="298"/>
    <n v="1"/>
    <n v="1"/>
    <x v="282"/>
    <s v="$2B"/>
    <s v="Tom"/>
    <m/>
    <n v="18.55"/>
    <n v="-0.60899999999999999"/>
    <n v="-0.41"/>
    <n v="35"/>
    <s v=""/>
    <n v="-0.60899999999999999"/>
    <n v="-0.38800000000000001"/>
    <s v=""/>
    <n v="-0.38800000000000001"/>
    <n v="-0.221"/>
    <s v=""/>
    <n v="-0.221"/>
    <n v="-0.4"/>
    <s v=""/>
    <n v="-0.4"/>
  </r>
  <r>
    <x v="205"/>
    <x v="299"/>
    <n v="1"/>
    <n v="1"/>
    <x v="283"/>
    <s v="N/A Stock quote details"/>
    <s v="David"/>
    <m/>
    <n v="45.91"/>
    <n v="-0.626"/>
    <n v="-0.43"/>
    <n v="34"/>
    <n v="-0.626"/>
    <s v=""/>
    <n v="2.7E-2"/>
    <n v="2.7E-2"/>
    <s v=""/>
    <n v="-0.65200000000000002"/>
    <n v="-0.65200000000000002"/>
    <s v=""/>
    <n v="-0.6"/>
    <n v="-0.6"/>
    <s v=""/>
  </r>
  <r>
    <x v="236"/>
    <x v="300"/>
    <n v="1"/>
    <n v="1"/>
    <x v="284"/>
    <s v="$3B"/>
    <s v="David"/>
    <n v="15"/>
    <n v="10.33"/>
    <n v="-0.627"/>
    <n v="-0.43"/>
    <n v="33"/>
    <n v="-0.627"/>
    <s v=""/>
    <n v="1.2E-2"/>
    <n v="1.2E-2"/>
    <s v=""/>
    <n v="-0.63900000000000001"/>
    <n v="-0.63900000000000001"/>
    <s v=""/>
    <n v="-0.6"/>
    <n v="-0.6"/>
    <s v=""/>
  </r>
  <r>
    <x v="235"/>
    <x v="301"/>
    <n v="1"/>
    <n v="1"/>
    <x v="45"/>
    <s v="$3B"/>
    <s v="Tom"/>
    <m/>
    <n v="169.96"/>
    <n v="-0.63300000000000001"/>
    <n v="-0.44"/>
    <n v="32"/>
    <s v=""/>
    <n v="-0.63300000000000001"/>
    <n v="0.435"/>
    <s v=""/>
    <n v="0.435"/>
    <n v="-1.0669999999999999"/>
    <s v=""/>
    <n v="-1.0669999999999999"/>
    <n v="-0.7"/>
    <s v=""/>
    <n v="-0.7"/>
  </r>
  <r>
    <x v="169"/>
    <x v="283"/>
    <n v="1"/>
    <n v="1"/>
    <x v="269"/>
    <s v="$29B"/>
    <s v="David"/>
    <n v="8"/>
    <n v="44.64"/>
    <n v="-0.64400000000000002"/>
    <n v="-0.45"/>
    <n v="31"/>
    <n v="-0.64400000000000002"/>
    <s v=""/>
    <n v="0.41299999999999998"/>
    <n v="0.41299999999999998"/>
    <s v=""/>
    <n v="-1.0569999999999999"/>
    <n v="-1.0569999999999999"/>
    <s v=""/>
    <n v="-0.7"/>
    <n v="-0.7"/>
    <s v=""/>
  </r>
  <r>
    <x v="232"/>
    <x v="271"/>
    <n v="1"/>
    <n v="1"/>
    <x v="259"/>
    <s v="N/A Stock quote details"/>
    <s v="Tom"/>
    <m/>
    <n v="37.28"/>
    <n v="-0.64600000000000002"/>
    <n v="-0.45"/>
    <n v="30"/>
    <s v=""/>
    <n v="-0.64600000000000002"/>
    <n v="0.184"/>
    <s v=""/>
    <n v="0.184"/>
    <n v="-0.83"/>
    <s v=""/>
    <n v="-0.83"/>
    <n v="-0.7"/>
    <s v=""/>
    <n v="-0.7"/>
  </r>
  <r>
    <x v="140"/>
    <x v="302"/>
    <n v="1"/>
    <n v="1"/>
    <x v="285"/>
    <s v="$3B"/>
    <s v="David"/>
    <n v="13"/>
    <n v="49.52"/>
    <n v="-0.64800000000000002"/>
    <n v="-0.45"/>
    <n v="29"/>
    <n v="-0.64800000000000002"/>
    <s v=""/>
    <n v="0.376"/>
    <n v="0.376"/>
    <s v=""/>
    <n v="-1.024"/>
    <n v="-1.024"/>
    <s v=""/>
    <n v="-0.7"/>
    <n v="-0.7"/>
    <s v=""/>
  </r>
  <r>
    <x v="193"/>
    <x v="296"/>
    <n v="1"/>
    <n v="1"/>
    <x v="252"/>
    <s v="$4B"/>
    <s v="David"/>
    <n v="12"/>
    <n v="18.5"/>
    <n v="-0.65400000000000003"/>
    <n v="-0.46"/>
    <n v="28"/>
    <n v="-0.65400000000000003"/>
    <s v=""/>
    <n v="0.39600000000000002"/>
    <n v="0.39600000000000002"/>
    <s v=""/>
    <n v="-1.05"/>
    <n v="-1.05"/>
    <s v=""/>
    <n v="-0.8"/>
    <n v="-0.8"/>
    <s v=""/>
  </r>
  <r>
    <x v="144"/>
    <x v="303"/>
    <n v="1"/>
    <n v="1"/>
    <x v="286"/>
    <s v="$10B"/>
    <s v="David"/>
    <m/>
    <n v="38.380000000000003"/>
    <n v="-0.66900000000000004"/>
    <n v="-0.48"/>
    <n v="27"/>
    <n v="-0.66900000000000004"/>
    <s v=""/>
    <n v="-0.40200000000000002"/>
    <n v="-0.40200000000000002"/>
    <s v=""/>
    <n v="-0.26700000000000002"/>
    <n v="-0.26700000000000002"/>
    <s v=""/>
    <n v="-0.4"/>
    <n v="-0.4"/>
    <s v=""/>
  </r>
  <r>
    <x v="134"/>
    <x v="304"/>
    <n v="1"/>
    <n v="1"/>
    <x v="287"/>
    <s v="$614M"/>
    <s v="Tom"/>
    <m/>
    <n v="30.11"/>
    <n v="-0.67100000000000004"/>
    <n v="-0.48"/>
    <n v="26"/>
    <s v=""/>
    <n v="-0.67100000000000004"/>
    <n v="0.56699999999999995"/>
    <s v=""/>
    <n v="0.56699999999999995"/>
    <n v="-1.238"/>
    <s v=""/>
    <n v="-1.238"/>
    <n v="-0.8"/>
    <s v=""/>
    <n v="-0.8"/>
  </r>
  <r>
    <x v="53"/>
    <x v="304"/>
    <n v="1"/>
    <n v="1"/>
    <x v="287"/>
    <s v="$614M"/>
    <s v="Tom"/>
    <m/>
    <n v="32.11"/>
    <n v="-0.69099999999999995"/>
    <n v="-0.51"/>
    <n v="25"/>
    <s v=""/>
    <n v="-0.69099999999999995"/>
    <n v="0.55800000000000005"/>
    <s v=""/>
    <n v="0.55800000000000005"/>
    <n v="-1.25"/>
    <s v=""/>
    <n v="-1.25"/>
    <n v="-0.8"/>
    <s v=""/>
    <n v="-0.8"/>
  </r>
  <r>
    <x v="166"/>
    <x v="290"/>
    <n v="1"/>
    <n v="1"/>
    <x v="276"/>
    <s v="$337M"/>
    <s v="David"/>
    <n v="15"/>
    <n v="23.52"/>
    <n v="-0.71299999999999997"/>
    <n v="-0.54"/>
    <n v="24"/>
    <n v="-0.71299999999999997"/>
    <s v=""/>
    <n v="0.57399999999999995"/>
    <n v="0.57399999999999995"/>
    <s v=""/>
    <n v="-1.2869999999999999"/>
    <n v="-1.2869999999999999"/>
    <s v=""/>
    <n v="-0.8"/>
    <n v="-0.8"/>
    <s v=""/>
  </r>
  <r>
    <x v="237"/>
    <x v="305"/>
    <n v="1"/>
    <n v="1"/>
    <x v="288"/>
    <s v="$7B"/>
    <s v="David"/>
    <n v="17"/>
    <n v="51.5"/>
    <n v="-0.72099999999999997"/>
    <n v="-0.55000000000000004"/>
    <n v="23"/>
    <n v="-0.72099999999999997"/>
    <s v=""/>
    <n v="0.52900000000000003"/>
    <n v="0.52900000000000003"/>
    <s v=""/>
    <n v="-1.25"/>
    <n v="-1.25"/>
    <s v=""/>
    <n v="-0.8"/>
    <n v="-0.8"/>
    <s v=""/>
  </r>
  <r>
    <x v="233"/>
    <x v="306"/>
    <n v="1"/>
    <n v="1"/>
    <x v="289"/>
    <s v="N/A Corporate Action Details"/>
    <s v="David"/>
    <n v="11"/>
    <s v="$0 N/A Corporate Action Details"/>
    <n v="-0.72299999999999998"/>
    <n v="-0.56000000000000005"/>
    <n v="22"/>
    <n v="-0.72299999999999998"/>
    <s v=""/>
    <n v="1.5069999999999999"/>
    <n v="1.5069999999999999"/>
    <s v=""/>
    <n v="-2.23"/>
    <n v="-2.23"/>
    <s v=""/>
    <n v="-0.9"/>
    <n v="-0.9"/>
    <s v=""/>
  </r>
  <r>
    <x v="57"/>
    <x v="283"/>
    <n v="1"/>
    <n v="1"/>
    <x v="269"/>
    <s v="$29B"/>
    <s v="David"/>
    <n v="8"/>
    <n v="57.58"/>
    <n v="-0.72399999999999998"/>
    <n v="-0.56000000000000005"/>
    <n v="21"/>
    <n v="-0.72399999999999998"/>
    <s v=""/>
    <n v="0.14699999999999999"/>
    <n v="0.14699999999999999"/>
    <s v=""/>
    <n v="-0.87"/>
    <n v="-0.87"/>
    <s v=""/>
    <n v="-0.8"/>
    <n v="-0.8"/>
    <s v=""/>
  </r>
  <r>
    <x v="92"/>
    <x v="307"/>
    <n v="1"/>
    <n v="1"/>
    <x v="290"/>
    <s v="$3B"/>
    <s v="David"/>
    <n v="16"/>
    <n v="46.15"/>
    <n v="-0.72899999999999998"/>
    <n v="-0.56999999999999995"/>
    <n v="20"/>
    <n v="-0.72899999999999998"/>
    <s v=""/>
    <n v="0.443"/>
    <n v="0.443"/>
    <s v=""/>
    <n v="-1.1719999999999999"/>
    <n v="-1.1719999999999999"/>
    <s v=""/>
    <n v="-0.8"/>
    <n v="-0.8"/>
    <s v=""/>
  </r>
  <r>
    <x v="129"/>
    <x v="308"/>
    <n v="1"/>
    <n v="1"/>
    <x v="291"/>
    <s v="N/A Stock quote details"/>
    <s v="David"/>
    <m/>
    <n v="31.48"/>
    <n v="-0.74"/>
    <n v="-0.59"/>
    <n v="19"/>
    <n v="-0.74"/>
    <s v=""/>
    <n v="1.123"/>
    <n v="1.123"/>
    <s v=""/>
    <n v="-1.863"/>
    <n v="-1.863"/>
    <s v=""/>
    <n v="-0.9"/>
    <n v="-0.9"/>
    <s v=""/>
  </r>
  <r>
    <x v="136"/>
    <x v="309"/>
    <n v="1"/>
    <n v="1"/>
    <x v="292"/>
    <s v="$6B"/>
    <s v="Tom"/>
    <m/>
    <n v="113.02"/>
    <n v="-0.751"/>
    <n v="-0.6"/>
    <n v="18"/>
    <s v=""/>
    <n v="-0.751"/>
    <n v="1.17"/>
    <s v=""/>
    <n v="1.17"/>
    <n v="-1.921"/>
    <s v=""/>
    <n v="-1.921"/>
    <n v="-0.9"/>
    <s v=""/>
    <n v="-0.9"/>
  </r>
  <r>
    <x v="154"/>
    <x v="310"/>
    <n v="1"/>
    <n v="1"/>
    <x v="293"/>
    <s v="N/A Corporate Action Details"/>
    <s v="David"/>
    <n v="18"/>
    <s v="$0 N/A Corporate Action Details"/>
    <n v="-0.76100000000000001"/>
    <n v="-0.62"/>
    <n v="17"/>
    <n v="-0.76100000000000001"/>
    <s v=""/>
    <n v="0.64700000000000002"/>
    <n v="0.64700000000000002"/>
    <s v=""/>
    <n v="-1.4079999999999999"/>
    <n v="-1.4079999999999999"/>
    <s v=""/>
    <n v="-0.9"/>
    <n v="-0.9"/>
    <s v=""/>
  </r>
  <r>
    <x v="182"/>
    <x v="307"/>
    <n v="1"/>
    <n v="1"/>
    <x v="290"/>
    <s v="$3B"/>
    <s v="David"/>
    <n v="16"/>
    <n v="53.65"/>
    <n v="-0.76700000000000002"/>
    <n v="-0.63"/>
    <n v="16"/>
    <n v="-0.76700000000000002"/>
    <s v=""/>
    <n v="0.434"/>
    <n v="0.434"/>
    <s v=""/>
    <n v="-1.2"/>
    <n v="-1.2"/>
    <s v=""/>
    <n v="-0.8"/>
    <n v="-0.8"/>
    <s v=""/>
  </r>
  <r>
    <x v="238"/>
    <x v="311"/>
    <n v="1"/>
    <n v="1"/>
    <x v="294"/>
    <s v="$662M"/>
    <s v="Tom"/>
    <m/>
    <n v="20.32"/>
    <n v="-0.77400000000000002"/>
    <n v="-0.65"/>
    <n v="15"/>
    <s v=""/>
    <n v="-0.77400000000000002"/>
    <n v="-5.8999999999999997E-2"/>
    <s v=""/>
    <n v="-5.8999999999999997E-2"/>
    <n v="-0.71499999999999997"/>
    <s v=""/>
    <n v="-0.71499999999999997"/>
    <n v="-0.8"/>
    <s v=""/>
    <n v="-0.8"/>
  </r>
  <r>
    <x v="225"/>
    <x v="312"/>
    <n v="1"/>
    <n v="1"/>
    <x v="295"/>
    <s v="$555M"/>
    <s v="Tom"/>
    <m/>
    <n v="26.37"/>
    <n v="-0.78800000000000003"/>
    <n v="-0.67"/>
    <n v="14"/>
    <s v=""/>
    <n v="-0.78800000000000003"/>
    <n v="-0.11"/>
    <s v=""/>
    <n v="-0.11"/>
    <n v="-0.67800000000000005"/>
    <s v=""/>
    <n v="-0.67800000000000005"/>
    <n v="-0.8"/>
    <s v=""/>
    <n v="-0.8"/>
  </r>
  <r>
    <x v="194"/>
    <x v="313"/>
    <n v="1"/>
    <n v="1"/>
    <x v="296"/>
    <s v="$431M"/>
    <s v="Tom"/>
    <m/>
    <n v="31.76"/>
    <n v="-0.79300000000000004"/>
    <n v="-0.68"/>
    <n v="13"/>
    <s v=""/>
    <n v="-0.79300000000000004"/>
    <n v="0.18"/>
    <s v=""/>
    <n v="0.18"/>
    <n v="-0.97199999999999998"/>
    <s v=""/>
    <n v="-0.97199999999999998"/>
    <n v="-0.8"/>
    <s v=""/>
    <n v="-0.8"/>
  </r>
  <r>
    <x v="192"/>
    <x v="314"/>
    <n v="1"/>
    <n v="1"/>
    <x v="297"/>
    <s v="$141M"/>
    <s v="David"/>
    <m/>
    <n v="33.549999999999997"/>
    <n v="-0.83499999999999996"/>
    <n v="-0.78"/>
    <n v="12"/>
    <n v="-0.83499999999999996"/>
    <s v=""/>
    <n v="0.27900000000000003"/>
    <n v="0.27900000000000003"/>
    <s v=""/>
    <n v="-1.1140000000000001"/>
    <n v="-1.1140000000000001"/>
    <s v=""/>
    <n v="-0.9"/>
    <n v="-0.9"/>
    <s v=""/>
  </r>
  <r>
    <x v="130"/>
    <x v="313"/>
    <n v="1"/>
    <n v="1"/>
    <x v="296"/>
    <s v="$431M"/>
    <s v="Tom"/>
    <m/>
    <n v="41.62"/>
    <n v="-0.84199999999999997"/>
    <n v="-0.8"/>
    <n v="11"/>
    <s v=""/>
    <n v="-0.84199999999999997"/>
    <n v="0.14199999999999999"/>
    <s v=""/>
    <n v="0.14199999999999999"/>
    <n v="-0.98399999999999999"/>
    <s v=""/>
    <n v="-0.98399999999999999"/>
    <n v="-0.9"/>
    <s v=""/>
    <n v="-0.9"/>
  </r>
  <r>
    <x v="219"/>
    <x v="314"/>
    <n v="1"/>
    <n v="1"/>
    <x v="297"/>
    <s v="$141M"/>
    <s v="David"/>
    <m/>
    <n v="41.28"/>
    <n v="-0.86599999999999999"/>
    <n v="-0.87"/>
    <n v="10"/>
    <n v="-0.86599999999999999"/>
    <s v=""/>
    <n v="0.26200000000000001"/>
    <n v="0.26200000000000001"/>
    <s v=""/>
    <n v="-1.1279999999999999"/>
    <n v="-1.1279999999999999"/>
    <s v=""/>
    <n v="-0.9"/>
    <n v="-0.9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4">
  <r>
    <d v="2004-12-17T00:00:00"/>
    <s v="Netflix"/>
    <x v="0"/>
    <n v="1"/>
    <s v="NFLX"/>
    <s v="$152B"/>
    <s v="David"/>
    <n v="12"/>
    <n v="1.85"/>
    <x v="0"/>
    <x v="0"/>
    <n v="433"/>
    <n v="185.85900000000001"/>
    <s v=""/>
    <n v="2.1549999999999998"/>
    <n v="2.1549999999999998"/>
    <s v=""/>
    <n v="183.70400000000001"/>
    <n v="183.70400000000001"/>
    <s v=""/>
    <x v="0"/>
    <n v="58.2"/>
    <s v=""/>
  </r>
  <r>
    <d v="2004-10-01T00:00:00"/>
    <s v="Netflix"/>
    <x v="0"/>
    <n v="1"/>
    <s v="NFLX"/>
    <s v="$152B"/>
    <s v="David"/>
    <n v="12"/>
    <n v="2.33"/>
    <x v="1"/>
    <x v="1"/>
    <n v="432"/>
    <n v="147.52600000000001"/>
    <s v=""/>
    <n v="2.343"/>
    <n v="2.343"/>
    <s v=""/>
    <n v="145.18299999999999"/>
    <n v="145.18299999999999"/>
    <s v=""/>
    <x v="1"/>
    <n v="43.4"/>
    <s v=""/>
  </r>
  <r>
    <d v="2007-06-15T00:00:00"/>
    <s v="Netflix"/>
    <x v="0"/>
    <n v="1"/>
    <s v="NFLX"/>
    <s v="$152B"/>
    <s v="Tom"/>
    <m/>
    <n v="2.82"/>
    <x v="2"/>
    <x v="2"/>
    <n v="431"/>
    <s v=""/>
    <n v="122.056"/>
    <n v="1.3460000000000001"/>
    <s v=""/>
    <n v="1.3460000000000001"/>
    <n v="120.709"/>
    <s v=""/>
    <n v="120.709"/>
    <x v="2"/>
    <s v=""/>
    <n v="51.5"/>
  </r>
  <r>
    <d v="2002-09-06T00:00:00"/>
    <s v="Amazon"/>
    <x v="0"/>
    <n v="1"/>
    <s v="AMZN"/>
    <s v="$896B"/>
    <s v="David"/>
    <n v="9"/>
    <n v="15.31"/>
    <x v="3"/>
    <x v="3"/>
    <n v="430"/>
    <n v="116.61"/>
    <s v=""/>
    <n v="3.39"/>
    <n v="3.39"/>
    <s v=""/>
    <n v="113.22"/>
    <n v="113.22"/>
    <s v=""/>
    <x v="3"/>
    <n v="25.8"/>
    <s v=""/>
  </r>
  <r>
    <d v="2006-09-15T00:00:00"/>
    <s v="Netflix"/>
    <x v="0"/>
    <n v="1"/>
    <s v="NFLX"/>
    <s v="$152B"/>
    <s v="David"/>
    <n v="12"/>
    <n v="3.25"/>
    <x v="4"/>
    <x v="4"/>
    <n v="429"/>
    <n v="105.753"/>
    <s v=""/>
    <n v="1.764"/>
    <n v="1.764"/>
    <s v=""/>
    <n v="103.99"/>
    <n v="103.99"/>
    <s v=""/>
    <x v="4"/>
    <n v="37.6"/>
    <s v=""/>
  </r>
  <r>
    <d v="2006-06-16T00:00:00"/>
    <s v="Netflix"/>
    <x v="0"/>
    <n v="1"/>
    <s v="NFLX"/>
    <s v="$152B"/>
    <s v="David"/>
    <n v="12"/>
    <n v="3.87"/>
    <x v="5"/>
    <x v="5"/>
    <n v="428"/>
    <n v="88.433000000000007"/>
    <s v=""/>
    <n v="1.9279999999999999"/>
    <n v="1.9279999999999999"/>
    <s v=""/>
    <n v="86.504999999999995"/>
    <n v="86.504999999999995"/>
    <s v=""/>
    <x v="5"/>
    <n v="29.5"/>
    <s v=""/>
  </r>
  <r>
    <d v="2004-05-21T00:00:00"/>
    <s v="Booking Holdings"/>
    <x v="0"/>
    <n v="1"/>
    <s v="BKNG"/>
    <s v="$63B"/>
    <s v="David"/>
    <n v="7"/>
    <n v="23.71"/>
    <x v="6"/>
    <x v="6"/>
    <n v="427"/>
    <n v="63.436999999999998"/>
    <s v=""/>
    <n v="2.4809999999999999"/>
    <n v="2.4809999999999999"/>
    <s v=""/>
    <n v="60.956000000000003"/>
    <n v="60.956000000000003"/>
    <s v=""/>
    <x v="6"/>
    <n v="17.5"/>
    <s v=""/>
  </r>
  <r>
    <d v="2002-06-07T00:00:00"/>
    <s v="Walt Disney Corporate Action Details"/>
    <x v="0"/>
    <n v="1"/>
    <s v="DIS"/>
    <s v="$188B"/>
    <s v="David"/>
    <n v="8"/>
    <n v="1.81"/>
    <x v="7"/>
    <x v="7"/>
    <n v="426"/>
    <n v="56.753"/>
    <s v=""/>
    <n v="2.835"/>
    <n v="2.835"/>
    <s v=""/>
    <n v="53.917999999999999"/>
    <n v="53.917999999999999"/>
    <s v=""/>
    <x v="7"/>
    <n v="14.1"/>
    <s v=""/>
  </r>
  <r>
    <d v="2005-04-15T00:00:00"/>
    <s v="NVIDIA"/>
    <x v="0"/>
    <n v="1"/>
    <s v="NVDA"/>
    <s v="$150B"/>
    <s v="David"/>
    <n v="5"/>
    <n v="6.55"/>
    <x v="8"/>
    <x v="8"/>
    <n v="425"/>
    <n v="36.47"/>
    <s v=""/>
    <n v="2.2789999999999999"/>
    <n v="2.2789999999999999"/>
    <s v=""/>
    <n v="34.191000000000003"/>
    <n v="34.191000000000003"/>
    <s v=""/>
    <x v="8"/>
    <n v="10.4"/>
    <s v=""/>
  </r>
  <r>
    <d v="2002-11-08T00:00:00"/>
    <s v="Walt Disney Corporate Action Details"/>
    <x v="0"/>
    <n v="1"/>
    <s v="DIS"/>
    <s v="$188B"/>
    <s v="David"/>
    <n v="8"/>
    <n v="2.9"/>
    <x v="9"/>
    <x v="9"/>
    <n v="424"/>
    <n v="34.948999999999998"/>
    <s v=""/>
    <n v="3.3719999999999999"/>
    <n v="3.3719999999999999"/>
    <s v=""/>
    <n v="31.577000000000002"/>
    <n v="31.577000000000002"/>
    <s v=""/>
    <x v="9"/>
    <n v="7.2"/>
    <s v=""/>
  </r>
  <r>
    <d v="2003-02-07T00:00:00"/>
    <s v="Activision Blizzard Corporate Action Details"/>
    <x v="0"/>
    <n v="1"/>
    <s v="ATVI"/>
    <s v="$44B"/>
    <s v="David"/>
    <n v="7"/>
    <n v="1.61"/>
    <x v="10"/>
    <x v="10"/>
    <n v="423"/>
    <n v="34.591999999999999"/>
    <s v=""/>
    <n v="3.6930000000000001"/>
    <n v="3.6930000000000001"/>
    <s v=""/>
    <n v="30.899000000000001"/>
    <n v="30.899000000000001"/>
    <s v=""/>
    <x v="10"/>
    <n v="6.6"/>
    <s v=""/>
  </r>
  <r>
    <d v="2002-12-13T00:00:00"/>
    <s v="UnitedHealth Group Corporate Action Details"/>
    <x v="0"/>
    <n v="1"/>
    <s v="UNH"/>
    <s v="$259B"/>
    <s v="Tom"/>
    <m/>
    <n v="12.52"/>
    <x v="11"/>
    <x v="11"/>
    <n v="422"/>
    <s v=""/>
    <n v="20.847999999999999"/>
    <n v="3.39"/>
    <s v=""/>
    <n v="3.39"/>
    <n v="17.457999999999998"/>
    <s v=""/>
    <n v="17.457999999999998"/>
    <x v="11"/>
    <s v=""/>
    <n v="4"/>
  </r>
  <r>
    <d v="2012-11-16T00:00:00"/>
    <s v="Tesla"/>
    <x v="0"/>
    <n v="1"/>
    <s v="TSLA"/>
    <s v="$112B"/>
    <s v="Tom"/>
    <m/>
    <n v="31.84"/>
    <x v="12"/>
    <x v="12"/>
    <n v="421"/>
    <s v=""/>
    <n v="18.096"/>
    <n v="1.3480000000000001"/>
    <s v=""/>
    <n v="1.3480000000000001"/>
    <n v="16.747"/>
    <s v=""/>
    <n v="16.747"/>
    <x v="12"/>
    <s v=""/>
    <n v="7.1"/>
  </r>
  <r>
    <d v="2002-08-09T00:00:00"/>
    <s v="Activision Blizzard Corporate Action Details"/>
    <x v="0"/>
    <n v="1"/>
    <s v="ATVI"/>
    <s v="$44B"/>
    <s v="David"/>
    <n v="7"/>
    <n v="3.14"/>
    <x v="13"/>
    <x v="13"/>
    <n v="420"/>
    <n v="17.276"/>
    <s v=""/>
    <n v="3.3250000000000002"/>
    <n v="3.3250000000000002"/>
    <s v=""/>
    <n v="13.951000000000001"/>
    <n v="13.951000000000001"/>
    <s v=""/>
    <x v="13"/>
    <n v="3.2"/>
    <s v=""/>
  </r>
  <r>
    <d v="2009-12-18T00:00:00"/>
    <s v="NVIDIA"/>
    <x v="0"/>
    <n v="1"/>
    <s v="NVDA"/>
    <s v="$150B"/>
    <s v="David"/>
    <n v="5"/>
    <n v="15.48"/>
    <x v="14"/>
    <x v="14"/>
    <n v="419"/>
    <n v="14.853999999999999"/>
    <s v=""/>
    <n v="2.08"/>
    <n v="2.08"/>
    <s v=""/>
    <n v="12.773999999999999"/>
    <n v="12.773999999999999"/>
    <s v=""/>
    <x v="14"/>
    <n v="4.0999999999999996"/>
    <s v=""/>
  </r>
  <r>
    <d v="2004-08-20T00:00:00"/>
    <s v="Walt Disney Corporate Action Details"/>
    <x v="0"/>
    <n v="1"/>
    <s v="DIS"/>
    <s v="$188B"/>
    <s v="David"/>
    <n v="8"/>
    <n v="7.27"/>
    <x v="15"/>
    <x v="15"/>
    <n v="418"/>
    <n v="13.349"/>
    <s v=""/>
    <n v="2.4510000000000001"/>
    <n v="2.4510000000000001"/>
    <s v=""/>
    <n v="10.898"/>
    <n v="10.898"/>
    <s v=""/>
    <x v="13"/>
    <n v="3.2"/>
    <s v=""/>
  </r>
  <r>
    <d v="2008-12-19T00:00:00"/>
    <s v="Cintas"/>
    <x v="0"/>
    <n v="1"/>
    <s v="CTAS"/>
    <s v="$26B"/>
    <s v="Tom"/>
    <m/>
    <n v="18.579999999999998"/>
    <x v="16"/>
    <x v="16"/>
    <n v="417"/>
    <s v=""/>
    <n v="12.504"/>
    <n v="2.92"/>
    <s v=""/>
    <n v="2.92"/>
    <n v="9.5839999999999996"/>
    <s v=""/>
    <n v="9.5839999999999996"/>
    <x v="15"/>
    <s v=""/>
    <n v="2.4"/>
  </r>
  <r>
    <d v="2008-01-18T00:00:00"/>
    <s v="Apple"/>
    <x v="0"/>
    <n v="1"/>
    <s v="AAPL"/>
    <s v="$1,165B"/>
    <s v="David"/>
    <n v="6"/>
    <n v="20.010000000000002"/>
    <x v="17"/>
    <x v="17"/>
    <n v="416"/>
    <n v="12.302"/>
    <s v=""/>
    <n v="1.6839999999999999"/>
    <n v="1.6839999999999999"/>
    <s v=""/>
    <n v="10.618"/>
    <n v="10.618"/>
    <s v=""/>
    <x v="11"/>
    <n v="4"/>
    <s v=""/>
  </r>
  <r>
    <d v="2016-07-15T00:00:00"/>
    <s v="Shopify"/>
    <x v="0"/>
    <n v="1"/>
    <s v="SHOP"/>
    <s v="$49B"/>
    <s v="Tom"/>
    <m/>
    <n v="32.32"/>
    <x v="18"/>
    <x v="18"/>
    <n v="415"/>
    <s v=""/>
    <n v="11.943"/>
    <n v="0.36699999999999999"/>
    <s v=""/>
    <n v="0.36699999999999999"/>
    <n v="11.576000000000001"/>
    <s v=""/>
    <n v="11.576000000000001"/>
    <x v="16"/>
    <s v=""/>
    <n v="8.5"/>
  </r>
  <r>
    <d v="2008-06-20T00:00:00"/>
    <s v="Apple"/>
    <x v="0"/>
    <n v="1"/>
    <s v="AAPL"/>
    <s v="$1,165B"/>
    <s v="David"/>
    <n v="6"/>
    <n v="21.73"/>
    <x v="19"/>
    <x v="19"/>
    <n v="414"/>
    <n v="11.246"/>
    <s v=""/>
    <n v="1.6739999999999999"/>
    <n v="1.6739999999999999"/>
    <s v=""/>
    <n v="9.5719999999999992"/>
    <n v="9.5719999999999992"/>
    <s v=""/>
    <x v="17"/>
    <n v="3.6"/>
    <s v=""/>
  </r>
  <r>
    <d v="2008-03-20T00:00:00"/>
    <s v="Sherwin-Williams"/>
    <x v="0"/>
    <n v="1"/>
    <s v="SHW"/>
    <s v="$44B"/>
    <s v="Tom"/>
    <m/>
    <n v="45.44"/>
    <x v="20"/>
    <x v="20"/>
    <n v="413"/>
    <s v=""/>
    <n v="10.602"/>
    <n v="1.665"/>
    <s v=""/>
    <n v="1.665"/>
    <n v="8.9369999999999994"/>
    <s v=""/>
    <n v="8.9369999999999994"/>
    <x v="18"/>
    <s v=""/>
    <n v="3.4"/>
  </r>
  <r>
    <d v="2013-06-21T00:00:00"/>
    <s v="Netflix"/>
    <x v="1"/>
    <n v="1"/>
    <s v="NFLX"/>
    <s v="$152B"/>
    <s v="David"/>
    <n v="12"/>
    <n v="30.99"/>
    <x v="21"/>
    <x v="21"/>
    <n v="412"/>
    <n v="10.182"/>
    <s v=""/>
    <n v="0.97899999999999998"/>
    <n v="0.97899999999999998"/>
    <s v=""/>
    <n v="9.2029999999999994"/>
    <n v="9.2029999999999994"/>
    <s v=""/>
    <x v="19"/>
    <n v="4.7"/>
    <s v=""/>
  </r>
  <r>
    <d v="2003-03-07T00:00:00"/>
    <s v="Walt Disney Corporate Action Details"/>
    <x v="0"/>
    <n v="1"/>
    <s v="DIS"/>
    <s v="$188B"/>
    <s v="David"/>
    <n v="8"/>
    <n v="9.42"/>
    <x v="22"/>
    <x v="22"/>
    <n v="411"/>
    <n v="10.074999999999999"/>
    <s v=""/>
    <n v="3.6890000000000001"/>
    <n v="3.6890000000000001"/>
    <s v=""/>
    <n v="6.3869999999999996"/>
    <n v="6.3869999999999996"/>
    <s v=""/>
    <x v="20"/>
    <n v="1.4"/>
    <s v=""/>
  </r>
  <r>
    <d v="2010-12-17T00:00:00"/>
    <s v="Amazon"/>
    <x v="1"/>
    <n v="1"/>
    <s v="AMZN"/>
    <s v="$896B"/>
    <s v="David"/>
    <n v="9"/>
    <n v="177.58"/>
    <x v="23"/>
    <x v="23"/>
    <n v="410"/>
    <n v="9.14"/>
    <s v=""/>
    <n v="1.6759999999999999"/>
    <n v="1.6759999999999999"/>
    <s v=""/>
    <n v="7.4640000000000004"/>
    <n v="7.4640000000000004"/>
    <s v=""/>
    <x v="21"/>
    <n v="2.8"/>
    <s v=""/>
  </r>
  <r>
    <d v="2004-05-21T00:00:00"/>
    <s v="UnitedHealth Group"/>
    <x v="0"/>
    <n v="1"/>
    <s v="UNH"/>
    <s v="$259B"/>
    <s v="Tom"/>
    <m/>
    <n v="27.09"/>
    <x v="24"/>
    <x v="24"/>
    <n v="409"/>
    <s v=""/>
    <n v="9.0960000000000001"/>
    <n v="2.4809999999999999"/>
    <s v=""/>
    <n v="2.4809999999999999"/>
    <n v="6.6150000000000002"/>
    <s v=""/>
    <n v="6.6150000000000002"/>
    <x v="22"/>
    <s v=""/>
    <n v="1.9"/>
  </r>
  <r>
    <d v="2002-04-12T00:00:00"/>
    <s v="Costco Wholesale"/>
    <x v="0"/>
    <n v="1"/>
    <s v="COST"/>
    <s v="$133B"/>
    <s v="Tom"/>
    <m/>
    <n v="30.52"/>
    <x v="25"/>
    <x v="24"/>
    <n v="408"/>
    <s v=""/>
    <n v="8.8960000000000008"/>
    <n v="2.5550000000000002"/>
    <s v=""/>
    <n v="2.5550000000000002"/>
    <n v="6.34"/>
    <s v=""/>
    <n v="6.34"/>
    <x v="23"/>
    <s v=""/>
    <n v="1.8"/>
  </r>
  <r>
    <d v="2009-08-21T00:00:00"/>
    <s v="Adobe Systems"/>
    <x v="0"/>
    <n v="1"/>
    <s v="ADBE"/>
    <s v="$148B"/>
    <s v="David"/>
    <n v="8"/>
    <n v="32.840000000000003"/>
    <x v="26"/>
    <x v="25"/>
    <n v="407"/>
    <n v="8.3119999999999994"/>
    <s v=""/>
    <n v="2.331"/>
    <n v="2.331"/>
    <s v=""/>
    <n v="5.9809999999999999"/>
    <n v="5.9809999999999999"/>
    <s v=""/>
    <x v="23"/>
    <n v="1.8"/>
    <s v=""/>
  </r>
  <r>
    <d v="2003-07-11T00:00:00"/>
    <s v="Walt Disney Corporate Action Details"/>
    <x v="0"/>
    <n v="1"/>
    <s v="DIS"/>
    <s v="$188B"/>
    <s v="David"/>
    <n v="8"/>
    <n v="12.03"/>
    <x v="27"/>
    <x v="26"/>
    <n v="406"/>
    <n v="7.6760000000000002"/>
    <s v=""/>
    <n v="2.87"/>
    <n v="2.87"/>
    <s v=""/>
    <n v="4.8049999999999997"/>
    <n v="4.8049999999999997"/>
    <s v=""/>
    <x v="24"/>
    <n v="1.2"/>
    <s v=""/>
  </r>
  <r>
    <d v="2003-03-07T00:00:00"/>
    <s v="NextGen Healthcare Inc. (Closed: 06/26/2015)"/>
    <x v="0"/>
    <n v="1"/>
    <s v="NXGN"/>
    <s v="$610M"/>
    <s v="Tom"/>
    <m/>
    <n v="1.97"/>
    <x v="28"/>
    <x v="27"/>
    <n v="405"/>
    <s v=""/>
    <n v="7.5179999999999998"/>
    <n v="2.2589999999999999"/>
    <s v=""/>
    <n v="2.2589999999999999"/>
    <n v="5.26"/>
    <s v=""/>
    <n v="5.26"/>
    <x v="25"/>
    <s v=""/>
    <n v="1.6"/>
  </r>
  <r>
    <d v="2002-05-10T00:00:00"/>
    <s v="PayPal Holdings and eBay Corporate Action Details"/>
    <x v="0"/>
    <n v="1"/>
    <s v="PYPL EBAY"/>
    <s v="N/A Corporate Action Details"/>
    <s v="David"/>
    <n v="7"/>
    <s v="$0 N/A Corporate Action Details"/>
    <x v="29"/>
    <x v="28"/>
    <n v="404"/>
    <n v="6.97"/>
    <s v=""/>
    <n v="2.7410000000000001"/>
    <n v="2.7410000000000001"/>
    <s v=""/>
    <n v="4.2300000000000004"/>
    <n v="4.2300000000000004"/>
    <s v=""/>
    <x v="26"/>
    <n v="1.1000000000000001"/>
    <s v=""/>
  </r>
  <r>
    <d v="2010-06-18T00:00:00"/>
    <s v="Booking Holdings"/>
    <x v="1"/>
    <n v="1"/>
    <s v="BKNG"/>
    <s v="$63B"/>
    <s v="David"/>
    <n v="7"/>
    <n v="193.09"/>
    <x v="30"/>
    <x v="28"/>
    <n v="403"/>
    <n v="6.9119999999999999"/>
    <s v=""/>
    <n v="2.008"/>
    <n v="2.008"/>
    <s v=""/>
    <n v="4.9039999999999999"/>
    <n v="4.9039999999999999"/>
    <s v=""/>
    <x v="25"/>
    <n v="1.6"/>
    <s v=""/>
  </r>
  <r>
    <d v="2003-02-07T00:00:00"/>
    <s v="NextGen Healthcare Inc. (Closed: 06/21/2013)"/>
    <x v="0"/>
    <n v="1"/>
    <s v="NXGN"/>
    <s v="$610M"/>
    <s v="Tom"/>
    <m/>
    <n v="2.4300000000000002"/>
    <x v="31"/>
    <x v="29"/>
    <n v="402"/>
    <s v=""/>
    <n v="6.3920000000000003"/>
    <n v="1.371"/>
    <s v=""/>
    <n v="1.371"/>
    <n v="5.0209999999999999"/>
    <s v=""/>
    <n v="5.0209999999999999"/>
    <x v="27"/>
    <s v=""/>
    <n v="2.1"/>
  </r>
  <r>
    <d v="2008-12-19T00:00:00"/>
    <s v="Walt Disney Corporate Action Details"/>
    <x v="0"/>
    <n v="1"/>
    <s v="DIS"/>
    <s v="$188B"/>
    <s v="David"/>
    <n v="8"/>
    <n v="15.22"/>
    <x v="32"/>
    <x v="30"/>
    <n v="401"/>
    <n v="5.8579999999999997"/>
    <s v=""/>
    <n v="2.92"/>
    <n v="2.92"/>
    <s v=""/>
    <n v="2.9380000000000002"/>
    <n v="2.9380000000000002"/>
    <s v=""/>
    <x v="28"/>
    <n v="0.7"/>
    <s v=""/>
  </r>
  <r>
    <d v="2003-04-11T00:00:00"/>
    <s v="Hasbro"/>
    <x v="0"/>
    <n v="1"/>
    <s v="HAS"/>
    <s v="$9B"/>
    <s v="David"/>
    <n v="10"/>
    <n v="9.7100000000000009"/>
    <x v="33"/>
    <x v="31"/>
    <n v="400"/>
    <n v="5.8209999999999997"/>
    <s v=""/>
    <n v="3.468"/>
    <n v="3.468"/>
    <s v=""/>
    <n v="2.3530000000000002"/>
    <n v="2.3530000000000002"/>
    <s v=""/>
    <x v="29"/>
    <n v="0.5"/>
    <s v=""/>
  </r>
  <r>
    <d v="2012-07-20T00:00:00"/>
    <s v="TransDigm Group"/>
    <x v="1"/>
    <n v="1"/>
    <s v="TDG"/>
    <s v="$24B"/>
    <s v="David"/>
    <n v="13"/>
    <n v="67"/>
    <x v="34"/>
    <x v="31"/>
    <n v="399"/>
    <n v="5.7460000000000004"/>
    <s v=""/>
    <n v="1.3620000000000001"/>
    <n v="1.3620000000000001"/>
    <s v=""/>
    <n v="4.3840000000000003"/>
    <n v="4.3840000000000003"/>
    <s v=""/>
    <x v="22"/>
    <n v="1.9"/>
    <s v=""/>
  </r>
  <r>
    <d v="2011-06-17T00:00:00"/>
    <s v="Apple"/>
    <x v="1"/>
    <n v="1"/>
    <s v="AAPL"/>
    <s v="$1,165B"/>
    <s v="David"/>
    <n v="6"/>
    <n v="39.71"/>
    <x v="35"/>
    <x v="31"/>
    <n v="398"/>
    <n v="5.702"/>
    <s v=""/>
    <n v="1.5920000000000001"/>
    <n v="1.5920000000000001"/>
    <s v=""/>
    <n v="4.1100000000000003"/>
    <n v="4.1100000000000003"/>
    <s v=""/>
    <x v="25"/>
    <n v="1.6"/>
    <s v=""/>
  </r>
  <r>
    <d v="2012-04-20T00:00:00"/>
    <s v="Heico"/>
    <x v="1"/>
    <n v="1"/>
    <s v="HEI"/>
    <s v="$12B"/>
    <s v="Tom"/>
    <m/>
    <n v="15.74"/>
    <x v="36"/>
    <x v="32"/>
    <n v="397"/>
    <s v=""/>
    <n v="5.1429999999999998"/>
    <n v="1.3480000000000001"/>
    <s v=""/>
    <n v="1.3480000000000001"/>
    <n v="3.7949999999999999"/>
    <s v=""/>
    <n v="3.7949999999999999"/>
    <x v="25"/>
    <s v=""/>
    <n v="1.6"/>
  </r>
  <r>
    <d v="2008-07-18T00:00:00"/>
    <s v="Illumina"/>
    <x v="0"/>
    <n v="1"/>
    <s v="ILMN"/>
    <s v="$38B"/>
    <s v="David"/>
    <n v="8"/>
    <n v="43.13"/>
    <x v="37"/>
    <x v="33"/>
    <n v="396"/>
    <n v="5.024"/>
    <s v=""/>
    <n v="1.792"/>
    <n v="1.792"/>
    <s v=""/>
    <n v="3.2320000000000002"/>
    <n v="3.2320000000000002"/>
    <s v=""/>
    <x v="24"/>
    <n v="1.2"/>
    <s v=""/>
  </r>
  <r>
    <d v="2016-04-15T00:00:00"/>
    <s v="Match Group"/>
    <x v="1"/>
    <n v="1"/>
    <s v="MTCH"/>
    <s v="$18B"/>
    <s v="David"/>
    <n v="10"/>
    <n v="10.79"/>
    <x v="38"/>
    <x v="34"/>
    <n v="395"/>
    <n v="4.9340000000000002"/>
    <s v=""/>
    <n v="0.42799999999999999"/>
    <n v="0.42799999999999999"/>
    <s v=""/>
    <n v="4.5060000000000002"/>
    <n v="4.5060000000000002"/>
    <s v=""/>
    <x v="13"/>
    <n v="3.2"/>
    <s v=""/>
  </r>
  <r>
    <d v="2010-05-21T00:00:00"/>
    <s v="Boston Beer"/>
    <x v="1"/>
    <n v="1"/>
    <s v="SAM"/>
    <s v="$4B"/>
    <s v="David"/>
    <n v="10"/>
    <n v="58.62"/>
    <x v="39"/>
    <x v="34"/>
    <n v="394"/>
    <n v="4.923"/>
    <s v=""/>
    <n v="2.0960000000000001"/>
    <n v="2.0960000000000001"/>
    <s v=""/>
    <n v="2.827"/>
    <n v="2.827"/>
    <s v=""/>
    <x v="30"/>
    <n v="0.9"/>
    <s v=""/>
  </r>
  <r>
    <d v="2011-01-21T00:00:00"/>
    <s v="Cognex"/>
    <x v="1"/>
    <n v="1"/>
    <s v="CGNX"/>
    <s v="$7B"/>
    <s v="David"/>
    <n v="9"/>
    <n v="6.86"/>
    <x v="40"/>
    <x v="35"/>
    <n v="393"/>
    <n v="4.7869999999999999"/>
    <s v=""/>
    <n v="1.59"/>
    <n v="1.59"/>
    <s v=""/>
    <n v="3.198"/>
    <n v="3.198"/>
    <s v=""/>
    <x v="24"/>
    <n v="1.2"/>
    <s v=""/>
  </r>
  <r>
    <d v="2009-09-18T00:00:00"/>
    <s v="Dassault Systemes"/>
    <x v="0"/>
    <n v="1"/>
    <s v="DASTY"/>
    <s v="$34B"/>
    <s v="David"/>
    <n v="9"/>
    <n v="26.45"/>
    <x v="41"/>
    <x v="36"/>
    <n v="392"/>
    <n v="4.5579999999999998"/>
    <s v=""/>
    <n v="2.194"/>
    <n v="2.194"/>
    <s v=""/>
    <n v="2.363"/>
    <n v="2.363"/>
    <s v=""/>
    <x v="28"/>
    <n v="0.7"/>
    <s v=""/>
  </r>
  <r>
    <d v="2010-07-16T00:00:00"/>
    <s v="Nike"/>
    <x v="1"/>
    <n v="1"/>
    <s v="NKE"/>
    <s v="$131B"/>
    <s v="Tom"/>
    <m/>
    <n v="15.25"/>
    <x v="42"/>
    <x v="36"/>
    <n v="391"/>
    <s v=""/>
    <n v="4.5149999999999997"/>
    <n v="2.153"/>
    <s v=""/>
    <n v="2.153"/>
    <n v="2.3620000000000001"/>
    <s v=""/>
    <n v="2.3620000000000001"/>
    <x v="28"/>
    <s v=""/>
    <n v="0.7"/>
  </r>
  <r>
    <d v="2013-04-19T00:00:00"/>
    <s v="Mastercard"/>
    <x v="1"/>
    <n v="1"/>
    <s v="MA"/>
    <s v="$263B"/>
    <s v="Tom"/>
    <m/>
    <n v="50.02"/>
    <x v="43"/>
    <x v="37"/>
    <n v="390"/>
    <s v=""/>
    <n v="4.2380000000000004"/>
    <n v="1.0349999999999999"/>
    <s v=""/>
    <n v="1.0349999999999999"/>
    <n v="3.2029999999999998"/>
    <s v=""/>
    <n v="3.2029999999999998"/>
    <x v="25"/>
    <s v=""/>
    <n v="1.6"/>
  </r>
  <r>
    <d v="2010-09-17T00:00:00"/>
    <s v="Gilead Sciences"/>
    <x v="1"/>
    <n v="1"/>
    <s v="GILD"/>
    <s v="$93B"/>
    <s v="David"/>
    <n v="12"/>
    <n v="15.14"/>
    <x v="44"/>
    <x v="38"/>
    <n v="389"/>
    <n v="3.8570000000000002"/>
    <s v=""/>
    <n v="1.9710000000000001"/>
    <n v="1.9710000000000001"/>
    <s v=""/>
    <n v="1.885"/>
    <n v="1.885"/>
    <s v=""/>
    <x v="31"/>
    <n v="0.6"/>
    <s v=""/>
  </r>
  <r>
    <d v="2013-06-21T00:00:00"/>
    <s v="Mastercard"/>
    <x v="1"/>
    <n v="1"/>
    <s v="MA"/>
    <s v="$263B"/>
    <s v="Tom"/>
    <m/>
    <n v="54.94"/>
    <x v="45"/>
    <x v="39"/>
    <n v="388"/>
    <s v=""/>
    <n v="3.7690000000000001"/>
    <n v="0.97899999999999998"/>
    <s v=""/>
    <n v="0.97899999999999998"/>
    <n v="2.79"/>
    <s v=""/>
    <n v="2.79"/>
    <x v="20"/>
    <s v=""/>
    <n v="1.4"/>
  </r>
  <r>
    <d v="2012-11-16T00:00:00"/>
    <s v="Intuit"/>
    <x v="1"/>
    <n v="1"/>
    <s v="INTU"/>
    <s v="$68B"/>
    <s v="David"/>
    <n v="8"/>
    <n v="55.05"/>
    <x v="46"/>
    <x v="40"/>
    <n v="387"/>
    <n v="3.7229999999999999"/>
    <s v=""/>
    <n v="1.3480000000000001"/>
    <n v="1.3480000000000001"/>
    <s v=""/>
    <n v="2.375"/>
    <n v="2.375"/>
    <s v=""/>
    <x v="32"/>
    <n v="1"/>
    <s v=""/>
  </r>
  <r>
    <d v="2006-02-17T00:00:00"/>
    <s v="Starbucks"/>
    <x v="0"/>
    <n v="1"/>
    <s v="SBUX"/>
    <s v="$83B"/>
    <s v="David"/>
    <n v="7"/>
    <n v="15.02"/>
    <x v="47"/>
    <x v="40"/>
    <n v="386"/>
    <n v="3.714"/>
    <s v=""/>
    <n v="1.865"/>
    <n v="1.865"/>
    <s v=""/>
    <n v="1.849"/>
    <n v="1.849"/>
    <s v=""/>
    <x v="31"/>
    <n v="0.6"/>
    <s v=""/>
  </r>
  <r>
    <d v="2003-01-10T00:00:00"/>
    <s v="BorgWarner"/>
    <x v="0"/>
    <n v="1"/>
    <s v="BWA"/>
    <s v="$5B"/>
    <s v="Tom"/>
    <m/>
    <n v="5.79"/>
    <x v="48"/>
    <x v="41"/>
    <n v="385"/>
    <s v=""/>
    <n v="3.5"/>
    <n v="3.2029999999999998"/>
    <s v=""/>
    <n v="3.2029999999999998"/>
    <n v="0.29699999999999999"/>
    <s v=""/>
    <n v="0.29699999999999999"/>
    <x v="33"/>
    <s v=""/>
    <n v="0.1"/>
  </r>
  <r>
    <d v="2011-10-21T00:00:00"/>
    <s v="Pegasystems"/>
    <x v="1"/>
    <n v="1"/>
    <s v="PEGA"/>
    <s v="$6B"/>
    <s v="David"/>
    <n v="9"/>
    <n v="17.22"/>
    <x v="49"/>
    <x v="41"/>
    <n v="384"/>
    <n v="3.4769999999999999"/>
    <s v=""/>
    <n v="1.643"/>
    <n v="1.643"/>
    <s v=""/>
    <n v="1.8340000000000001"/>
    <n v="1.8340000000000001"/>
    <s v=""/>
    <x v="28"/>
    <n v="0.7"/>
    <s v=""/>
  </r>
  <r>
    <d v="2005-02-18T00:00:00"/>
    <s v="Safety Insurance Group"/>
    <x v="0"/>
    <n v="1"/>
    <s v="SAFT"/>
    <s v="$1B"/>
    <s v="Tom"/>
    <m/>
    <n v="17.309999999999999"/>
    <x v="50"/>
    <x v="42"/>
    <n v="383"/>
    <s v=""/>
    <n v="3.3250000000000002"/>
    <n v="2.1259999999999999"/>
    <s v=""/>
    <n v="2.1259999999999999"/>
    <n v="1.1990000000000001"/>
    <s v=""/>
    <n v="1.1990000000000001"/>
    <x v="34"/>
    <s v=""/>
    <n v="0.4"/>
  </r>
  <r>
    <d v="2003-11-07T00:00:00"/>
    <s v="Amerigroup (Closed: 09/21/2012)"/>
    <x v="0"/>
    <n v="1"/>
    <s v="AGP.DL2"/>
    <s v="N/A Stock quote details"/>
    <s v="Tom"/>
    <m/>
    <n v="21.07"/>
    <x v="51"/>
    <x v="42"/>
    <n v="382"/>
    <s v=""/>
    <n v="3.3220000000000001"/>
    <n v="0.66100000000000003"/>
    <s v=""/>
    <n v="0.66100000000000003"/>
    <n v="2.661"/>
    <s v=""/>
    <n v="2.661"/>
    <x v="25"/>
    <s v=""/>
    <n v="1.6"/>
  </r>
  <r>
    <d v="2010-11-19T00:00:00"/>
    <s v="Watsco"/>
    <x v="1"/>
    <n v="1"/>
    <s v="WSO"/>
    <s v="$6B"/>
    <s v="Tom"/>
    <m/>
    <n v="42.69"/>
    <x v="52"/>
    <x v="43"/>
    <n v="381"/>
    <s v=""/>
    <n v="3.2839999999999998"/>
    <n v="1.778"/>
    <s v=""/>
    <n v="1.778"/>
    <n v="1.506"/>
    <s v=""/>
    <n v="1.506"/>
    <x v="29"/>
    <s v=""/>
    <n v="0.5"/>
  </r>
  <r>
    <d v="2016-08-19T00:00:00"/>
    <s v="Match Group"/>
    <x v="1"/>
    <n v="1"/>
    <s v="MTCH"/>
    <s v="$18B"/>
    <s v="David"/>
    <n v="10"/>
    <n v="15.12"/>
    <x v="53"/>
    <x v="43"/>
    <n v="380"/>
    <n v="3.234"/>
    <s v=""/>
    <n v="0.35"/>
    <n v="0.35"/>
    <s v=""/>
    <n v="2.8839999999999999"/>
    <n v="2.8839999999999999"/>
    <s v=""/>
    <x v="27"/>
    <n v="2.1"/>
    <s v=""/>
  </r>
  <r>
    <d v="2008-11-21T00:00:00"/>
    <s v="MSC Industrial Direct (Closed: 01/12/2018)"/>
    <x v="0"/>
    <n v="1"/>
    <s v="MSM"/>
    <s v="$3B"/>
    <s v="Tom"/>
    <m/>
    <n v="22.73"/>
    <x v="54"/>
    <x v="44"/>
    <n v="379"/>
    <s v=""/>
    <n v="3.169"/>
    <n v="3.238"/>
    <s v=""/>
    <n v="3.238"/>
    <n v="-6.9000000000000006E-2"/>
    <s v=""/>
    <n v="-6.9000000000000006E-2"/>
    <x v="35"/>
    <s v=""/>
    <n v="0"/>
  </r>
  <r>
    <d v="2012-07-20T00:00:00"/>
    <s v="Alphabet (A shares) and Alphabet (C shares) Corporate Action Details"/>
    <x v="1"/>
    <n v="1"/>
    <s v="GOOGL GOOG"/>
    <s v="N/A Corporate Action Details"/>
    <s v="Tom"/>
    <m/>
    <s v="$0 N/A Corporate Action Details"/>
    <x v="55"/>
    <x v="45"/>
    <n v="378"/>
    <s v=""/>
    <n v="2.988"/>
    <n v="1.3620000000000001"/>
    <s v=""/>
    <n v="1.3620000000000001"/>
    <n v="1.6259999999999999"/>
    <s v=""/>
    <n v="1.6259999999999999"/>
    <x v="28"/>
    <s v=""/>
    <n v="0.7"/>
  </r>
  <r>
    <d v="2009-06-19T00:00:00"/>
    <s v="Interactive Brokers"/>
    <x v="0"/>
    <n v="1"/>
    <s v="IBKR"/>
    <s v="$18B"/>
    <s v="Tom"/>
    <m/>
    <n v="11.01"/>
    <x v="56"/>
    <x v="45"/>
    <n v="377"/>
    <s v=""/>
    <n v="2.9870000000000001"/>
    <n v="2.7250000000000001"/>
    <s v=""/>
    <n v="2.7250000000000001"/>
    <n v="0.26200000000000001"/>
    <s v=""/>
    <n v="0.26200000000000001"/>
    <x v="33"/>
    <s v=""/>
    <n v="0.1"/>
  </r>
  <r>
    <d v="2018-01-19T00:00:00"/>
    <s v="Okta"/>
    <x v="1"/>
    <n v="1"/>
    <s v="OKTA"/>
    <s v="$14B"/>
    <s v="David"/>
    <n v="11"/>
    <n v="29.18"/>
    <x v="57"/>
    <x v="45"/>
    <n v="376"/>
    <n v="2.9359999999999999"/>
    <s v=""/>
    <n v="0.02"/>
    <n v="0.02"/>
    <s v=""/>
    <n v="2.9159999999999999"/>
    <n v="2.9159999999999999"/>
    <s v=""/>
    <x v="36"/>
    <n v="2.9"/>
    <s v=""/>
  </r>
  <r>
    <d v="2008-03-20T00:00:00"/>
    <s v="Canadian National Railway"/>
    <x v="0"/>
    <n v="1"/>
    <s v="CNI"/>
    <s v="$74B"/>
    <s v="David"/>
    <n v="6"/>
    <n v="19.34"/>
    <x v="58"/>
    <x v="46"/>
    <n v="375"/>
    <n v="2.915"/>
    <s v=""/>
    <n v="1.665"/>
    <n v="1.665"/>
    <s v=""/>
    <n v="1.25"/>
    <n v="1.25"/>
    <s v=""/>
    <x v="29"/>
    <n v="0.5"/>
    <s v=""/>
  </r>
  <r>
    <d v="2011-11-18T00:00:00"/>
    <s v="Starbucks"/>
    <x v="1"/>
    <n v="1"/>
    <s v="SBUX"/>
    <s v="$83B"/>
    <s v="David"/>
    <n v="7"/>
    <n v="18.36"/>
    <x v="59"/>
    <x v="46"/>
    <n v="374"/>
    <n v="2.8580000000000001"/>
    <s v=""/>
    <n v="1.6859999999999999"/>
    <n v="1.6859999999999999"/>
    <s v=""/>
    <n v="1.1719999999999999"/>
    <n v="1.1719999999999999"/>
    <s v=""/>
    <x v="34"/>
    <n v="0.4"/>
    <s v=""/>
  </r>
  <r>
    <d v="2006-08-18T00:00:00"/>
    <s v="Endurance Specialty (Closed: 07/31/2015) Corporate Action Details"/>
    <x v="0"/>
    <n v="1"/>
    <s v="ENH"/>
    <m/>
    <s v="David"/>
    <m/>
    <n v="23.86"/>
    <x v="60"/>
    <x v="46"/>
    <n v="373"/>
    <n v="2.851"/>
    <s v=""/>
    <n v="1.044"/>
    <n v="1.044"/>
    <s v=""/>
    <n v="1.8080000000000001"/>
    <n v="1.8080000000000001"/>
    <s v=""/>
    <x v="30"/>
    <n v="0.9"/>
    <s v=""/>
  </r>
  <r>
    <d v="2014-07-18T00:00:00"/>
    <s v="Idexx Laboratories"/>
    <x v="1"/>
    <n v="1"/>
    <s v="IDXX"/>
    <s v="$21B"/>
    <s v="David"/>
    <n v="8"/>
    <n v="65.63"/>
    <x v="61"/>
    <x v="47"/>
    <n v="372"/>
    <n v="2.7"/>
    <s v=""/>
    <n v="0.55800000000000005"/>
    <n v="0.55800000000000005"/>
    <s v=""/>
    <n v="2.1419999999999999"/>
    <n v="2.1419999999999999"/>
    <s v=""/>
    <x v="20"/>
    <n v="1.4"/>
    <s v=""/>
  </r>
  <r>
    <d v="2006-01-20T00:00:00"/>
    <s v="Endurance Specialty (Closed: 07/31/2015) Corporate Action Details"/>
    <x v="0"/>
    <n v="1"/>
    <s v="ENH"/>
    <m/>
    <s v="David"/>
    <m/>
    <n v="24.88"/>
    <x v="62"/>
    <x v="47"/>
    <n v="371"/>
    <n v="2.694"/>
    <s v=""/>
    <n v="1.1339999999999999"/>
    <n v="1.1339999999999999"/>
    <s v=""/>
    <n v="1.56"/>
    <n v="1.56"/>
    <s v=""/>
    <x v="28"/>
    <n v="0.7"/>
    <s v=""/>
  </r>
  <r>
    <d v="2008-09-19T00:00:00"/>
    <s v="Activision Blizzard"/>
    <x v="0"/>
    <n v="1"/>
    <s v="ATVI"/>
    <s v="$44B"/>
    <s v="David"/>
    <n v="7"/>
    <n v="15.62"/>
    <x v="63"/>
    <x v="48"/>
    <n v="370"/>
    <n v="2.6709999999999998"/>
    <s v=""/>
    <n v="1.7929999999999999"/>
    <n v="1.7929999999999999"/>
    <s v=""/>
    <n v="0.878"/>
    <n v="0.878"/>
    <s v=""/>
    <x v="37"/>
    <n v="0.3"/>
    <s v=""/>
  </r>
  <r>
    <d v="2017-06-16T00:00:00"/>
    <s v="Paycom Software"/>
    <x v="1"/>
    <n v="1"/>
    <s v="PAYC"/>
    <s v="$14B"/>
    <s v="Tom"/>
    <m/>
    <n v="69.36"/>
    <x v="64"/>
    <x v="49"/>
    <n v="369"/>
    <s v=""/>
    <n v="2.472"/>
    <n v="0.191"/>
    <s v=""/>
    <n v="0.191"/>
    <n v="2.2810000000000001"/>
    <s v=""/>
    <n v="2.2810000000000001"/>
    <x v="22"/>
    <s v=""/>
    <n v="1.9"/>
  </r>
  <r>
    <d v="2005-06-17T00:00:00"/>
    <s v="Paccar (Closed: 01/12/2018)"/>
    <x v="0"/>
    <n v="1"/>
    <s v="PCAR"/>
    <s v="$21B"/>
    <s v="Tom"/>
    <m/>
    <n v="22.3"/>
    <x v="65"/>
    <x v="50"/>
    <n v="368"/>
    <s v=""/>
    <n v="2.4260000000000002"/>
    <n v="1.9830000000000001"/>
    <s v=""/>
    <n v="1.9830000000000001"/>
    <n v="0.443"/>
    <s v=""/>
    <n v="0.443"/>
    <x v="33"/>
    <s v=""/>
    <n v="0.1"/>
  </r>
  <r>
    <d v="2017-10-20T00:00:00"/>
    <s v="The Trade Desk"/>
    <x v="1"/>
    <n v="1"/>
    <s v="TTD"/>
    <s v="$10B"/>
    <s v="Tom"/>
    <m/>
    <n v="63.62"/>
    <x v="66"/>
    <x v="50"/>
    <n v="367"/>
    <s v=""/>
    <n v="2.4039999999999999"/>
    <n v="0.11799999999999999"/>
    <s v=""/>
    <n v="0.11799999999999999"/>
    <n v="2.286"/>
    <s v=""/>
    <n v="2.286"/>
    <x v="38"/>
    <s v=""/>
    <n v="2"/>
  </r>
  <r>
    <d v="2009-05-15T00:00:00"/>
    <s v="Berkshire Hathaway (B shares)"/>
    <x v="0"/>
    <n v="1"/>
    <s v="BRK.B"/>
    <s v="$471B"/>
    <s v="Tom"/>
    <m/>
    <n v="58"/>
    <x v="67"/>
    <x v="51"/>
    <n v="366"/>
    <s v=""/>
    <n v="2.33"/>
    <n v="2.895"/>
    <s v=""/>
    <n v="2.895"/>
    <n v="-0.56499999999999995"/>
    <s v=""/>
    <n v="-0.56499999999999995"/>
    <x v="39"/>
    <s v=""/>
    <n v="-0.1"/>
  </r>
  <r>
    <d v="2018-04-20T00:00:00"/>
    <s v="Shopify"/>
    <x v="1"/>
    <n v="1"/>
    <s v="SHOP"/>
    <s v="$49B"/>
    <s v="Tom"/>
    <m/>
    <n v="126.79"/>
    <x v="68"/>
    <x v="51"/>
    <n v="365"/>
    <s v=""/>
    <n v="2.2989999999999999"/>
    <n v="6.8000000000000005E-2"/>
    <s v=""/>
    <n v="6.8000000000000005E-2"/>
    <n v="2.2309999999999999"/>
    <s v=""/>
    <n v="2.2309999999999999"/>
    <x v="27"/>
    <s v=""/>
    <n v="2.1"/>
  </r>
  <r>
    <d v="2002-10-11T00:00:00"/>
    <s v="Affiliated Managers Group (Closed: 02/17/2006)"/>
    <x v="0"/>
    <n v="1"/>
    <s v="AMG"/>
    <s v="$3B"/>
    <s v="Tom"/>
    <m/>
    <n v="29.01"/>
    <x v="69"/>
    <x v="52"/>
    <n v="364"/>
    <s v=""/>
    <n v="2.2549999999999999"/>
    <n v="0.63700000000000001"/>
    <s v=""/>
    <n v="0.63700000000000001"/>
    <n v="1.6180000000000001"/>
    <s v=""/>
    <n v="1.6180000000000001"/>
    <x v="32"/>
    <s v=""/>
    <n v="1"/>
  </r>
  <r>
    <d v="2009-02-20T00:00:00"/>
    <s v="McKesson"/>
    <x v="0"/>
    <n v="1"/>
    <s v="MCK"/>
    <s v="$23B"/>
    <s v="David"/>
    <n v="12"/>
    <n v="40.86"/>
    <x v="70"/>
    <x v="52"/>
    <n v="363"/>
    <n v="2.23"/>
    <s v=""/>
    <n v="3.492"/>
    <n v="3.492"/>
    <s v=""/>
    <n v="-1.262"/>
    <n v="-1.262"/>
    <s v=""/>
    <x v="40"/>
    <n v="-0.3"/>
    <s v=""/>
  </r>
  <r>
    <d v="2010-11-19T00:00:00"/>
    <s v="Panera Bread Company (Closed: 04/05/2017)"/>
    <x v="1"/>
    <n v="1"/>
    <s v="PNRA"/>
    <s v="N/A Stock quote details"/>
    <s v="David"/>
    <m/>
    <n v="97"/>
    <x v="71"/>
    <x v="52"/>
    <n v="362"/>
    <n v="2.226"/>
    <s v=""/>
    <n v="1.246"/>
    <n v="1.246"/>
    <s v=""/>
    <n v="0.98"/>
    <n v="0.98"/>
    <s v=""/>
    <x v="34"/>
    <n v="0.4"/>
    <s v=""/>
  </r>
  <r>
    <d v="2013-05-17T00:00:00"/>
    <s v="Vail Resorts"/>
    <x v="1"/>
    <n v="1"/>
    <s v="MTN"/>
    <s v="$7B"/>
    <s v="David"/>
    <n v="10"/>
    <n v="57.06"/>
    <x v="72"/>
    <x v="53"/>
    <n v="361"/>
    <n v="2.1890000000000001"/>
    <s v=""/>
    <n v="0.89400000000000002"/>
    <n v="0.89400000000000002"/>
    <s v=""/>
    <n v="1.296"/>
    <n v="1.296"/>
    <s v=""/>
    <x v="28"/>
    <n v="0.7"/>
    <s v=""/>
  </r>
  <r>
    <d v="2012-01-20T00:00:00"/>
    <s v="Ulta Beauty"/>
    <x v="1"/>
    <n v="1"/>
    <s v="ULTA"/>
    <s v="$13B"/>
    <s v="Tom"/>
    <m/>
    <n v="75.42"/>
    <x v="73"/>
    <x v="54"/>
    <n v="360"/>
    <s v=""/>
    <n v="2.125"/>
    <n v="1.474"/>
    <s v=""/>
    <n v="1.474"/>
    <n v="0.65200000000000002"/>
    <s v=""/>
    <n v="0.65200000000000002"/>
    <x v="37"/>
    <s v=""/>
    <n v="0.3"/>
  </r>
  <r>
    <d v="2018-05-03T00:00:00"/>
    <s v="Shopify"/>
    <x v="1"/>
    <n v="1"/>
    <s v="SHOP"/>
    <s v="$49B"/>
    <s v="Tom"/>
    <m/>
    <n v="135.16999999999999"/>
    <x v="74"/>
    <x v="54"/>
    <n v="359"/>
    <s v=""/>
    <n v="2.0950000000000002"/>
    <n v="8.4000000000000005E-2"/>
    <s v=""/>
    <n v="8.4000000000000005E-2"/>
    <n v="2.0110000000000001"/>
    <s v=""/>
    <n v="2.0110000000000001"/>
    <x v="22"/>
    <s v=""/>
    <n v="1.9"/>
  </r>
  <r>
    <d v="2003-07-11T00:00:00"/>
    <s v="Laboratory Corporation of America (Closed: 03/21/2014)"/>
    <x v="0"/>
    <n v="1"/>
    <s v="LH"/>
    <s v="$17B"/>
    <s v="Tom"/>
    <m/>
    <n v="31.48"/>
    <x v="75"/>
    <x v="54"/>
    <n v="358"/>
    <s v=""/>
    <n v="2.0819999999999999"/>
    <n v="1.3280000000000001"/>
    <s v=""/>
    <n v="1.3280000000000001"/>
    <n v="0.754"/>
    <s v=""/>
    <n v="0.754"/>
    <x v="37"/>
    <s v=""/>
    <n v="0.3"/>
  </r>
  <r>
    <d v="2009-01-16T00:00:00"/>
    <s v="National Instruments"/>
    <x v="0"/>
    <n v="1"/>
    <s v="NATI"/>
    <s v="$5B"/>
    <s v="Tom"/>
    <m/>
    <n v="11.53"/>
    <x v="76"/>
    <x v="54"/>
    <n v="357"/>
    <s v=""/>
    <n v="2.073"/>
    <n v="3.085"/>
    <s v=""/>
    <n v="3.085"/>
    <n v="-1.012"/>
    <s v=""/>
    <n v="-1.012"/>
    <x v="41"/>
    <s v=""/>
    <n v="-0.2"/>
  </r>
  <r>
    <d v="2009-10-16T00:00:00"/>
    <s v="Hasbro"/>
    <x v="0"/>
    <n v="1"/>
    <s v="HAS"/>
    <s v="$9B"/>
    <s v="David"/>
    <n v="10"/>
    <n v="21.95"/>
    <x v="77"/>
    <x v="55"/>
    <n v="356"/>
    <n v="2.0169999999999999"/>
    <s v=""/>
    <n v="2.1339999999999999"/>
    <n v="2.1339999999999999"/>
    <s v=""/>
    <n v="-0.11700000000000001"/>
    <n v="-0.11700000000000001"/>
    <s v=""/>
    <x v="35"/>
    <n v="0"/>
    <s v=""/>
  </r>
  <r>
    <d v="2014-12-19T00:00:00"/>
    <s v="Activision Blizzard"/>
    <x v="1"/>
    <n v="1"/>
    <s v="ATVI"/>
    <s v="$44B"/>
    <s v="David"/>
    <n v="7"/>
    <n v="19.5"/>
    <x v="78"/>
    <x v="56"/>
    <n v="355"/>
    <n v="1.94"/>
    <s v=""/>
    <n v="0.47599999999999998"/>
    <n v="0.47599999999999998"/>
    <s v=""/>
    <n v="1.4650000000000001"/>
    <n v="1.4650000000000001"/>
    <s v=""/>
    <x v="32"/>
    <n v="1"/>
    <s v=""/>
  </r>
  <r>
    <d v="2009-01-16T00:00:00"/>
    <s v="Beam (Closed: 04/30/2014)"/>
    <x v="0"/>
    <n v="1"/>
    <s v="BEAM.DL"/>
    <s v="N/A Stock quote details"/>
    <s v="David"/>
    <m/>
    <n v="28.41"/>
    <x v="79"/>
    <x v="56"/>
    <n v="354"/>
    <n v="1.9379999999999999"/>
    <s v=""/>
    <n v="1.484"/>
    <n v="1.484"/>
    <s v=""/>
    <n v="0.45400000000000001"/>
    <n v="0.45400000000000001"/>
    <s v=""/>
    <x v="42"/>
    <n v="0.2"/>
    <s v=""/>
  </r>
  <r>
    <d v="2002-08-09T00:00:00"/>
    <s v="Affiliated Managers Group (Closed: 02/17/2006)"/>
    <x v="0"/>
    <n v="1"/>
    <s v="AMG"/>
    <s v="$3B"/>
    <s v="Tom"/>
    <m/>
    <n v="32.15"/>
    <x v="80"/>
    <x v="56"/>
    <n v="353"/>
    <s v=""/>
    <n v="1.9370000000000001"/>
    <n v="0.51"/>
    <s v=""/>
    <n v="0.51"/>
    <n v="1.4279999999999999"/>
    <s v=""/>
    <n v="1.4279999999999999"/>
    <x v="30"/>
    <s v=""/>
    <n v="0.9"/>
  </r>
  <r>
    <d v="2005-01-21T00:00:00"/>
    <s v="PetSmart (Closed: 02/02/2015)"/>
    <x v="0"/>
    <n v="1"/>
    <s v="PETM.DL"/>
    <s v="N/A Stock quote details"/>
    <s v="David"/>
    <m/>
    <n v="28.38"/>
    <x v="81"/>
    <x v="57"/>
    <n v="352"/>
    <n v="1.8959999999999999"/>
    <s v=""/>
    <n v="1.1339999999999999"/>
    <n v="1.1339999999999999"/>
    <s v=""/>
    <n v="0.76200000000000001"/>
    <n v="0.76200000000000001"/>
    <s v=""/>
    <x v="34"/>
    <n v="0.4"/>
    <s v=""/>
  </r>
  <r>
    <d v="2005-01-21T00:00:00"/>
    <s v="Silicon Laboratories"/>
    <x v="0"/>
    <n v="1"/>
    <s v="SLAB"/>
    <s v="$3B"/>
    <s v="Tom"/>
    <m/>
    <n v="28.26"/>
    <x v="82"/>
    <x v="58"/>
    <n v="351"/>
    <s v=""/>
    <n v="1.8380000000000001"/>
    <n v="2.222"/>
    <s v=""/>
    <n v="2.222"/>
    <n v="-0.38400000000000001"/>
    <s v=""/>
    <n v="-0.38400000000000001"/>
    <x v="39"/>
    <s v=""/>
    <n v="-0.1"/>
  </r>
  <r>
    <d v="2018-04-20T00:00:00"/>
    <s v="Okta"/>
    <x v="1"/>
    <n v="1"/>
    <s v="OKTA"/>
    <s v="$14B"/>
    <s v="David"/>
    <n v="11"/>
    <n v="41.97"/>
    <x v="83"/>
    <x v="59"/>
    <n v="349"/>
    <n v="1.736"/>
    <s v=""/>
    <n v="6.8000000000000005E-2"/>
    <n v="6.8000000000000005E-2"/>
    <s v=""/>
    <n v="1.6679999999999999"/>
    <n v="1.6679999999999999"/>
    <s v=""/>
    <x v="25"/>
    <n v="1.6"/>
    <s v=""/>
  </r>
  <r>
    <d v="2014-06-20T00:00:00"/>
    <s v="Sherwin-Williams"/>
    <x v="1"/>
    <n v="1"/>
    <s v="SHW"/>
    <s v="$44B"/>
    <s v="Tom"/>
    <m/>
    <n v="192.67"/>
    <x v="83"/>
    <x v="59"/>
    <n v="349"/>
    <s v=""/>
    <n v="1.736"/>
    <n v="0.57299999999999995"/>
    <s v=""/>
    <n v="0.57299999999999995"/>
    <n v="1.163"/>
    <s v=""/>
    <n v="1.163"/>
    <x v="28"/>
    <s v=""/>
    <n v="0.7"/>
  </r>
  <r>
    <d v="2008-10-17T00:00:00"/>
    <s v="National Instruments"/>
    <x v="0"/>
    <n v="1"/>
    <s v="NATI"/>
    <s v="$5B"/>
    <s v="Tom"/>
    <m/>
    <n v="13.16"/>
    <x v="84"/>
    <x v="60"/>
    <n v="348"/>
    <s v=""/>
    <n v="1.6919999999999999"/>
    <n v="2.7210000000000001"/>
    <s v=""/>
    <n v="2.7210000000000001"/>
    <n v="-1.028"/>
    <s v=""/>
    <n v="-1.028"/>
    <x v="40"/>
    <s v=""/>
    <n v="-0.3"/>
  </r>
  <r>
    <d v="2007-04-20T00:00:00"/>
    <s v="Berkshire Hathaway (B shares)"/>
    <x v="0"/>
    <n v="1"/>
    <s v="BRK.B"/>
    <s v="$471B"/>
    <s v="Tom"/>
    <m/>
    <n v="72.56"/>
    <x v="85"/>
    <x v="60"/>
    <n v="347"/>
    <s v=""/>
    <n v="1.6619999999999999"/>
    <n v="1.431"/>
    <s v=""/>
    <n v="1.431"/>
    <n v="0.23100000000000001"/>
    <s v=""/>
    <n v="0.23100000000000001"/>
    <x v="33"/>
    <s v=""/>
    <n v="0.1"/>
  </r>
  <r>
    <d v="2018-01-19T00:00:00"/>
    <s v="Paycom Software"/>
    <x v="1"/>
    <n v="1"/>
    <s v="PAYC"/>
    <s v="$14B"/>
    <s v="Tom"/>
    <m/>
    <n v="91.19"/>
    <x v="86"/>
    <x v="61"/>
    <n v="346"/>
    <s v=""/>
    <n v="1.641"/>
    <n v="0.02"/>
    <s v=""/>
    <n v="0.02"/>
    <n v="1.621"/>
    <s v=""/>
    <n v="1.621"/>
    <x v="25"/>
    <s v=""/>
    <n v="1.6"/>
  </r>
  <r>
    <d v="2015-12-18T00:00:00"/>
    <s v="The New York Times"/>
    <x v="1"/>
    <n v="1"/>
    <s v="NYT"/>
    <s v="$6B"/>
    <s v="David"/>
    <n v="10"/>
    <n v="12.9"/>
    <x v="87"/>
    <x v="61"/>
    <n v="345"/>
    <n v="1.625"/>
    <s v=""/>
    <n v="0.49199999999999999"/>
    <n v="0.49199999999999999"/>
    <s v=""/>
    <n v="1.133"/>
    <n v="1.133"/>
    <s v=""/>
    <x v="43"/>
    <n v="0.8"/>
    <s v=""/>
  </r>
  <r>
    <d v="2016-12-16T00:00:00"/>
    <s v="Masimo"/>
    <x v="1"/>
    <n v="1"/>
    <s v="MASI"/>
    <s v="$9B"/>
    <s v="David"/>
    <n v="6"/>
    <n v="66.55"/>
    <x v="88"/>
    <x v="61"/>
    <n v="344"/>
    <n v="1.6040000000000001"/>
    <s v=""/>
    <n v="0.29699999999999999"/>
    <n v="0.29699999999999999"/>
    <s v=""/>
    <n v="1.3080000000000001"/>
    <n v="1.3080000000000001"/>
    <s v=""/>
    <x v="32"/>
    <n v="1"/>
    <s v=""/>
  </r>
  <r>
    <d v="2003-05-09T00:00:00"/>
    <s v="Netflix (Closed: 11/05/2003)"/>
    <x v="0"/>
    <n v="1"/>
    <s v="NFLX"/>
    <s v="$152B"/>
    <s v="David"/>
    <n v="12"/>
    <n v="1.62"/>
    <x v="89"/>
    <x v="62"/>
    <n v="343"/>
    <n v="1.5960000000000001"/>
    <s v=""/>
    <n v="0.13600000000000001"/>
    <n v="0.13600000000000001"/>
    <s v=""/>
    <n v="1.4590000000000001"/>
    <n v="1.4590000000000001"/>
    <s v=""/>
    <x v="44"/>
    <n v="1.3"/>
    <s v=""/>
  </r>
  <r>
    <d v="2012-08-17T00:00:00"/>
    <s v="Booking Holdings"/>
    <x v="1"/>
    <n v="1"/>
    <s v="BKNG"/>
    <s v="$63B"/>
    <s v="Tom"/>
    <m/>
    <n v="588.78"/>
    <x v="90"/>
    <x v="62"/>
    <n v="342"/>
    <s v=""/>
    <n v="1.595"/>
    <n v="1.2649999999999999"/>
    <s v=""/>
    <n v="1.2649999999999999"/>
    <n v="0.33"/>
    <s v=""/>
    <n v="0.33"/>
    <x v="33"/>
    <s v=""/>
    <n v="0.1"/>
  </r>
  <r>
    <d v="2016-12-16T00:00:00"/>
    <s v="Mastercard"/>
    <x v="1"/>
    <n v="1"/>
    <s v="MA"/>
    <s v="$263B"/>
    <s v="Tom"/>
    <m/>
    <n v="101.41"/>
    <x v="91"/>
    <x v="62"/>
    <n v="341"/>
    <s v=""/>
    <n v="1.5840000000000001"/>
    <n v="0.29699999999999999"/>
    <s v=""/>
    <n v="0.29699999999999999"/>
    <n v="1.2869999999999999"/>
    <s v=""/>
    <n v="1.2869999999999999"/>
    <x v="32"/>
    <s v=""/>
    <n v="1"/>
  </r>
  <r>
    <d v="2002-03-08T00:00:00"/>
    <s v="Moody's (Closed: 10/19/2012)"/>
    <x v="0"/>
    <n v="1"/>
    <s v="MCO"/>
    <s v="$40B"/>
    <s v="Tom"/>
    <m/>
    <n v="17.940000000000001"/>
    <x v="92"/>
    <x v="62"/>
    <n v="340"/>
    <s v=""/>
    <n v="1.542"/>
    <n v="0.52100000000000002"/>
    <s v=""/>
    <n v="0.52100000000000002"/>
    <n v="1.022"/>
    <s v=""/>
    <n v="1.022"/>
    <x v="28"/>
    <s v=""/>
    <n v="0.7"/>
  </r>
  <r>
    <d v="2008-04-18T00:00:00"/>
    <s v="MSC Industrial Direct (Closed: 01/12/2018)"/>
    <x v="0"/>
    <n v="1"/>
    <s v="MSM"/>
    <s v="$3B"/>
    <s v="Tom"/>
    <m/>
    <n v="37.85"/>
    <x v="93"/>
    <x v="63"/>
    <n v="339"/>
    <s v=""/>
    <n v="1.5029999999999999"/>
    <n v="1.474"/>
    <s v=""/>
    <n v="1.474"/>
    <n v="2.9000000000000001E-2"/>
    <s v=""/>
    <n v="2.9000000000000001E-2"/>
    <x v="35"/>
    <s v=""/>
    <n v="0"/>
  </r>
  <r>
    <d v="2009-12-18T00:00:00"/>
    <s v="ITC Holdings (Closed: 02/11/2016)"/>
    <x v="0"/>
    <n v="1"/>
    <s v="ITC"/>
    <s v="N/A Stock quote details"/>
    <s v="Tom"/>
    <m/>
    <n v="15.46"/>
    <x v="94"/>
    <x v="64"/>
    <n v="338"/>
    <s v=""/>
    <n v="1.4810000000000001"/>
    <n v="0.88900000000000001"/>
    <s v=""/>
    <n v="0.88900000000000001"/>
    <n v="0.59199999999999997"/>
    <s v=""/>
    <n v="0.59199999999999997"/>
    <x v="37"/>
    <s v=""/>
    <n v="0.3"/>
  </r>
  <r>
    <d v="2014-01-17T00:00:00"/>
    <s v="Cboe Global Markets Inc"/>
    <x v="1"/>
    <n v="1"/>
    <s v="CBOE"/>
    <s v="$12B"/>
    <s v="David"/>
    <n v="8"/>
    <n v="46.04"/>
    <x v="95"/>
    <x v="64"/>
    <n v="337"/>
    <n v="1.427"/>
    <s v=""/>
    <n v="0.69399999999999995"/>
    <n v="0.69399999999999995"/>
    <s v=""/>
    <n v="0.73299999999999998"/>
    <n v="0.73299999999999998"/>
    <s v=""/>
    <x v="34"/>
    <n v="0.4"/>
    <s v=""/>
  </r>
  <r>
    <d v="2004-09-17T00:00:00"/>
    <s v="GameStop (Closed: 10/07/2005) Corporate Action Details"/>
    <x v="0"/>
    <n v="1"/>
    <s v="GME"/>
    <s v="$244M"/>
    <s v="David"/>
    <m/>
    <n v="8.08"/>
    <x v="96"/>
    <x v="65"/>
    <n v="336"/>
    <n v="1.39"/>
    <s v=""/>
    <n v="0.1"/>
    <n v="0.1"/>
    <s v=""/>
    <n v="1.2909999999999999"/>
    <n v="1.2909999999999999"/>
    <s v=""/>
    <x v="24"/>
    <n v="1.2"/>
    <s v=""/>
  </r>
  <r>
    <d v="2008-02-15T00:00:00"/>
    <s v="Whole Foods Market (Closed: 07/25/2017)"/>
    <x v="0"/>
    <n v="1"/>
    <s v="WFM"/>
    <s v="N/A Stock quote details"/>
    <s v="David"/>
    <m/>
    <n v="17.48"/>
    <x v="97"/>
    <x v="65"/>
    <n v="335"/>
    <n v="1.3879999999999999"/>
    <s v=""/>
    <n v="1.252"/>
    <n v="1.252"/>
    <s v=""/>
    <n v="0.13600000000000001"/>
    <n v="0.13600000000000001"/>
    <s v=""/>
    <x v="33"/>
    <n v="0.1"/>
    <s v=""/>
  </r>
  <r>
    <d v="2017-01-20T00:00:00"/>
    <s v="NVIDIA"/>
    <x v="1"/>
    <n v="1"/>
    <s v="NVDA"/>
    <s v="$150B"/>
    <s v="David"/>
    <n v="5"/>
    <n v="102.85"/>
    <x v="98"/>
    <x v="65"/>
    <n v="334"/>
    <n v="1.3859999999999999"/>
    <s v=""/>
    <n v="0.28699999999999998"/>
    <n v="0.28699999999999998"/>
    <s v=""/>
    <n v="1.099"/>
    <n v="1.099"/>
    <s v=""/>
    <x v="30"/>
    <n v="0.9"/>
    <s v=""/>
  </r>
  <r>
    <d v="2008-08-15T00:00:00"/>
    <s v="Precision Castparts (Closed: 01/28/2016)"/>
    <x v="0"/>
    <n v="1"/>
    <s v="PCP.DL"/>
    <s v="N/A Stock quote details"/>
    <s v="Tom"/>
    <m/>
    <n v="99.07"/>
    <x v="99"/>
    <x v="66"/>
    <n v="333"/>
    <s v=""/>
    <n v="1.371"/>
    <n v="0.71499999999999997"/>
    <s v=""/>
    <n v="0.71499999999999997"/>
    <n v="0.65500000000000003"/>
    <s v=""/>
    <n v="0.65500000000000003"/>
    <x v="34"/>
    <s v=""/>
    <n v="0.4"/>
  </r>
  <r>
    <d v="2014-10-17T00:00:00"/>
    <s v="McCormick"/>
    <x v="1"/>
    <n v="1"/>
    <s v="MKC"/>
    <s v="$19B"/>
    <s v="David"/>
    <n v="10"/>
    <n v="61.06"/>
    <x v="100"/>
    <x v="66"/>
    <n v="332"/>
    <n v="1.359"/>
    <s v=""/>
    <n v="0.626"/>
    <n v="0.626"/>
    <s v=""/>
    <n v="0.73299999999999998"/>
    <n v="0.73299999999999998"/>
    <s v=""/>
    <x v="29"/>
    <n v="0.5"/>
    <s v=""/>
  </r>
  <r>
    <d v="2010-03-19T00:00:00"/>
    <s v="Discovery (C shares) Corporate Action Details"/>
    <x v="1"/>
    <n v="1"/>
    <s v="DISCK"/>
    <s v="$16B"/>
    <s v="Tom"/>
    <m/>
    <n v="9.56"/>
    <x v="101"/>
    <x v="66"/>
    <n v="331"/>
    <s v=""/>
    <n v="1.357"/>
    <n v="1.913"/>
    <s v=""/>
    <n v="1.913"/>
    <n v="-0.55600000000000005"/>
    <s v=""/>
    <n v="-0.55600000000000005"/>
    <x v="41"/>
    <s v=""/>
    <n v="-0.2"/>
  </r>
  <r>
    <d v="2009-02-20T00:00:00"/>
    <s v="Jefferies Financial Group Inc. (Closed: 06/17/2011)"/>
    <x v="0"/>
    <n v="1"/>
    <s v="JEF"/>
    <s v="$5B"/>
    <s v="Tom"/>
    <m/>
    <n v="14.18"/>
    <x v="102"/>
    <x v="66"/>
    <n v="330"/>
    <s v=""/>
    <n v="1.3180000000000001"/>
    <n v="0.73299999999999998"/>
    <s v=""/>
    <n v="0.73299999999999998"/>
    <n v="0.58399999999999996"/>
    <s v=""/>
    <n v="0.58399999999999996"/>
    <x v="37"/>
    <s v=""/>
    <n v="0.3"/>
  </r>
  <r>
    <d v="2011-12-16T00:00:00"/>
    <s v="Panera Bread Company (Closed: 04/05/2017)"/>
    <x v="1"/>
    <n v="1"/>
    <s v="PNRA"/>
    <s v="N/A Stock quote details"/>
    <s v="David"/>
    <m/>
    <n v="135.44"/>
    <x v="103"/>
    <x v="67"/>
    <n v="329"/>
    <n v="1.31"/>
    <s v=""/>
    <n v="1.161"/>
    <n v="1.161"/>
    <s v=""/>
    <n v="0.15"/>
    <n v="0.15"/>
    <s v=""/>
    <x v="33"/>
    <n v="0.1"/>
    <s v=""/>
  </r>
  <r>
    <d v="2010-09-17T00:00:00"/>
    <s v="The Timberland Co. (Closed: 09/13/2011)"/>
    <x v="1"/>
    <n v="1"/>
    <s v="TBL.DL"/>
    <s v="N/A Stock quote details"/>
    <s v="Tom"/>
    <m/>
    <n v="18.649999999999999"/>
    <x v="104"/>
    <x v="67"/>
    <n v="328"/>
    <s v=""/>
    <n v="1.3049999999999999"/>
    <n v="6.3E-2"/>
    <s v=""/>
    <n v="6.3E-2"/>
    <n v="1.242"/>
    <s v=""/>
    <n v="1.242"/>
    <x v="24"/>
    <s v=""/>
    <n v="1.2"/>
  </r>
  <r>
    <d v="2008-07-18T00:00:00"/>
    <s v="Linear Technology (Closed: 11/11/2016)"/>
    <x v="0"/>
    <n v="1"/>
    <s v="LLTC"/>
    <s v="N/A Stock quote details"/>
    <s v="Tom"/>
    <m/>
    <n v="26.21"/>
    <x v="105"/>
    <x v="67"/>
    <n v="327"/>
    <s v=""/>
    <n v="1.2969999999999999"/>
    <n v="1.0589999999999999"/>
    <s v=""/>
    <n v="1.0589999999999999"/>
    <n v="0.23799999999999999"/>
    <s v=""/>
    <n v="0.23799999999999999"/>
    <x v="33"/>
    <s v=""/>
    <n v="0.1"/>
  </r>
  <r>
    <d v="2015-05-15T00:00:00"/>
    <s v="Nasdaq"/>
    <x v="1"/>
    <n v="1"/>
    <s v="NDAQ"/>
    <s v="$17B"/>
    <s v="David"/>
    <n v="14"/>
    <n v="46.76"/>
    <x v="106"/>
    <x v="68"/>
    <n v="326"/>
    <n v="1.2609999999999999"/>
    <s v=""/>
    <n v="0.42799999999999999"/>
    <n v="0.42799999999999999"/>
    <s v=""/>
    <n v="0.83299999999999996"/>
    <n v="0.83299999999999996"/>
    <s v=""/>
    <x v="31"/>
    <n v="0.6"/>
    <s v=""/>
  </r>
  <r>
    <d v="2003-01-10T00:00:00"/>
    <s v="FedEx"/>
    <x v="0"/>
    <n v="1"/>
    <s v="FDX"/>
    <s v="$30B"/>
    <s v="David"/>
    <n v="10"/>
    <n v="51.2"/>
    <x v="107"/>
    <x v="68"/>
    <n v="325"/>
    <n v="1.26"/>
    <s v=""/>
    <n v="3.2029999999999998"/>
    <n v="3.2029999999999998"/>
    <s v=""/>
    <n v="-1.944"/>
    <n v="-1.944"/>
    <s v=""/>
    <x v="45"/>
    <n v="-0.5"/>
    <s v=""/>
  </r>
  <r>
    <d v="2008-01-18T00:00:00"/>
    <s v="Tapestry (Closed: 01/12/2018)"/>
    <x v="0"/>
    <n v="1"/>
    <s v="TPR"/>
    <s v="$5B"/>
    <s v="Tom"/>
    <m/>
    <n v="20.28"/>
    <x v="108"/>
    <x v="68"/>
    <n v="324"/>
    <s v=""/>
    <n v="1.258"/>
    <n v="1.609"/>
    <s v=""/>
    <n v="1.609"/>
    <n v="-0.35199999999999998"/>
    <s v=""/>
    <n v="-0.35199999999999998"/>
    <x v="39"/>
    <s v=""/>
    <n v="-0.1"/>
  </r>
  <r>
    <d v="2006-06-16T00:00:00"/>
    <s v="Aflac"/>
    <x v="0"/>
    <n v="1"/>
    <s v="AFL"/>
    <s v="$27B"/>
    <s v="Tom"/>
    <m/>
    <n v="16.809999999999999"/>
    <x v="109"/>
    <x v="68"/>
    <n v="323"/>
    <s v=""/>
    <n v="1.236"/>
    <n v="1.9279999999999999"/>
    <s v=""/>
    <n v="1.9279999999999999"/>
    <n v="-0.69199999999999995"/>
    <s v=""/>
    <n v="-0.69199999999999995"/>
    <x v="41"/>
    <s v=""/>
    <n v="-0.2"/>
  </r>
  <r>
    <d v="2017-04-21T00:00:00"/>
    <s v="Fortinet"/>
    <x v="1"/>
    <n v="1"/>
    <s v="FTNT"/>
    <s v="$15B"/>
    <s v="David"/>
    <n v="9"/>
    <n v="39.53"/>
    <x v="110"/>
    <x v="69"/>
    <n v="322"/>
    <n v="1.204"/>
    <s v=""/>
    <n v="0.23799999999999999"/>
    <n v="0.23799999999999999"/>
    <s v=""/>
    <n v="0.96599999999999997"/>
    <n v="0.96599999999999997"/>
    <s v=""/>
    <x v="43"/>
    <n v="0.8"/>
    <s v=""/>
  </r>
  <r>
    <d v="2009-11-20T00:00:00"/>
    <s v="Aflac"/>
    <x v="0"/>
    <n v="1"/>
    <s v="AFL"/>
    <s v="$27B"/>
    <s v="Tom"/>
    <m/>
    <n v="17.18"/>
    <x v="111"/>
    <x v="69"/>
    <n v="321"/>
    <s v=""/>
    <n v="1.1879999999999999"/>
    <n v="2.1160000000000001"/>
    <s v=""/>
    <n v="2.1160000000000001"/>
    <n v="-0.92800000000000005"/>
    <s v=""/>
    <n v="-0.92800000000000005"/>
    <x v="40"/>
    <s v=""/>
    <n v="-0.3"/>
  </r>
  <r>
    <d v="2013-08-16T00:00:00"/>
    <s v="Texas Roadhouse"/>
    <x v="1"/>
    <n v="1"/>
    <s v="TXRH"/>
    <s v="$3B"/>
    <s v="David"/>
    <n v="6"/>
    <n v="22.2"/>
    <x v="112"/>
    <x v="69"/>
    <n v="320"/>
    <n v="1.1639999999999999"/>
    <s v=""/>
    <n v="0.89700000000000002"/>
    <n v="0.89700000000000002"/>
    <s v=""/>
    <n v="0.26600000000000001"/>
    <n v="0.26600000000000001"/>
    <s v=""/>
    <x v="33"/>
    <n v="0.1"/>
    <s v=""/>
  </r>
  <r>
    <d v="2017-05-19T00:00:00"/>
    <s v="Old Dominion Freight Line"/>
    <x v="1"/>
    <n v="1"/>
    <s v="ODFL"/>
    <s v="$14B"/>
    <s v="David"/>
    <n v="6"/>
    <n v="84.96"/>
    <x v="113"/>
    <x v="70"/>
    <n v="319"/>
    <n v="1.139"/>
    <s v=""/>
    <n v="0.219"/>
    <n v="0.219"/>
    <s v=""/>
    <n v="0.92"/>
    <n v="0.92"/>
    <s v=""/>
    <x v="43"/>
    <n v="0.8"/>
    <s v=""/>
  </r>
  <r>
    <d v="2014-06-20T00:00:00"/>
    <s v="Cognex"/>
    <x v="1"/>
    <n v="1"/>
    <s v="CGNX"/>
    <s v="$7B"/>
    <s v="David"/>
    <n v="9"/>
    <n v="18.57"/>
    <x v="114"/>
    <x v="70"/>
    <n v="318"/>
    <n v="1.1379999999999999"/>
    <s v=""/>
    <n v="0.57299999999999995"/>
    <n v="0.57299999999999995"/>
    <s v=""/>
    <n v="0.56499999999999995"/>
    <n v="0.56499999999999995"/>
    <s v=""/>
    <x v="34"/>
    <n v="0.4"/>
    <s v=""/>
  </r>
  <r>
    <d v="2009-05-15T00:00:00"/>
    <s v="inVentiv Health (Closed: 05/21/2010)"/>
    <x v="0"/>
    <n v="1"/>
    <s v="VTIV.DL"/>
    <s v="N/A Stock quote details"/>
    <s v="David"/>
    <m/>
    <n v="11.57"/>
    <x v="115"/>
    <x v="70"/>
    <n v="317"/>
    <n v="1.1359999999999999"/>
    <s v=""/>
    <n v="0.25800000000000001"/>
    <n v="0.25800000000000001"/>
    <s v=""/>
    <n v="0.878"/>
    <n v="0.878"/>
    <s v=""/>
    <x v="28"/>
    <n v="0.7"/>
    <s v=""/>
  </r>
  <r>
    <d v="2015-02-20T00:00:00"/>
    <s v="Facebook"/>
    <x v="1"/>
    <n v="1"/>
    <s v="FB"/>
    <s v="$483B"/>
    <s v="Tom"/>
    <m/>
    <n v="79.900000000000006"/>
    <x v="116"/>
    <x v="70"/>
    <n v="316"/>
    <s v=""/>
    <n v="1.1220000000000001"/>
    <n v="0.443"/>
    <s v=""/>
    <n v="0.443"/>
    <n v="0.67900000000000005"/>
    <s v=""/>
    <n v="0.67900000000000005"/>
    <x v="29"/>
    <s v=""/>
    <n v="0.5"/>
  </r>
  <r>
    <d v="2013-03-15T00:00:00"/>
    <s v="Gartner"/>
    <x v="1"/>
    <n v="1"/>
    <s v="IT"/>
    <s v="$10B"/>
    <s v="Tom"/>
    <m/>
    <n v="52.09"/>
    <x v="117"/>
    <x v="70"/>
    <n v="315"/>
    <s v=""/>
    <n v="1.1140000000000001"/>
    <n v="1.03"/>
    <s v=""/>
    <n v="1.03"/>
    <n v="8.4000000000000005E-2"/>
    <s v=""/>
    <n v="8.4000000000000005E-2"/>
    <x v="35"/>
    <s v=""/>
    <n v="0"/>
  </r>
  <r>
    <d v="2004-09-17T00:00:00"/>
    <s v="SS&amp;C Technologies (Closed: 11/23/2005)"/>
    <x v="0"/>
    <n v="1"/>
    <s v="SSNC.DL2"/>
    <s v="N/A Stock quote details"/>
    <s v="Tom"/>
    <m/>
    <n v="17.739999999999998"/>
    <x v="118"/>
    <x v="71"/>
    <n v="314"/>
    <s v=""/>
    <n v="1.099"/>
    <n v="0.14599999999999999"/>
    <s v=""/>
    <n v="0.14599999999999999"/>
    <n v="0.95399999999999996"/>
    <s v=""/>
    <n v="0.95399999999999996"/>
    <x v="43"/>
    <s v=""/>
    <n v="0.8"/>
  </r>
  <r>
    <d v="2013-02-15T00:00:00"/>
    <s v="Chipotle Mexican Grill"/>
    <x v="1"/>
    <n v="1"/>
    <s v="CMG"/>
    <s v="$18B"/>
    <s v="Tom"/>
    <m/>
    <n v="314.19"/>
    <x v="119"/>
    <x v="71"/>
    <n v="313"/>
    <s v=""/>
    <n v="1.0940000000000001"/>
    <n v="1.089"/>
    <s v=""/>
    <n v="1.089"/>
    <n v="4.0000000000000001E-3"/>
    <s v=""/>
    <n v="4.0000000000000001E-3"/>
    <x v="35"/>
    <s v=""/>
    <n v="0"/>
  </r>
  <r>
    <d v="2017-12-15T00:00:00"/>
    <s v="Appian"/>
    <x v="1"/>
    <n v="1"/>
    <s v="APPN"/>
    <s v="$3B"/>
    <s v="Tom"/>
    <m/>
    <n v="20.86"/>
    <x v="120"/>
    <x v="71"/>
    <n v="312"/>
    <s v=""/>
    <n v="1.0780000000000001"/>
    <n v="7.1999999999999995E-2"/>
    <s v=""/>
    <n v="7.1999999999999995E-2"/>
    <n v="1.006"/>
    <s v=""/>
    <n v="1.006"/>
    <x v="30"/>
    <s v=""/>
    <n v="0.9"/>
  </r>
  <r>
    <d v="2011-07-15T00:00:00"/>
    <s v="Balchem"/>
    <x v="1"/>
    <n v="1"/>
    <s v="BCPC"/>
    <s v="$3B"/>
    <s v="Tom"/>
    <m/>
    <n v="42.98"/>
    <x v="121"/>
    <x v="71"/>
    <n v="311"/>
    <s v=""/>
    <n v="1.071"/>
    <n v="1.5009999999999999"/>
    <s v=""/>
    <n v="1.5009999999999999"/>
    <n v="-0.43"/>
    <s v=""/>
    <n v="-0.43"/>
    <x v="41"/>
    <s v=""/>
    <n v="-0.2"/>
  </r>
  <r>
    <d v="2006-10-20T00:00:00"/>
    <s v="Dolby Laboratories (Closed: 11/06/2015)"/>
    <x v="0"/>
    <n v="1"/>
    <s v="DLB"/>
    <s v="$6B"/>
    <s v="Tom"/>
    <m/>
    <n v="17.32"/>
    <x v="122"/>
    <x v="71"/>
    <n v="310"/>
    <s v=""/>
    <n v="1.07"/>
    <n v="0.86199999999999999"/>
    <s v=""/>
    <n v="0.86199999999999999"/>
    <n v="0.20899999999999999"/>
    <s v=""/>
    <n v="0.20899999999999999"/>
    <x v="33"/>
    <s v=""/>
    <n v="0.1"/>
  </r>
  <r>
    <d v="2006-07-21T00:00:00"/>
    <s v="Navteq (Closed: 10/01/2007)"/>
    <x v="0"/>
    <n v="1"/>
    <s v="NVT.DL2"/>
    <s v="N/A Stock quote details"/>
    <s v="David"/>
    <m/>
    <n v="37.03"/>
    <x v="123"/>
    <x v="72"/>
    <n v="309"/>
    <n v="1.0640000000000001"/>
    <s v=""/>
    <n v="0.27600000000000002"/>
    <n v="0.27600000000000002"/>
    <s v=""/>
    <n v="0.78900000000000003"/>
    <n v="0.78900000000000003"/>
    <s v=""/>
    <x v="31"/>
    <n v="0.6"/>
    <s v=""/>
  </r>
  <r>
    <d v="2015-04-17T00:00:00"/>
    <s v="Casey's General Stores"/>
    <x v="1"/>
    <n v="1"/>
    <s v="CASY"/>
    <s v="$6B"/>
    <s v="David"/>
    <n v="9"/>
    <n v="83.61"/>
    <x v="124"/>
    <x v="72"/>
    <n v="308"/>
    <n v="1.0569999999999999"/>
    <s v=""/>
    <n v="0.45900000000000002"/>
    <n v="0.45900000000000002"/>
    <s v=""/>
    <n v="0.59799999999999998"/>
    <n v="0.59799999999999998"/>
    <s v=""/>
    <x v="34"/>
    <n v="0.4"/>
    <s v=""/>
  </r>
  <r>
    <d v="2013-04-19T00:00:00"/>
    <s v="Qiagen N.V."/>
    <x v="1"/>
    <n v="1"/>
    <s v="QGEN"/>
    <s v="$9B"/>
    <s v="David"/>
    <n v="14"/>
    <n v="20.57"/>
    <x v="125"/>
    <x v="73"/>
    <n v="307"/>
    <n v="1.0089999999999999"/>
    <s v=""/>
    <n v="1.0349999999999999"/>
    <n v="1.0349999999999999"/>
    <s v=""/>
    <n v="-2.5999999999999999E-2"/>
    <n v="-2.5999999999999999E-2"/>
    <s v=""/>
    <x v="35"/>
    <n v="0"/>
    <s v=""/>
  </r>
  <r>
    <d v="2016-03-18T00:00:00"/>
    <s v="Workday"/>
    <x v="1"/>
    <n v="1"/>
    <s v="WDAY"/>
    <s v="$33B"/>
    <s v="Tom"/>
    <m/>
    <n v="72"/>
    <x v="126"/>
    <x v="73"/>
    <n v="306"/>
    <s v=""/>
    <n v="0.98599999999999999"/>
    <n v="0.45200000000000001"/>
    <s v=""/>
    <n v="0.45200000000000001"/>
    <n v="0.53400000000000003"/>
    <s v=""/>
    <n v="0.53400000000000003"/>
    <x v="34"/>
    <s v=""/>
    <n v="0.4"/>
  </r>
  <r>
    <d v="2010-02-19T00:00:00"/>
    <s v="CoreCivic, Inc. (Closed: 06/21/2013)"/>
    <x v="1"/>
    <n v="1"/>
    <s v="CXW"/>
    <s v="$2B"/>
    <s v="Tom"/>
    <m/>
    <n v="16.68"/>
    <x v="127"/>
    <x v="73"/>
    <n v="305"/>
    <s v=""/>
    <n v="0.98099999999999998"/>
    <n v="0.54100000000000004"/>
    <s v=""/>
    <n v="0.54100000000000004"/>
    <n v="0.44"/>
    <s v=""/>
    <n v="0.44"/>
    <x v="37"/>
    <s v=""/>
    <n v="0.3"/>
  </r>
  <r>
    <d v="2011-09-16T00:00:00"/>
    <s v="Williams-Sonoma"/>
    <x v="1"/>
    <n v="1"/>
    <s v="WSM"/>
    <s v="$4B"/>
    <s v="Tom"/>
    <m/>
    <n v="27.39"/>
    <x v="128"/>
    <x v="74"/>
    <n v="304"/>
    <s v=""/>
    <n v="0.97199999999999998"/>
    <n v="1.696"/>
    <s v=""/>
    <n v="1.696"/>
    <n v="-0.72499999999999998"/>
    <s v=""/>
    <n v="-0.72499999999999998"/>
    <x v="40"/>
    <s v=""/>
    <n v="-0.3"/>
  </r>
  <r>
    <d v="2011-08-19T00:00:00"/>
    <s v="Corning"/>
    <x v="1"/>
    <n v="1"/>
    <s v="GLW"/>
    <s v="$17B"/>
    <s v="David"/>
    <n v="9"/>
    <n v="11.59"/>
    <x v="129"/>
    <x v="74"/>
    <n v="303"/>
    <n v="0.97"/>
    <s v=""/>
    <n v="1.923"/>
    <n v="1.923"/>
    <s v=""/>
    <n v="-0.95399999999999996"/>
    <n v="-0.95399999999999996"/>
    <s v=""/>
    <x v="40"/>
    <n v="-0.3"/>
    <s v=""/>
  </r>
  <r>
    <d v="2008-05-16T00:00:00"/>
    <s v="Express Scripts (Closed: 03/30/2012) Corporate Action Details"/>
    <x v="0"/>
    <n v="1"/>
    <s v="ESRX"/>
    <m/>
    <s v="David"/>
    <m/>
    <n v="36.11"/>
    <x v="130"/>
    <x v="74"/>
    <n v="302"/>
    <n v="0.94399999999999995"/>
    <s v=""/>
    <n v="0.80100000000000005"/>
    <n v="0.80100000000000005"/>
    <s v=""/>
    <n v="0.14299999999999999"/>
    <n v="0.14299999999999999"/>
    <s v=""/>
    <x v="33"/>
    <n v="0.1"/>
    <s v=""/>
  </r>
  <r>
    <d v="2014-02-21T00:00:00"/>
    <s v="WhiteWave Foods (Closed: 12/09/2016)"/>
    <x v="1"/>
    <n v="1"/>
    <s v="WWAV"/>
    <s v="N/A Stock quote details"/>
    <s v="Tom"/>
    <m/>
    <n v="28.73"/>
    <x v="131"/>
    <x v="75"/>
    <n v="301"/>
    <s v=""/>
    <n v="0.92300000000000004"/>
    <n v="0.30499999999999999"/>
    <s v=""/>
    <n v="0.30499999999999999"/>
    <n v="0.61799999999999999"/>
    <s v=""/>
    <n v="0.61799999999999999"/>
    <x v="29"/>
    <s v=""/>
    <n v="0.5"/>
  </r>
  <r>
    <d v="2018-02-16T00:00:00"/>
    <s v="Fair Isaac"/>
    <x v="1"/>
    <n v="1"/>
    <s v="FICO"/>
    <s v="$9B"/>
    <s v="David"/>
    <n v="10"/>
    <n v="166.48"/>
    <x v="132"/>
    <x v="75"/>
    <n v="300"/>
    <n v="0.89700000000000002"/>
    <s v=""/>
    <n v="4.7E-2"/>
    <n v="4.7E-2"/>
    <s v=""/>
    <n v="0.85"/>
    <n v="0.85"/>
    <s v=""/>
    <x v="43"/>
    <n v="0.8"/>
    <s v=""/>
  </r>
  <r>
    <d v="2011-01-21T00:00:00"/>
    <s v="Tennant Company"/>
    <x v="1"/>
    <n v="1"/>
    <s v="TNC"/>
    <s v="$1B"/>
    <s v="Tom"/>
    <m/>
    <n v="33.729999999999997"/>
    <x v="133"/>
    <x v="75"/>
    <n v="299"/>
    <s v=""/>
    <n v="0.89"/>
    <n v="1.59"/>
    <s v=""/>
    <n v="1.59"/>
    <n v="-0.7"/>
    <s v=""/>
    <n v="-0.7"/>
    <x v="40"/>
    <s v=""/>
    <n v="-0.3"/>
  </r>
  <r>
    <d v="2015-10-16T00:00:00"/>
    <s v="Roper Technologies"/>
    <x v="1"/>
    <n v="1"/>
    <s v="ROP"/>
    <s v="$33B"/>
    <s v="Tom"/>
    <m/>
    <n v="169.21"/>
    <x v="134"/>
    <x v="76"/>
    <n v="298"/>
    <s v=""/>
    <n v="0.86299999999999999"/>
    <n v="0.47799999999999998"/>
    <s v=""/>
    <n v="0.47799999999999998"/>
    <n v="0.38600000000000001"/>
    <s v=""/>
    <n v="0.38600000000000001"/>
    <x v="37"/>
    <s v=""/>
    <n v="0.3"/>
  </r>
  <r>
    <d v="2006-08-18T00:00:00"/>
    <s v="Dolby Laboratories (Closed: 10/18/2013)"/>
    <x v="0"/>
    <n v="1"/>
    <s v="DLB"/>
    <s v="$6B"/>
    <s v="Tom"/>
    <m/>
    <n v="19.07"/>
    <x v="135"/>
    <x v="76"/>
    <n v="297"/>
    <s v=""/>
    <n v="0.85199999999999998"/>
    <n v="0.56299999999999994"/>
    <s v=""/>
    <n v="0.56299999999999994"/>
    <n v="0.28899999999999998"/>
    <s v=""/>
    <n v="0.28899999999999998"/>
    <x v="42"/>
    <s v=""/>
    <n v="0.2"/>
  </r>
  <r>
    <d v="2015-07-17T00:00:00"/>
    <s v="CSX (Closed: 12/01/2017)"/>
    <x v="1"/>
    <n v="1"/>
    <s v="CSX"/>
    <s v="$47B"/>
    <s v="Tom"/>
    <m/>
    <n v="30.48"/>
    <x v="136"/>
    <x v="76"/>
    <n v="296"/>
    <s v=""/>
    <n v="0.84199999999999997"/>
    <n v="0.307"/>
    <s v=""/>
    <n v="0.307"/>
    <n v="0.53500000000000003"/>
    <s v=""/>
    <n v="0.53500000000000003"/>
    <x v="34"/>
    <s v=""/>
    <n v="0.4"/>
  </r>
  <r>
    <d v="2006-11-17T00:00:00"/>
    <s v="Omniture (Closed: 10/16/2009)"/>
    <x v="0"/>
    <n v="1"/>
    <s v="OMTR.DL"/>
    <s v="N/A Stock quote details"/>
    <s v="David"/>
    <m/>
    <n v="11.8"/>
    <x v="137"/>
    <x v="77"/>
    <n v="295"/>
    <n v="0.81599999999999995"/>
    <s v=""/>
    <n v="-0.17199999999999999"/>
    <n v="-0.17199999999999999"/>
    <s v=""/>
    <n v="0.98799999999999999"/>
    <n v="0.98799999999999999"/>
    <s v=""/>
    <x v="24"/>
    <n v="1.2"/>
    <s v=""/>
  </r>
  <r>
    <d v="2013-03-15T00:00:00"/>
    <s v="CarMax"/>
    <x v="1"/>
    <n v="1"/>
    <s v="KMX"/>
    <s v="$12B"/>
    <s v="David"/>
    <n v="14"/>
    <n v="41.66"/>
    <x v="138"/>
    <x v="77"/>
    <n v="294"/>
    <n v="0.80500000000000005"/>
    <s v=""/>
    <n v="1.03"/>
    <n v="1.03"/>
    <s v=""/>
    <n v="-0.22500000000000001"/>
    <n v="-0.22500000000000001"/>
    <s v=""/>
    <x v="39"/>
    <n v="-0.1"/>
    <s v=""/>
  </r>
  <r>
    <d v="2012-05-16T00:00:00"/>
    <s v="Robert Half International"/>
    <x v="1"/>
    <n v="1"/>
    <s v="RHI"/>
    <s v="$5B"/>
    <s v="Tom"/>
    <m/>
    <n v="24.76"/>
    <x v="139"/>
    <x v="77"/>
    <n v="293"/>
    <s v=""/>
    <n v="0.80400000000000005"/>
    <n v="1.4379999999999999"/>
    <s v=""/>
    <n v="1.4379999999999999"/>
    <n v="-0.63400000000000001"/>
    <s v=""/>
    <n v="-0.63400000000000001"/>
    <x v="40"/>
    <s v=""/>
    <n v="-0.3"/>
  </r>
  <r>
    <d v="2016-07-15T00:00:00"/>
    <s v="T-Mobile US"/>
    <x v="1"/>
    <n v="1"/>
    <s v="TMUS"/>
    <s v="$68B"/>
    <s v="David"/>
    <n v="12"/>
    <n v="44.41"/>
    <x v="140"/>
    <x v="78"/>
    <n v="292"/>
    <n v="0.79600000000000004"/>
    <s v=""/>
    <n v="0.36699999999999999"/>
    <n v="0.36699999999999999"/>
    <s v=""/>
    <n v="0.42899999999999999"/>
    <n v="0.42899999999999999"/>
    <s v=""/>
    <x v="37"/>
    <n v="0.3"/>
    <s v=""/>
  </r>
  <r>
    <d v="2007-03-16T00:00:00"/>
    <s v="Meritage Homes"/>
    <x v="0"/>
    <n v="1"/>
    <s v="MTH"/>
    <s v="$2B"/>
    <s v="Tom"/>
    <m/>
    <n v="32.340000000000003"/>
    <x v="141"/>
    <x v="78"/>
    <n v="291"/>
    <s v=""/>
    <n v="0.77300000000000002"/>
    <n v="1.6040000000000001"/>
    <s v=""/>
    <n v="1.6040000000000001"/>
    <n v="-0.83099999999999996"/>
    <s v=""/>
    <n v="-0.83099999999999996"/>
    <x v="40"/>
    <s v=""/>
    <n v="-0.3"/>
  </r>
  <r>
    <d v="2005-07-15T00:00:00"/>
    <s v="DreamWorks Animation (Closed: 06/27/2016)"/>
    <x v="0"/>
    <n v="1"/>
    <s v="DWA"/>
    <s v="N/A Stock quote details"/>
    <s v="David"/>
    <m/>
    <n v="23"/>
    <x v="142"/>
    <x v="78"/>
    <n v="290"/>
    <n v="0.77"/>
    <s v=""/>
    <n v="1.054"/>
    <n v="1.054"/>
    <s v=""/>
    <n v="-0.28299999999999997"/>
    <n v="-0.28299999999999997"/>
    <s v=""/>
    <x v="39"/>
    <n v="-0.1"/>
    <s v=""/>
  </r>
  <r>
    <d v="2011-09-16T00:00:00"/>
    <s v="Cummins"/>
    <x v="1"/>
    <n v="1"/>
    <s v="CMI"/>
    <s v="$21B"/>
    <s v="David"/>
    <n v="9"/>
    <n v="78.81"/>
    <x v="143"/>
    <x v="78"/>
    <n v="289"/>
    <n v="0.76700000000000002"/>
    <s v=""/>
    <n v="1.696"/>
    <n v="1.696"/>
    <s v=""/>
    <n v="-0.92900000000000005"/>
    <n v="-0.92900000000000005"/>
    <s v=""/>
    <x v="40"/>
    <n v="-0.3"/>
    <s v=""/>
  </r>
  <r>
    <d v="2017-01-20T00:00:00"/>
    <s v="Rollins"/>
    <x v="1"/>
    <n v="1"/>
    <s v="ROL"/>
    <s v="$13B"/>
    <s v="Tom"/>
    <m/>
    <n v="21.8"/>
    <x v="144"/>
    <x v="79"/>
    <n v="288"/>
    <s v=""/>
    <n v="0.75600000000000001"/>
    <n v="0.28699999999999998"/>
    <s v=""/>
    <n v="0.28699999999999998"/>
    <n v="0.46899999999999997"/>
    <s v=""/>
    <n v="0.46899999999999997"/>
    <x v="34"/>
    <s v=""/>
    <n v="0.4"/>
  </r>
  <r>
    <d v="2012-02-17T00:00:00"/>
    <s v="WisdomTree Investments (Closed: 05/30/2018)"/>
    <x v="1"/>
    <n v="1"/>
    <s v="WETF"/>
    <s v="$501M"/>
    <s v="Tom"/>
    <m/>
    <n v="6.34"/>
    <x v="145"/>
    <x v="79"/>
    <n v="287"/>
    <s v=""/>
    <n v="0.74199999999999999"/>
    <n v="1.284"/>
    <s v=""/>
    <n v="1.284"/>
    <n v="-0.54300000000000004"/>
    <s v=""/>
    <n v="-0.54300000000000004"/>
    <x v="41"/>
    <s v=""/>
    <n v="-0.2"/>
  </r>
  <r>
    <d v="2002-09-06T00:00:00"/>
    <s v="Sanderson Farms (Closed: 08/20/2003)"/>
    <x v="0"/>
    <n v="1"/>
    <s v="SAFM"/>
    <s v="$3B"/>
    <s v="Tom"/>
    <m/>
    <n v="11.44"/>
    <x v="146"/>
    <x v="79"/>
    <n v="286"/>
    <s v=""/>
    <n v="0.74099999999999999"/>
    <n v="0.13900000000000001"/>
    <s v=""/>
    <n v="0.13900000000000001"/>
    <n v="0.60199999999999998"/>
    <s v=""/>
    <n v="0.60199999999999998"/>
    <x v="29"/>
    <s v=""/>
    <n v="0.5"/>
  </r>
  <r>
    <d v="2016-02-19T00:00:00"/>
    <s v="Alphabet (C shares)"/>
    <x v="1"/>
    <n v="1"/>
    <s v="GOOG"/>
    <s v="$836B"/>
    <s v="Tom"/>
    <m/>
    <n v="700.91"/>
    <x v="147"/>
    <x v="79"/>
    <n v="285"/>
    <s v=""/>
    <n v="0.73399999999999999"/>
    <n v="0.55400000000000005"/>
    <s v=""/>
    <n v="0.55400000000000005"/>
    <n v="0.18"/>
    <s v=""/>
    <n v="0.18"/>
    <x v="33"/>
    <s v=""/>
    <n v="0.1"/>
  </r>
  <r>
    <d v="2009-06-19T00:00:00"/>
    <s v="Omniture (Closed: 10/16/2009)"/>
    <x v="0"/>
    <n v="1"/>
    <s v="OMTR.DL"/>
    <s v="N/A Stock quote details"/>
    <s v="David"/>
    <m/>
    <n v="12.37"/>
    <x v="148"/>
    <x v="79"/>
    <n v="284"/>
    <n v="0.73199999999999998"/>
    <s v=""/>
    <n v="0.189"/>
    <n v="0.189"/>
    <s v=""/>
    <n v="0.54400000000000004"/>
    <n v="0.54400000000000004"/>
    <s v=""/>
    <x v="29"/>
    <n v="0.5"/>
    <s v=""/>
  </r>
  <r>
    <d v="2016-03-18T00:00:00"/>
    <s v="Illumina"/>
    <x v="1"/>
    <n v="1"/>
    <s v="ILMN"/>
    <s v="$38B"/>
    <s v="David"/>
    <n v="8"/>
    <n v="150.24"/>
    <x v="149"/>
    <x v="79"/>
    <n v="283"/>
    <n v="0.72899999999999998"/>
    <s v=""/>
    <n v="0.45200000000000001"/>
    <n v="0.45200000000000001"/>
    <s v=""/>
    <n v="0.27800000000000002"/>
    <n v="0.27800000000000002"/>
    <s v=""/>
    <x v="42"/>
    <n v="0.2"/>
    <s v=""/>
  </r>
  <r>
    <d v="2009-03-20T00:00:00"/>
    <s v="Western Union (Closed: 02/10/2015)"/>
    <x v="0"/>
    <n v="1"/>
    <s v="WU"/>
    <s v="$8B"/>
    <s v="Tom"/>
    <m/>
    <n v="10.65"/>
    <x v="150"/>
    <x v="79"/>
    <n v="282"/>
    <s v=""/>
    <n v="0.72799999999999998"/>
    <n v="2.048"/>
    <s v=""/>
    <n v="2.048"/>
    <n v="-1.32"/>
    <s v=""/>
    <n v="-1.32"/>
    <x v="46"/>
    <s v=""/>
    <n v="-0.4"/>
  </r>
  <r>
    <d v="2007-06-15T00:00:00"/>
    <s v="Navteq (Closed: 10/01/2007)"/>
    <x v="0"/>
    <n v="1"/>
    <s v="NVT.DL2"/>
    <s v="N/A Stock quote details"/>
    <s v="David"/>
    <m/>
    <n v="44.3"/>
    <x v="151"/>
    <x v="79"/>
    <n v="281"/>
    <n v="0.72599999999999998"/>
    <s v=""/>
    <n v="1.4E-2"/>
    <n v="1.4E-2"/>
    <s v=""/>
    <n v="0.71099999999999997"/>
    <n v="0.71099999999999997"/>
    <s v=""/>
    <x v="28"/>
    <n v="0.7"/>
    <s v=""/>
  </r>
  <r>
    <d v="2016-10-21T00:00:00"/>
    <s v="Nike"/>
    <x v="1"/>
    <n v="1"/>
    <s v="NKE"/>
    <s v="$131B"/>
    <s v="Tom"/>
    <m/>
    <n v="49.67"/>
    <x v="152"/>
    <x v="80"/>
    <n v="280"/>
    <s v=""/>
    <n v="0.69299999999999995"/>
    <n v="0.373"/>
    <s v=""/>
    <n v="0.373"/>
    <n v="0.32100000000000001"/>
    <s v=""/>
    <n v="0.32100000000000001"/>
    <x v="42"/>
    <s v=""/>
    <n v="0.2"/>
  </r>
  <r>
    <d v="2014-10-17T00:00:00"/>
    <s v="Markel"/>
    <x v="1"/>
    <n v="1"/>
    <s v="MKL"/>
    <s v="$15B"/>
    <s v="Tom"/>
    <m/>
    <n v="647"/>
    <x v="153"/>
    <x v="80"/>
    <n v="279"/>
    <s v=""/>
    <n v="0.69099999999999995"/>
    <n v="0.626"/>
    <s v=""/>
    <n v="0.626"/>
    <n v="6.5000000000000002E-2"/>
    <s v=""/>
    <n v="6.5000000000000002E-2"/>
    <x v="35"/>
    <s v=""/>
    <n v="0"/>
  </r>
  <r>
    <d v="2005-04-15T00:00:00"/>
    <s v="CDW (Closed: 10/12/2007)"/>
    <x v="0"/>
    <n v="1"/>
    <s v="CDWC.DL"/>
    <s v="N/A Stock quote details"/>
    <s v="Tom"/>
    <m/>
    <n v="51.95"/>
    <x v="154"/>
    <x v="80"/>
    <n v="278"/>
    <s v=""/>
    <n v="0.68899999999999995"/>
    <n v="0.432"/>
    <s v=""/>
    <n v="0.432"/>
    <n v="0.25700000000000001"/>
    <s v=""/>
    <n v="0.25700000000000001"/>
    <x v="42"/>
    <s v=""/>
    <n v="0.2"/>
  </r>
  <r>
    <d v="2009-04-17T00:00:00"/>
    <s v="Teradata (Closed: 06/17/2016)"/>
    <x v="0"/>
    <n v="1"/>
    <s v="TDC"/>
    <s v="$2B"/>
    <s v="Tom"/>
    <m/>
    <n v="16.39"/>
    <x v="155"/>
    <x v="80"/>
    <n v="277"/>
    <s v=""/>
    <n v="0.68799999999999994"/>
    <n v="1.774"/>
    <s v=""/>
    <n v="1.774"/>
    <n v="-1.0860000000000001"/>
    <s v=""/>
    <n v="-1.0860000000000001"/>
    <x v="46"/>
    <s v=""/>
    <n v="-0.4"/>
  </r>
  <r>
    <d v="2005-11-18T00:00:00"/>
    <s v="NextGen Healthcare Inc. (Closed: 11/20/2009)"/>
    <x v="0"/>
    <n v="1"/>
    <s v="NXGN"/>
    <s v="$610M"/>
    <s v="Tom"/>
    <m/>
    <n v="18.420000000000002"/>
    <x v="156"/>
    <x v="81"/>
    <n v="276"/>
    <s v=""/>
    <n v="0.65400000000000003"/>
    <n v="-4.7E-2"/>
    <s v=""/>
    <n v="-4.7E-2"/>
    <n v="0.70099999999999996"/>
    <s v=""/>
    <n v="0.70099999999999996"/>
    <x v="28"/>
    <s v=""/>
    <n v="0.7"/>
  </r>
  <r>
    <d v="2009-08-21T00:00:00"/>
    <s v="Edgewell Personal Care (Closed: 11/15/2013)"/>
    <x v="0"/>
    <n v="1"/>
    <s v="EPC"/>
    <s v="$2B"/>
    <s v="Tom"/>
    <m/>
    <n v="64.39"/>
    <x v="157"/>
    <x v="81"/>
    <n v="275"/>
    <s v=""/>
    <n v="0.64700000000000002"/>
    <n v="0.91600000000000004"/>
    <s v=""/>
    <n v="0.91600000000000004"/>
    <n v="-0.26900000000000002"/>
    <s v=""/>
    <n v="-0.26900000000000002"/>
    <x v="39"/>
    <s v=""/>
    <n v="-0.1"/>
  </r>
  <r>
    <d v="2005-09-16T00:00:00"/>
    <s v="Family Dollar Stores (Closed: 05/18/2007)"/>
    <x v="0"/>
    <n v="1"/>
    <s v="FDO.DL"/>
    <s v="N/A Stock quote details"/>
    <s v="Tom"/>
    <m/>
    <n v="20.73"/>
    <x v="158"/>
    <x v="82"/>
    <n v="274"/>
    <s v=""/>
    <n v="0.61599999999999999"/>
    <n v="0.27"/>
    <s v=""/>
    <n v="0.27"/>
    <n v="0.34699999999999998"/>
    <s v=""/>
    <n v="0.34699999999999998"/>
    <x v="37"/>
    <s v=""/>
    <n v="0.3"/>
  </r>
  <r>
    <d v="2016-06-17T00:00:00"/>
    <s v="Ecolab"/>
    <x v="1"/>
    <n v="1"/>
    <s v="ECL"/>
    <s v="$53B"/>
    <s v="David"/>
    <n v="8"/>
    <n v="114.09"/>
    <x v="159"/>
    <x v="82"/>
    <n v="273"/>
    <n v="0.61099999999999999"/>
    <s v=""/>
    <n v="0.42899999999999999"/>
    <n v="0.42899999999999999"/>
    <s v=""/>
    <n v="0.183"/>
    <n v="0.183"/>
    <s v=""/>
    <x v="33"/>
    <n v="0.1"/>
    <s v=""/>
  </r>
  <r>
    <d v="2017-11-17T00:00:00"/>
    <s v="CME Group"/>
    <x v="1"/>
    <n v="1"/>
    <s v="CME"/>
    <s v="$73B"/>
    <s v="David"/>
    <n v="9"/>
    <n v="128.11000000000001"/>
    <x v="160"/>
    <x v="83"/>
    <n v="272"/>
    <n v="0.6"/>
    <s v=""/>
    <n v="0.114"/>
    <n v="0.114"/>
    <s v=""/>
    <n v="0.48499999999999999"/>
    <n v="0.48499999999999999"/>
    <s v=""/>
    <x v="34"/>
    <n v="0.4"/>
    <s v=""/>
  </r>
  <r>
    <d v="2015-01-16T00:00:00"/>
    <s v="RPM International"/>
    <x v="1"/>
    <n v="1"/>
    <s v="RPM"/>
    <s v="$8B"/>
    <s v="David"/>
    <n v="14"/>
    <n v="40.93"/>
    <x v="161"/>
    <x v="83"/>
    <n v="271"/>
    <n v="0.59499999999999997"/>
    <s v=""/>
    <n v="0.51100000000000001"/>
    <n v="0.51100000000000001"/>
    <s v=""/>
    <n v="8.4000000000000005E-2"/>
    <n v="8.4000000000000005E-2"/>
    <s v=""/>
    <x v="33"/>
    <n v="0.1"/>
    <s v=""/>
  </r>
  <r>
    <d v="2015-09-18T00:00:00"/>
    <s v="Marriott International"/>
    <x v="1"/>
    <n v="1"/>
    <s v="MAR"/>
    <s v="$34B"/>
    <s v="Tom"/>
    <m/>
    <n v="65.45"/>
    <x v="162"/>
    <x v="83"/>
    <n v="269"/>
    <s v=""/>
    <n v="0.59199999999999997"/>
    <n v="0.53700000000000003"/>
    <s v=""/>
    <n v="0.53700000000000003"/>
    <n v="5.5E-2"/>
    <s v=""/>
    <n v="5.5E-2"/>
    <x v="35"/>
    <s v=""/>
    <n v="0"/>
  </r>
  <r>
    <d v="2012-03-16T00:00:00"/>
    <s v="Polaris Industries (Closed: 02/07/2020)"/>
    <x v="1"/>
    <n v="1"/>
    <s v="PII"/>
    <s v="$5B"/>
    <s v="Tom"/>
    <m/>
    <n v="56.77"/>
    <x v="162"/>
    <x v="83"/>
    <n v="269"/>
    <s v=""/>
    <n v="0.59199999999999997"/>
    <n v="1.792"/>
    <s v=""/>
    <n v="1.792"/>
    <n v="-1.2"/>
    <s v=""/>
    <n v="-1.2"/>
    <x v="46"/>
    <s v=""/>
    <n v="-0.4"/>
  </r>
  <r>
    <d v="2014-12-19T00:00:00"/>
    <s v="Interactive Brokers"/>
    <x v="1"/>
    <n v="1"/>
    <s v="IBKR"/>
    <s v="$18B"/>
    <s v="Tom"/>
    <m/>
    <n v="27.7"/>
    <x v="163"/>
    <x v="83"/>
    <n v="268"/>
    <s v=""/>
    <n v="0.58499999999999996"/>
    <n v="0.47599999999999998"/>
    <s v=""/>
    <n v="0.47599999999999998"/>
    <n v="0.11"/>
    <s v=""/>
    <n v="0.11"/>
    <x v="33"/>
    <s v=""/>
    <n v="0.1"/>
  </r>
  <r>
    <d v="2009-03-20T00:00:00"/>
    <s v="Pharmaceutical Product Development (Closed: 12/05/2011)"/>
    <x v="0"/>
    <n v="1"/>
    <s v="PPDI.DL"/>
    <s v="N/A Stock quote details"/>
    <s v="David"/>
    <m/>
    <n v="21.01"/>
    <x v="164"/>
    <x v="83"/>
    <n v="266"/>
    <n v="0.58199999999999996"/>
    <s v=""/>
    <n v="0.73099999999999998"/>
    <n v="0.73099999999999998"/>
    <s v=""/>
    <n v="-0.14899999999999999"/>
    <n v="-0.14899999999999999"/>
    <s v=""/>
    <x v="39"/>
    <n v="-0.1"/>
    <s v=""/>
  </r>
  <r>
    <d v="2004-02-20T00:00:00"/>
    <s v="Reebok International (Closed: 01/27/2006)"/>
    <x v="0"/>
    <n v="1"/>
    <s v="RBK.DL"/>
    <s v="N/A Stock quote details"/>
    <s v="Tom"/>
    <m/>
    <n v="37.270000000000003"/>
    <x v="164"/>
    <x v="83"/>
    <n v="266"/>
    <s v=""/>
    <n v="0.58199999999999996"/>
    <n v="0.161"/>
    <s v=""/>
    <n v="0.161"/>
    <n v="0.42099999999999999"/>
    <s v=""/>
    <n v="0.42099999999999999"/>
    <x v="34"/>
    <s v=""/>
    <n v="0.4"/>
  </r>
  <r>
    <d v="2015-03-20T00:00:00"/>
    <s v="RH"/>
    <x v="1"/>
    <n v="1"/>
    <s v="RH"/>
    <s v="$3B"/>
    <s v="David"/>
    <n v="13"/>
    <n v="93.75"/>
    <x v="165"/>
    <x v="83"/>
    <n v="265"/>
    <n v="0.57599999999999996"/>
    <s v=""/>
    <n v="0.442"/>
    <n v="0.442"/>
    <s v=""/>
    <n v="0.13400000000000001"/>
    <n v="0.13400000000000001"/>
    <s v=""/>
    <x v="33"/>
    <n v="0.1"/>
    <s v=""/>
  </r>
  <r>
    <d v="2010-10-15T00:00:00"/>
    <s v="Federated Investors (Closed: 05/18/2018)"/>
    <x v="1"/>
    <n v="1"/>
    <s v="FII"/>
    <s v="$2B"/>
    <s v="Tom"/>
    <m/>
    <n v="15.85"/>
    <x v="166"/>
    <x v="84"/>
    <n v="264"/>
    <s v=""/>
    <n v="0.56499999999999995"/>
    <n v="1.7070000000000001"/>
    <s v=""/>
    <n v="1.7070000000000001"/>
    <n v="-1.1419999999999999"/>
    <s v=""/>
    <n v="-1.1419999999999999"/>
    <x v="46"/>
    <s v=""/>
    <n v="-0.4"/>
  </r>
  <r>
    <d v="2014-03-21T00:00:00"/>
    <s v="Littelfuse"/>
    <x v="1"/>
    <n v="1"/>
    <s v="LFUS"/>
    <s v="$3B"/>
    <s v="David"/>
    <n v="10"/>
    <n v="90.8"/>
    <x v="167"/>
    <x v="84"/>
    <n v="263"/>
    <n v="0.56399999999999995"/>
    <s v=""/>
    <n v="0.66200000000000003"/>
    <n v="0.66200000000000003"/>
    <s v=""/>
    <n v="-9.9000000000000005E-2"/>
    <n v="-9.9000000000000005E-2"/>
    <s v=""/>
    <x v="39"/>
    <n v="-0.1"/>
    <s v=""/>
  </r>
  <r>
    <d v="2008-08-15T00:00:00"/>
    <s v="Titanium Metals (Closed: 01/07/2013)"/>
    <x v="0"/>
    <n v="1"/>
    <s v="TIE.DL"/>
    <s v="N/A Stock quote details"/>
    <s v="David"/>
    <m/>
    <n v="10.56"/>
    <x v="168"/>
    <x v="84"/>
    <n v="262"/>
    <n v="0.56299999999999994"/>
    <s v=""/>
    <n v="0.24299999999999999"/>
    <n v="0.24299999999999999"/>
    <s v=""/>
    <n v="0.32"/>
    <n v="0.32"/>
    <s v=""/>
    <x v="37"/>
    <n v="0.3"/>
    <s v=""/>
  </r>
  <r>
    <d v="2007-08-17T00:00:00"/>
    <s v="Copart (Closed: 12/16/2011)"/>
    <x v="0"/>
    <n v="1"/>
    <s v="CPRT"/>
    <s v="$18B"/>
    <s v="Tom"/>
    <m/>
    <n v="7.46"/>
    <x v="169"/>
    <x v="84"/>
    <n v="261"/>
    <s v=""/>
    <n v="0.54600000000000004"/>
    <n v="-7.1999999999999995E-2"/>
    <s v=""/>
    <n v="-7.1999999999999995E-2"/>
    <n v="0.61799999999999999"/>
    <s v=""/>
    <n v="0.61799999999999999"/>
    <x v="28"/>
    <s v=""/>
    <n v="0.7"/>
  </r>
  <r>
    <d v="2015-01-16T00:00:00"/>
    <s v="XPO Logistics"/>
    <x v="1"/>
    <n v="1"/>
    <s v="XPO"/>
    <s v="$5B"/>
    <s v="Tom"/>
    <m/>
    <n v="37.56"/>
    <x v="170"/>
    <x v="84"/>
    <n v="260"/>
    <s v=""/>
    <n v="0.53900000000000003"/>
    <n v="0.51100000000000001"/>
    <s v=""/>
    <n v="0.51100000000000001"/>
    <n v="2.8000000000000001E-2"/>
    <s v=""/>
    <n v="2.8000000000000001E-2"/>
    <x v="35"/>
    <s v=""/>
    <n v="0"/>
  </r>
  <r>
    <d v="2005-08-19T00:00:00"/>
    <s v="Whole Foods Market (Closed: 07/25/2017)"/>
    <x v="0"/>
    <n v="1"/>
    <s v="WFM"/>
    <s v="N/A Stock quote details"/>
    <s v="David"/>
    <m/>
    <n v="27.57"/>
    <x v="171"/>
    <x v="85"/>
    <n v="259"/>
    <n v="0.51400000000000001"/>
    <s v=""/>
    <n v="1.613"/>
    <n v="1.613"/>
    <s v=""/>
    <n v="-1.0980000000000001"/>
    <n v="-1.0980000000000001"/>
    <s v=""/>
    <x v="46"/>
    <n v="-0.4"/>
    <s v=""/>
  </r>
  <r>
    <d v="2005-05-20T00:00:00"/>
    <s v="CDW (Closed: 10/12/2007)"/>
    <x v="0"/>
    <n v="1"/>
    <s v="CDWC.DL"/>
    <s v="N/A Stock quote details"/>
    <s v="Tom"/>
    <m/>
    <n v="58.37"/>
    <x v="172"/>
    <x v="85"/>
    <n v="258"/>
    <s v=""/>
    <n v="0.503"/>
    <n v="0.373"/>
    <s v=""/>
    <n v="0.373"/>
    <n v="0.13"/>
    <s v=""/>
    <n v="0.13"/>
    <x v="33"/>
    <s v=""/>
    <n v="0.1"/>
  </r>
  <r>
    <d v="2016-06-17T00:00:00"/>
    <s v="SVB Financial Group"/>
    <x v="1"/>
    <n v="1"/>
    <s v="SIVB"/>
    <s v="$8B"/>
    <s v="Tom"/>
    <m/>
    <n v="98.61"/>
    <x v="173"/>
    <x v="85"/>
    <n v="257"/>
    <s v=""/>
    <n v="0.502"/>
    <n v="0.42899999999999999"/>
    <s v=""/>
    <n v="0.42899999999999999"/>
    <n v="7.3999999999999996E-2"/>
    <s v=""/>
    <n v="7.3999999999999996E-2"/>
    <x v="33"/>
    <s v=""/>
    <n v="0.1"/>
  </r>
  <r>
    <d v="2002-10-11T00:00:00"/>
    <s v="Martha Stewart Living (Closed: 06/18/2004)"/>
    <x v="0"/>
    <n v="1"/>
    <s v="MSO.DL"/>
    <s v="N/A Stock quote details"/>
    <s v="David"/>
    <m/>
    <n v="6.03"/>
    <x v="174"/>
    <x v="85"/>
    <n v="256"/>
    <n v="0.501"/>
    <s v=""/>
    <n v="0.4"/>
    <n v="0.4"/>
    <s v=""/>
    <n v="0.10100000000000001"/>
    <n v="0.10100000000000001"/>
    <s v=""/>
    <x v="33"/>
    <n v="0.1"/>
    <s v=""/>
  </r>
  <r>
    <d v="2012-12-21T00:00:00"/>
    <s v="Williams-Sonoma"/>
    <x v="1"/>
    <n v="1"/>
    <s v="WSM"/>
    <s v="$4B"/>
    <s v="Tom"/>
    <m/>
    <n v="36.049999999999997"/>
    <x v="175"/>
    <x v="85"/>
    <n v="255"/>
    <s v=""/>
    <n v="0.498"/>
    <n v="1.228"/>
    <s v=""/>
    <n v="1.228"/>
    <n v="-0.73"/>
    <s v=""/>
    <n v="-0.73"/>
    <x v="40"/>
    <s v=""/>
    <n v="-0.3"/>
  </r>
  <r>
    <d v="2013-08-16T00:00:00"/>
    <s v="Buffalo Wild Wings (Closed: 02/02/2018)"/>
    <x v="1"/>
    <n v="1"/>
    <s v="BWLD"/>
    <s v="N/A Stock quote details"/>
    <s v="Tom"/>
    <m/>
    <n v="104.92"/>
    <x v="176"/>
    <x v="86"/>
    <n v="254"/>
    <s v=""/>
    <n v="0.496"/>
    <n v="0.82899999999999996"/>
    <s v=""/>
    <n v="0.82899999999999996"/>
    <n v="-0.33400000000000002"/>
    <s v=""/>
    <n v="-0.33400000000000002"/>
    <x v="41"/>
    <s v=""/>
    <n v="-0.2"/>
  </r>
  <r>
    <d v="2017-10-20T00:00:00"/>
    <s v="HCA Healthcare"/>
    <x v="1"/>
    <n v="1"/>
    <s v="HCA"/>
    <s v="$40B"/>
    <s v="David"/>
    <n v="10"/>
    <n v="78.84"/>
    <x v="177"/>
    <x v="86"/>
    <n v="253"/>
    <n v="0.48099999999999998"/>
    <s v=""/>
    <n v="0.11799999999999999"/>
    <n v="0.11799999999999999"/>
    <s v=""/>
    <n v="0.36199999999999999"/>
    <n v="0.36199999999999999"/>
    <s v=""/>
    <x v="37"/>
    <n v="0.3"/>
    <s v=""/>
  </r>
  <r>
    <d v="2019-10-03T00:00:00"/>
    <s v="Zoom Video Communications"/>
    <x v="1"/>
    <n v="1"/>
    <s v="ZM"/>
    <s v="$31B"/>
    <s v="Tom"/>
    <m/>
    <n v="76.83"/>
    <x v="178"/>
    <x v="86"/>
    <n v="252"/>
    <s v=""/>
    <n v="0.48"/>
    <n v="-4.8000000000000001E-2"/>
    <s v=""/>
    <n v="-4.8000000000000001E-2"/>
    <n v="0.52900000000000003"/>
    <s v=""/>
    <n v="0.52900000000000003"/>
    <x v="31"/>
    <s v=""/>
    <n v="0.6"/>
  </r>
  <r>
    <d v="2016-01-22T00:00:00"/>
    <s v="Texas Roadhouse"/>
    <x v="1"/>
    <n v="1"/>
    <s v="TXRH"/>
    <s v="$3B"/>
    <s v="David"/>
    <n v="6"/>
    <n v="32.9"/>
    <x v="179"/>
    <x v="87"/>
    <n v="251"/>
    <n v="0.46"/>
    <s v=""/>
    <n v="0.56699999999999995"/>
    <n v="0.56699999999999995"/>
    <s v=""/>
    <n v="-0.107"/>
    <n v="-0.107"/>
    <s v=""/>
    <x v="39"/>
    <n v="-0.1"/>
    <s v=""/>
  </r>
  <r>
    <d v="2018-03-15T00:00:00"/>
    <s v="Cirrus Logic"/>
    <x v="1"/>
    <n v="1"/>
    <s v="CRUS"/>
    <s v="$4B"/>
    <s v="David"/>
    <n v="13"/>
    <n v="43.06"/>
    <x v="180"/>
    <x v="87"/>
    <n v="250"/>
    <n v="0.45700000000000002"/>
    <s v=""/>
    <n v="0.04"/>
    <n v="0.04"/>
    <s v=""/>
    <n v="0.41699999999999998"/>
    <n v="0.41699999999999998"/>
    <s v=""/>
    <x v="34"/>
    <n v="0.4"/>
    <s v=""/>
  </r>
  <r>
    <d v="2013-10-18T00:00:00"/>
    <s v="Hyatt Hotels"/>
    <x v="1"/>
    <n v="1"/>
    <s v="H"/>
    <s v="$6B"/>
    <s v="David"/>
    <n v="11"/>
    <n v="44.3"/>
    <x v="181"/>
    <x v="87"/>
    <n v="249"/>
    <n v="0.439"/>
    <s v=""/>
    <n v="0.79500000000000004"/>
    <n v="0.79500000000000004"/>
    <s v=""/>
    <n v="-0.35599999999999998"/>
    <n v="-0.35599999999999998"/>
    <s v=""/>
    <x v="41"/>
    <n v="-0.2"/>
    <s v=""/>
  </r>
  <r>
    <d v="2012-05-16T00:00:00"/>
    <s v="LKQ"/>
    <x v="1"/>
    <n v="1"/>
    <s v="LKQ"/>
    <s v="$8B"/>
    <s v="David"/>
    <n v="13"/>
    <n v="18.079999999999998"/>
    <x v="182"/>
    <x v="87"/>
    <n v="248"/>
    <n v="0.433"/>
    <s v=""/>
    <n v="1.4379999999999999"/>
    <n v="1.4379999999999999"/>
    <s v=""/>
    <n v="-1.006"/>
    <n v="-1.006"/>
    <s v=""/>
    <x v="46"/>
    <n v="-0.4"/>
    <s v=""/>
  </r>
  <r>
    <d v="2009-07-17T00:00:00"/>
    <s v="Interactive Data (Closed: 07/29/2010)"/>
    <x v="0"/>
    <n v="1"/>
    <s v="IDC.DL2"/>
    <s v="N/A Stock quote details"/>
    <s v="Tom"/>
    <m/>
    <n v="23.68"/>
    <x v="183"/>
    <x v="87"/>
    <n v="247"/>
    <s v=""/>
    <n v="0.42899999999999999"/>
    <n v="0.19600000000000001"/>
    <s v=""/>
    <n v="0.19600000000000001"/>
    <n v="0.23300000000000001"/>
    <s v=""/>
    <n v="0.23300000000000001"/>
    <x v="42"/>
    <s v=""/>
    <n v="0.2"/>
  </r>
  <r>
    <d v="2007-10-19T00:00:00"/>
    <s v="Amedisys (Closed: 08/13/2008)"/>
    <x v="0"/>
    <n v="1"/>
    <s v="AMED"/>
    <s v="$5B"/>
    <s v="David"/>
    <m/>
    <n v="36.75"/>
    <x v="184"/>
    <x v="88"/>
    <n v="246"/>
    <n v="0.42399999999999999"/>
    <s v=""/>
    <n v="-0.128"/>
    <n v="-0.128"/>
    <s v=""/>
    <n v="0.55200000000000005"/>
    <n v="0.55200000000000005"/>
    <s v=""/>
    <x v="31"/>
    <n v="0.6"/>
    <s v=""/>
  </r>
  <r>
    <d v="2020-01-02T00:00:00"/>
    <s v="Tesla"/>
    <x v="1"/>
    <n v="1"/>
    <s v="TSLA"/>
    <s v="$112B"/>
    <s v="Tom"/>
    <m/>
    <n v="430.26"/>
    <x v="185"/>
    <x v="88"/>
    <n v="245"/>
    <s v=""/>
    <n v="0.41299999999999998"/>
    <n v="-0.154"/>
    <s v=""/>
    <n v="-0.154"/>
    <n v="0.56699999999999995"/>
    <s v=""/>
    <n v="0.56699999999999995"/>
    <x v="28"/>
    <s v=""/>
    <n v="0.7"/>
  </r>
  <r>
    <d v="2016-09-16T00:00:00"/>
    <s v="Starbucks"/>
    <x v="1"/>
    <n v="1"/>
    <s v="SBUX"/>
    <s v="$83B"/>
    <s v="Tom"/>
    <m/>
    <n v="50.15"/>
    <x v="186"/>
    <x v="88"/>
    <n v="244"/>
    <s v=""/>
    <n v="0.41199999999999998"/>
    <n v="0.376"/>
    <s v=""/>
    <n v="0.376"/>
    <n v="3.5999999999999997E-2"/>
    <s v=""/>
    <n v="3.5999999999999997E-2"/>
    <x v="35"/>
    <s v=""/>
    <n v="0"/>
  </r>
  <r>
    <d v="2016-05-20T00:00:00"/>
    <s v="Stamps.com"/>
    <x v="1"/>
    <n v="1"/>
    <s v="STMP"/>
    <s v="$2B"/>
    <s v="David"/>
    <n v="10"/>
    <n v="81.58"/>
    <x v="187"/>
    <x v="88"/>
    <n v="243"/>
    <n v="0.41"/>
    <s v=""/>
    <n v="0.44400000000000001"/>
    <n v="0.44400000000000001"/>
    <s v=""/>
    <n v="-3.4000000000000002E-2"/>
    <n v="-3.4000000000000002E-2"/>
    <s v=""/>
    <x v="35"/>
    <n v="0"/>
    <s v=""/>
  </r>
  <r>
    <d v="2004-07-16T00:00:00"/>
    <s v="Sina and Weibo Corporate Action Details"/>
    <x v="0"/>
    <n v="1"/>
    <s v="SINA WB"/>
    <s v="N/A Corporate Action Details"/>
    <s v="David"/>
    <n v="11"/>
    <s v="$0 N/A Corporate Action Details"/>
    <x v="188"/>
    <x v="88"/>
    <n v="242"/>
    <n v="0.39800000000000002"/>
    <s v=""/>
    <n v="2.448"/>
    <n v="2.448"/>
    <s v=""/>
    <n v="-2.0499999999999998"/>
    <n v="-2.0499999999999998"/>
    <s v=""/>
    <x v="47"/>
    <n v="-0.6"/>
    <s v=""/>
  </r>
  <r>
    <d v="2014-11-21T00:00:00"/>
    <s v="Zayo Group"/>
    <x v="1"/>
    <n v="1"/>
    <s v="ZAYO"/>
    <s v="$8B"/>
    <s v="Tom"/>
    <m/>
    <n v="25.04"/>
    <x v="189"/>
    <x v="88"/>
    <n v="241"/>
    <s v=""/>
    <n v="0.39700000000000002"/>
    <n v="0.48299999999999998"/>
    <s v=""/>
    <n v="0.48299999999999998"/>
    <n v="-8.5999999999999993E-2"/>
    <s v=""/>
    <n v="-8.5999999999999993E-2"/>
    <x v="39"/>
    <s v=""/>
    <n v="-0.1"/>
  </r>
  <r>
    <d v="2007-09-21T00:00:00"/>
    <s v="Genlyte (Closed: 11/30/2007)"/>
    <x v="0"/>
    <n v="1"/>
    <s v="GLYT.DL"/>
    <s v="N/A Stock quote details"/>
    <s v="Tom"/>
    <m/>
    <n v="67.75"/>
    <x v="190"/>
    <x v="89"/>
    <n v="240"/>
    <s v=""/>
    <n v="0.39100000000000001"/>
    <n v="-2.5999999999999999E-2"/>
    <s v=""/>
    <n v="-2.5999999999999999E-2"/>
    <n v="0.41699999999999998"/>
    <s v=""/>
    <n v="0.41699999999999998"/>
    <x v="34"/>
    <s v=""/>
    <n v="0.4"/>
  </r>
  <r>
    <d v="2005-11-18T00:00:00"/>
    <s v="Sina and Weibo Corporate Action Details"/>
    <x v="0"/>
    <n v="1"/>
    <s v="SINA WB"/>
    <s v="N/A Corporate Action Details"/>
    <s v="David"/>
    <n v="11"/>
    <s v="$0 N/A Corporate Action Details"/>
    <x v="191"/>
    <x v="89"/>
    <n v="238"/>
    <n v="0.38400000000000001"/>
    <s v=""/>
    <n v="1.968"/>
    <n v="1.968"/>
    <s v=""/>
    <n v="-1.5840000000000001"/>
    <n v="-1.5840000000000001"/>
    <s v=""/>
    <x v="45"/>
    <n v="-0.5"/>
    <s v=""/>
  </r>
  <r>
    <d v="2003-04-11T00:00:00"/>
    <s v="Kensey Nash (Closed: 05/20/2005)"/>
    <x v="0"/>
    <n v="1"/>
    <s v="KNSY.DL"/>
    <s v="N/A Stock quote details"/>
    <s v="Tom"/>
    <m/>
    <n v="19.2"/>
    <x v="191"/>
    <x v="89"/>
    <n v="238"/>
    <s v=""/>
    <n v="0.38400000000000001"/>
    <n v="0.42099999999999999"/>
    <s v=""/>
    <n v="0.42099999999999999"/>
    <n v="-3.6999999999999998E-2"/>
    <s v=""/>
    <n v="-3.6999999999999998E-2"/>
    <x v="35"/>
    <s v=""/>
    <n v="0"/>
  </r>
  <r>
    <d v="2006-11-17T00:00:00"/>
    <s v="Dolby Laboratories (Closed: 10/18/2013)"/>
    <x v="0"/>
    <n v="1"/>
    <s v="DLB"/>
    <s v="$6B"/>
    <s v="Tom"/>
    <m/>
    <n v="25.56"/>
    <x v="192"/>
    <x v="89"/>
    <n v="237"/>
    <s v=""/>
    <n v="0.38200000000000001"/>
    <n v="0.44600000000000001"/>
    <s v=""/>
    <n v="0.44600000000000001"/>
    <n v="-6.4000000000000001E-2"/>
    <s v=""/>
    <n v="-6.4000000000000001E-2"/>
    <x v="35"/>
    <s v=""/>
    <n v="0"/>
  </r>
  <r>
    <d v="2016-08-19T00:00:00"/>
    <s v="Facebook"/>
    <x v="1"/>
    <n v="1"/>
    <s v="FB"/>
    <s v="$483B"/>
    <s v="Tom"/>
    <m/>
    <n v="123.56"/>
    <x v="193"/>
    <x v="89"/>
    <n v="236"/>
    <s v=""/>
    <n v="0.372"/>
    <n v="0.35"/>
    <s v=""/>
    <n v="0.35"/>
    <n v="2.1999999999999999E-2"/>
    <s v=""/>
    <n v="2.1999999999999999E-2"/>
    <x v="35"/>
    <s v=""/>
    <n v="0"/>
  </r>
  <r>
    <d v="2009-11-20T00:00:00"/>
    <s v="Ford (Closed: 01/10/2019)"/>
    <x v="0"/>
    <n v="1"/>
    <s v="F"/>
    <s v="$23B"/>
    <s v="David"/>
    <n v="11"/>
    <n v="6.35"/>
    <x v="194"/>
    <x v="89"/>
    <n v="235"/>
    <n v="0.36499999999999999"/>
    <s v=""/>
    <n v="1.8779999999999999"/>
    <n v="1.8779999999999999"/>
    <s v=""/>
    <n v="-1.514"/>
    <n v="-1.514"/>
    <s v=""/>
    <x v="45"/>
    <n v="-0.5"/>
    <s v=""/>
  </r>
  <r>
    <d v="2004-04-16T00:00:00"/>
    <s v="BMW"/>
    <x v="0"/>
    <n v="1"/>
    <s v="BAMXF"/>
    <s v="$33B"/>
    <s v="David"/>
    <n v="13"/>
    <n v="42.3"/>
    <x v="195"/>
    <x v="90"/>
    <n v="234"/>
    <n v="0.36399999999999999"/>
    <s v=""/>
    <n v="2.3610000000000002"/>
    <n v="2.3610000000000002"/>
    <s v=""/>
    <n v="-1.9970000000000001"/>
    <n v="-1.9970000000000001"/>
    <s v=""/>
    <x v="47"/>
    <n v="-0.6"/>
    <s v=""/>
  </r>
  <r>
    <d v="2012-10-19T00:00:00"/>
    <s v="Westinghouse Air Brake Technologies"/>
    <x v="1"/>
    <n v="1"/>
    <s v="WAB"/>
    <s v="$10B"/>
    <s v="Tom"/>
    <m/>
    <n v="40.17"/>
    <x v="196"/>
    <x v="90"/>
    <n v="233"/>
    <s v=""/>
    <n v="0.36299999999999999"/>
    <n v="1.2330000000000001"/>
    <s v=""/>
    <n v="1.2330000000000001"/>
    <n v="-0.87"/>
    <s v=""/>
    <n v="-0.87"/>
    <x v="46"/>
    <s v=""/>
    <n v="-0.4"/>
  </r>
  <r>
    <d v="2016-05-20T00:00:00"/>
    <s v="Berkshire Hathaway (B shares)"/>
    <x v="1"/>
    <n v="1"/>
    <s v="BRK.B"/>
    <s v="$471B"/>
    <s v="Tom"/>
    <m/>
    <n v="141.83000000000001"/>
    <x v="197"/>
    <x v="90"/>
    <n v="232"/>
    <s v=""/>
    <n v="0.36199999999999999"/>
    <n v="0.44400000000000001"/>
    <s v=""/>
    <n v="0.44400000000000001"/>
    <n v="-8.2000000000000003E-2"/>
    <s v=""/>
    <n v="-8.2000000000000003E-2"/>
    <x v="39"/>
    <s v=""/>
    <n v="-0.1"/>
  </r>
  <r>
    <d v="2009-09-18T00:00:00"/>
    <s v="Cubic (Closed: 02/21/2014)"/>
    <x v="0"/>
    <n v="1"/>
    <s v="CUB"/>
    <s v="$2B"/>
    <s v="Tom"/>
    <m/>
    <n v="39.799999999999997"/>
    <x v="198"/>
    <x v="90"/>
    <n v="231"/>
    <s v=""/>
    <n v="0.36"/>
    <n v="0.88800000000000001"/>
    <s v=""/>
    <n v="0.88800000000000001"/>
    <n v="-0.52800000000000002"/>
    <s v=""/>
    <n v="-0.52800000000000002"/>
    <x v="40"/>
    <s v=""/>
    <n v="-0.3"/>
  </r>
  <r>
    <d v="2017-05-19T00:00:00"/>
    <s v="Chipotle Mexican Grill"/>
    <x v="1"/>
    <n v="1"/>
    <s v="CMG"/>
    <s v="$18B"/>
    <s v="Tom"/>
    <m/>
    <n v="484.99"/>
    <x v="199"/>
    <x v="90"/>
    <n v="230"/>
    <s v=""/>
    <n v="0.35599999999999998"/>
    <n v="0.219"/>
    <s v=""/>
    <n v="0.219"/>
    <n v="0.13800000000000001"/>
    <s v=""/>
    <n v="0.13800000000000001"/>
    <x v="33"/>
    <s v=""/>
    <n v="0.1"/>
  </r>
  <r>
    <d v="2011-10-21T00:00:00"/>
    <s v="Scotts Miracle-Gro (Closed: 12/20/2013)"/>
    <x v="1"/>
    <n v="1"/>
    <s v="SMG"/>
    <s v="$6B"/>
    <s v="Tom"/>
    <m/>
    <n v="45.16"/>
    <x v="200"/>
    <x v="90"/>
    <n v="229"/>
    <s v=""/>
    <n v="0.35399999999999998"/>
    <n v="0.54100000000000004"/>
    <s v=""/>
    <n v="0.54100000000000004"/>
    <n v="-0.186"/>
    <s v=""/>
    <n v="-0.186"/>
    <x v="39"/>
    <s v=""/>
    <n v="-0.1"/>
  </r>
  <r>
    <d v="2010-08-20T00:00:00"/>
    <s v="Discovery (C shares)"/>
    <x v="1"/>
    <n v="1"/>
    <s v="DISCK"/>
    <s v="$16B"/>
    <s v="David"/>
    <n v="10"/>
    <n v="16.79"/>
    <x v="201"/>
    <x v="90"/>
    <n v="228"/>
    <n v="0.34300000000000003"/>
    <s v=""/>
    <n v="2.1259999999999999"/>
    <n v="2.1259999999999999"/>
    <s v=""/>
    <n v="-1.7829999999999999"/>
    <n v="-1.7829999999999999"/>
    <s v=""/>
    <x v="47"/>
    <n v="-0.6"/>
    <s v=""/>
  </r>
  <r>
    <d v="2018-11-29T00:00:00"/>
    <s v="Mastercard"/>
    <x v="1"/>
    <n v="1"/>
    <s v="MA"/>
    <s v="$263B"/>
    <s v="Tom"/>
    <m/>
    <n v="195.31"/>
    <x v="202"/>
    <x v="90"/>
    <n v="227"/>
    <s v=""/>
    <n v="0.34200000000000003"/>
    <n v="2.9000000000000001E-2"/>
    <s v=""/>
    <n v="2.9000000000000001E-2"/>
    <n v="0.312"/>
    <s v=""/>
    <n v="0.312"/>
    <x v="37"/>
    <s v=""/>
    <n v="0.3"/>
  </r>
  <r>
    <d v="2009-04-17T00:00:00"/>
    <s v="John Wiley &amp; Sons (A Shares) (Closed: 12/16/2011)"/>
    <x v="0"/>
    <n v="1"/>
    <s v="JW.A"/>
    <s v="$2B"/>
    <s v="David"/>
    <m/>
    <n v="33.049999999999997"/>
    <x v="203"/>
    <x v="90"/>
    <n v="226"/>
    <n v="0.33600000000000002"/>
    <s v=""/>
    <n v="0.48299999999999998"/>
    <n v="0.48299999999999998"/>
    <s v=""/>
    <n v="-0.14699999999999999"/>
    <n v="-0.14699999999999999"/>
    <s v=""/>
    <x v="39"/>
    <n v="-0.1"/>
    <s v=""/>
  </r>
  <r>
    <d v="2004-11-19T00:00:00"/>
    <s v="Coventry Health Care (Closed: 09/21/2012)"/>
    <x v="0"/>
    <n v="1"/>
    <s v="CVH.DL2"/>
    <s v="N/A Stock quote details"/>
    <s v="Tom"/>
    <m/>
    <n v="31.73"/>
    <x v="204"/>
    <x v="91"/>
    <n v="225"/>
    <s v=""/>
    <n v="0.315"/>
    <n v="0.46800000000000003"/>
    <s v=""/>
    <n v="0.46800000000000003"/>
    <n v="-0.153"/>
    <s v=""/>
    <n v="-0.153"/>
    <x v="39"/>
    <s v=""/>
    <n v="-0.1"/>
  </r>
  <r>
    <d v="2013-01-18T00:00:00"/>
    <s v="Genesee &amp; Wyoming (Closed: 07/03/2019)"/>
    <x v="1"/>
    <n v="1"/>
    <s v="GWR"/>
    <s v="N/A Stock quote details"/>
    <s v="David"/>
    <n v="12"/>
    <n v="83.45"/>
    <x v="205"/>
    <x v="91"/>
    <n v="224"/>
    <n v="0.312"/>
    <s v=""/>
    <n v="1.3049999999999999"/>
    <n v="1.3049999999999999"/>
    <s v=""/>
    <n v="-0.99199999999999999"/>
    <n v="-0.99199999999999999"/>
    <s v=""/>
    <x v="46"/>
    <n v="-0.4"/>
    <s v=""/>
  </r>
  <r>
    <d v="2017-03-17T00:00:00"/>
    <s v="Becton, Dickinson"/>
    <x v="1"/>
    <n v="1"/>
    <s v="BDX"/>
    <s v="$63B"/>
    <s v="David"/>
    <n v="12"/>
    <n v="176.7"/>
    <x v="206"/>
    <x v="91"/>
    <n v="223"/>
    <n v="0.30599999999999999"/>
    <s v=""/>
    <n v="0.22500000000000001"/>
    <n v="0.22500000000000001"/>
    <s v=""/>
    <n v="8.2000000000000003E-2"/>
    <n v="8.2000000000000003E-2"/>
    <s v=""/>
    <x v="33"/>
    <n v="0.1"/>
    <s v=""/>
  </r>
  <r>
    <d v="2012-09-21T00:00:00"/>
    <s v="Darling Ingredients"/>
    <x v="1"/>
    <n v="1"/>
    <s v="DAR"/>
    <s v="$4B"/>
    <s v="David"/>
    <n v="15"/>
    <n v="18.14"/>
    <x v="207"/>
    <x v="92"/>
    <n v="222"/>
    <n v="0.29399999999999998"/>
    <s v=""/>
    <n v="1.196"/>
    <n v="1.196"/>
    <s v=""/>
    <n v="-0.90100000000000002"/>
    <n v="-0.90100000000000002"/>
    <s v=""/>
    <x v="46"/>
    <n v="-0.4"/>
    <s v=""/>
  </r>
  <r>
    <d v="2014-03-21T00:00:00"/>
    <s v="Post Holdings (Closed: 04/20/2018)"/>
    <x v="1"/>
    <n v="1"/>
    <s v="POST"/>
    <s v="$7B"/>
    <s v="Tom"/>
    <m/>
    <n v="59.52"/>
    <x v="208"/>
    <x v="92"/>
    <n v="220"/>
    <s v=""/>
    <n v="0.28999999999999998"/>
    <n v="0.55600000000000005"/>
    <s v=""/>
    <n v="0.55600000000000005"/>
    <n v="-0.26600000000000001"/>
    <s v=""/>
    <n v="-0.26600000000000001"/>
    <x v="41"/>
    <s v=""/>
    <n v="-0.2"/>
  </r>
  <r>
    <d v="2007-11-16T00:00:00"/>
    <s v="Moody's (Closed: 10/19/2012)"/>
    <x v="0"/>
    <n v="1"/>
    <s v="MCO"/>
    <s v="$40B"/>
    <s v="Tom"/>
    <m/>
    <n v="35.36"/>
    <x v="208"/>
    <x v="92"/>
    <n v="220"/>
    <s v=""/>
    <n v="0.28999999999999998"/>
    <n v="9.5000000000000001E-2"/>
    <s v=""/>
    <n v="9.5000000000000001E-2"/>
    <n v="0.19500000000000001"/>
    <s v=""/>
    <n v="0.19500000000000001"/>
    <x v="42"/>
    <s v=""/>
    <n v="0.2"/>
  </r>
  <r>
    <d v="2015-05-15T00:00:00"/>
    <s v="Xoom (Closed: 11/06/2015)"/>
    <x v="1"/>
    <n v="1"/>
    <s v="XOOM.DL"/>
    <s v="N/A Stock quote details"/>
    <s v="Tom"/>
    <m/>
    <n v="19.309999999999999"/>
    <x v="209"/>
    <x v="92"/>
    <n v="219"/>
    <s v=""/>
    <n v="0.28899999999999998"/>
    <n v="-1E-3"/>
    <s v=""/>
    <n v="-1E-3"/>
    <n v="0.28999999999999998"/>
    <s v=""/>
    <n v="0.28999999999999998"/>
    <x v="37"/>
    <s v=""/>
    <n v="0.3"/>
  </r>
  <r>
    <d v="2014-05-16T00:00:00"/>
    <s v="WisdomTree Investments (Closed: 05/30/2018)"/>
    <x v="1"/>
    <n v="1"/>
    <s v="WETF"/>
    <s v="$501M"/>
    <s v="Tom"/>
    <m/>
    <n v="8.61"/>
    <x v="210"/>
    <x v="92"/>
    <n v="218"/>
    <s v=""/>
    <n v="0.28299999999999997"/>
    <n v="0.57699999999999996"/>
    <s v=""/>
    <n v="0.57699999999999996"/>
    <n v="-0.29399999999999998"/>
    <s v=""/>
    <n v="-0.29399999999999998"/>
    <x v="41"/>
    <s v=""/>
    <n v="-0.2"/>
  </r>
  <r>
    <d v="2010-04-16T00:00:00"/>
    <s v="Simpson Manufacturing (Closed: 12/20/2013)"/>
    <x v="1"/>
    <n v="1"/>
    <s v="SSD"/>
    <s v="$4B"/>
    <s v="Tom"/>
    <m/>
    <n v="28.85"/>
    <x v="211"/>
    <x v="92"/>
    <n v="216"/>
    <s v=""/>
    <n v="0.28100000000000003"/>
    <n v="0.65"/>
    <s v=""/>
    <n v="0.65"/>
    <n v="-0.36899999999999999"/>
    <s v=""/>
    <n v="-0.36899999999999999"/>
    <x v="41"/>
    <s v=""/>
    <n v="-0.2"/>
  </r>
  <r>
    <d v="2002-05-10T00:00:00"/>
    <s v="Whole Foods Market (Closed: 05/05/2003)"/>
    <x v="0"/>
    <n v="1"/>
    <s v="WFM"/>
    <s v="N/A Stock quote details"/>
    <s v="Tom"/>
    <m/>
    <n v="11.98"/>
    <x v="211"/>
    <x v="92"/>
    <n v="216"/>
    <s v=""/>
    <n v="0.28100000000000003"/>
    <n v="-0.106"/>
    <s v=""/>
    <n v="-0.106"/>
    <n v="0.38700000000000001"/>
    <s v=""/>
    <n v="0.38700000000000001"/>
    <x v="34"/>
    <s v=""/>
    <n v="0.4"/>
  </r>
  <r>
    <d v="2006-12-15T00:00:00"/>
    <s v="Barr Pharmaceuticals (Closed: 07/29/2008)"/>
    <x v="0"/>
    <n v="1"/>
    <s v="BRL.DL"/>
    <s v="N/A Stock quote details"/>
    <s v="Tom"/>
    <m/>
    <n v="51.55"/>
    <x v="212"/>
    <x v="92"/>
    <n v="215"/>
    <s v=""/>
    <n v="0.27900000000000003"/>
    <n v="-8.6999999999999994E-2"/>
    <s v=""/>
    <n v="-8.6999999999999994E-2"/>
    <n v="0.36499999999999999"/>
    <s v=""/>
    <n v="0.36499999999999999"/>
    <x v="34"/>
    <s v=""/>
    <n v="0.4"/>
  </r>
  <r>
    <d v="2004-08-20T00:00:00"/>
    <s v="Silicon Laboratories (Closed: 10/18/2013)"/>
    <x v="0"/>
    <n v="1"/>
    <s v="SLAB"/>
    <s v="$3B"/>
    <s v="Tom"/>
    <m/>
    <n v="34.159999999999997"/>
    <x v="213"/>
    <x v="92"/>
    <n v="214"/>
    <s v=""/>
    <n v="0.27800000000000002"/>
    <n v="0.92300000000000004"/>
    <s v=""/>
    <n v="0.92300000000000004"/>
    <n v="-0.64500000000000002"/>
    <s v=""/>
    <n v="-0.64500000000000002"/>
    <x v="40"/>
    <s v=""/>
    <n v="-0.3"/>
  </r>
  <r>
    <d v="2019-02-07T00:00:00"/>
    <s v="Appian"/>
    <x v="1"/>
    <n v="1"/>
    <s v="APPN"/>
    <s v="$3B"/>
    <s v="Tom"/>
    <m/>
    <n v="34.19"/>
    <x v="214"/>
    <x v="93"/>
    <n v="213"/>
    <s v=""/>
    <n v="0.26800000000000002"/>
    <n v="3.7999999999999999E-2"/>
    <s v=""/>
    <n v="3.7999999999999999E-2"/>
    <n v="0.23"/>
    <s v=""/>
    <n v="0.23"/>
    <x v="42"/>
    <s v=""/>
    <n v="0.2"/>
  </r>
  <r>
    <d v="2019-07-03T00:00:00"/>
    <s v="Zoom Video Communications"/>
    <x v="1"/>
    <n v="1"/>
    <s v="ZM"/>
    <s v="$31B"/>
    <s v="Tom"/>
    <m/>
    <n v="90.45"/>
    <x v="215"/>
    <x v="93"/>
    <n v="211"/>
    <s v=""/>
    <n v="0.25800000000000001"/>
    <n v="-7.0999999999999994E-2"/>
    <s v=""/>
    <n v="-7.0999999999999994E-2"/>
    <n v="0.32800000000000001"/>
    <s v=""/>
    <n v="0.32800000000000001"/>
    <x v="34"/>
    <s v=""/>
    <n v="0.4"/>
  </r>
  <r>
    <d v="2012-04-20T00:00:00"/>
    <s v="Hain Celestial (Closed: 06/21/2018)"/>
    <x v="1"/>
    <n v="1"/>
    <s v="HAIN"/>
    <s v="$2B"/>
    <s v="David"/>
    <n v="20"/>
    <n v="23.2"/>
    <x v="215"/>
    <x v="93"/>
    <n v="211"/>
    <n v="0.25800000000000001"/>
    <s v=""/>
    <n v="1.272"/>
    <n v="1.272"/>
    <s v=""/>
    <n v="-1.014"/>
    <n v="-1.014"/>
    <s v=""/>
    <x v="46"/>
    <n v="-0.4"/>
    <s v=""/>
  </r>
  <r>
    <d v="2010-10-15T00:00:00"/>
    <s v="Southwest Airlines (Closed: 10/18/2013)"/>
    <x v="1"/>
    <n v="1"/>
    <s v="LUV"/>
    <s v="$23B"/>
    <s v="David"/>
    <m/>
    <n v="12.79"/>
    <x v="216"/>
    <x v="93"/>
    <n v="210"/>
    <n v="0.25600000000000001"/>
    <s v=""/>
    <n v="0.58199999999999996"/>
    <n v="0.58199999999999996"/>
    <s v=""/>
    <n v="-0.32600000000000001"/>
    <n v="-0.32600000000000001"/>
    <s v=""/>
    <x v="41"/>
    <n v="-0.2"/>
    <s v=""/>
  </r>
  <r>
    <d v="2002-06-07T00:00:00"/>
    <s v="Whole Foods Market (Closed: 05/05/2003)"/>
    <x v="0"/>
    <n v="1"/>
    <s v="WFM"/>
    <s v="N/A Stock quote details"/>
    <s v="Tom"/>
    <m/>
    <n v="12.23"/>
    <x v="217"/>
    <x v="93"/>
    <n v="209"/>
    <s v=""/>
    <n v="0.254"/>
    <n v="-8.4000000000000005E-2"/>
    <s v=""/>
    <n v="-8.4000000000000005E-2"/>
    <n v="0.33800000000000002"/>
    <s v=""/>
    <n v="0.33800000000000002"/>
    <x v="34"/>
    <s v=""/>
    <n v="0.4"/>
  </r>
  <r>
    <d v="2018-06-07T00:00:00"/>
    <s v="Wix.com"/>
    <x v="1"/>
    <n v="1"/>
    <s v="WIX"/>
    <s v="$6B"/>
    <s v="Tom"/>
    <m/>
    <n v="92.9"/>
    <x v="218"/>
    <x v="93"/>
    <n v="207"/>
    <s v=""/>
    <n v="0.25"/>
    <n v="2.5999999999999999E-2"/>
    <s v=""/>
    <n v="2.5999999999999999E-2"/>
    <n v="0.223"/>
    <s v=""/>
    <n v="0.223"/>
    <x v="42"/>
    <s v=""/>
    <n v="0.2"/>
  </r>
  <r>
    <d v="2005-05-20T00:00:00"/>
    <s v="7-Eleven, Inc. (Closed: 11/08/2005)"/>
    <x v="0"/>
    <n v="1"/>
    <s v="SE-.DL"/>
    <s v="N/A Stock quote details"/>
    <s v="David"/>
    <m/>
    <n v="29.99"/>
    <x v="218"/>
    <x v="93"/>
    <n v="207"/>
    <n v="0.25"/>
    <s v=""/>
    <n v="3.3000000000000002E-2"/>
    <n v="3.3000000000000002E-2"/>
    <s v=""/>
    <n v="0.216"/>
    <n v="0.216"/>
    <s v=""/>
    <x v="42"/>
    <n v="0.2"/>
    <s v=""/>
  </r>
  <r>
    <d v="2019-09-19T00:00:00"/>
    <s v="SolarEdge Technologies"/>
    <x v="1"/>
    <n v="1"/>
    <s v="SEDG"/>
    <s v="$5B"/>
    <s v="David"/>
    <n v="11"/>
    <n v="89.42"/>
    <x v="219"/>
    <x v="93"/>
    <n v="206"/>
    <n v="0.249"/>
    <s v=""/>
    <n v="-7.8E-2"/>
    <n v="-7.8E-2"/>
    <s v=""/>
    <n v="0.32700000000000001"/>
    <n v="0.32700000000000001"/>
    <s v=""/>
    <x v="34"/>
    <n v="0.4"/>
    <s v=""/>
  </r>
  <r>
    <d v="2015-12-18T00:00:00"/>
    <s v="Kinder Morgan"/>
    <x v="1"/>
    <n v="1"/>
    <s v="KMI"/>
    <s v="$36B"/>
    <s v="Tom"/>
    <m/>
    <n v="12.97"/>
    <x v="220"/>
    <x v="94"/>
    <n v="205"/>
    <s v=""/>
    <n v="0.24199999999999999"/>
    <n v="0.49199999999999999"/>
    <s v=""/>
    <n v="0.49199999999999999"/>
    <n v="-0.25"/>
    <s v=""/>
    <n v="-0.25"/>
    <x v="41"/>
    <s v=""/>
    <n v="-0.2"/>
  </r>
  <r>
    <d v="2016-11-18T00:00:00"/>
    <s v="Markel"/>
    <x v="1"/>
    <n v="1"/>
    <s v="MKL"/>
    <s v="$15B"/>
    <s v="Tom"/>
    <m/>
    <n v="882.92"/>
    <x v="221"/>
    <x v="94"/>
    <n v="203"/>
    <s v=""/>
    <n v="0.23899999999999999"/>
    <n v="0.34399999999999997"/>
    <s v=""/>
    <n v="0.34399999999999997"/>
    <n v="-0.105"/>
    <s v=""/>
    <n v="-0.105"/>
    <x v="39"/>
    <s v=""/>
    <n v="-0.1"/>
  </r>
  <r>
    <d v="2014-09-19T00:00:00"/>
    <s v="Cognizant Technology Solutions"/>
    <x v="1"/>
    <n v="1"/>
    <s v="CTSH"/>
    <s v="$30B"/>
    <s v="Tom"/>
    <m/>
    <n v="43.55"/>
    <x v="221"/>
    <x v="94"/>
    <n v="203"/>
    <s v=""/>
    <n v="0.23899999999999999"/>
    <n v="0.52800000000000002"/>
    <s v=""/>
    <n v="0.52800000000000002"/>
    <n v="-0.28899999999999998"/>
    <s v=""/>
    <n v="-0.28899999999999998"/>
    <x v="41"/>
    <s v=""/>
    <n v="-0.2"/>
  </r>
  <r>
    <d v="2018-02-16T00:00:00"/>
    <s v="Varonis Systems"/>
    <x v="1"/>
    <n v="1"/>
    <s v="VRNS"/>
    <s v="$2B"/>
    <s v="Tom"/>
    <m/>
    <n v="56.3"/>
    <x v="222"/>
    <x v="94"/>
    <n v="202"/>
    <s v=""/>
    <n v="0.23499999999999999"/>
    <n v="4.7E-2"/>
    <s v=""/>
    <n v="4.7E-2"/>
    <n v="0.188"/>
    <s v=""/>
    <n v="0.188"/>
    <x v="42"/>
    <s v=""/>
    <n v="0.2"/>
  </r>
  <r>
    <d v="2009-10-16T00:00:00"/>
    <s v="Assurant (Closed: 12/17/2010)"/>
    <x v="0"/>
    <n v="1"/>
    <s v="AIZ"/>
    <s v="$7B"/>
    <s v="Tom"/>
    <m/>
    <n v="30.24"/>
    <x v="223"/>
    <x v="94"/>
    <n v="201"/>
    <s v=""/>
    <n v="0.23"/>
    <n v="0.17100000000000001"/>
    <s v=""/>
    <n v="0.17100000000000001"/>
    <n v="5.8999999999999997E-2"/>
    <s v=""/>
    <n v="5.8999999999999997E-2"/>
    <x v="33"/>
    <s v=""/>
    <n v="0.1"/>
  </r>
  <r>
    <d v="2004-10-01T00:00:00"/>
    <s v="Silicon Laboratories (Closed: 10/18/2013)"/>
    <x v="0"/>
    <n v="1"/>
    <s v="SLAB"/>
    <s v="$3B"/>
    <s v="Tom"/>
    <m/>
    <n v="35.630000000000003"/>
    <x v="224"/>
    <x v="94"/>
    <n v="200"/>
    <s v=""/>
    <n v="0.22500000000000001"/>
    <n v="0.86299999999999999"/>
    <s v=""/>
    <n v="0.86299999999999999"/>
    <n v="-0.63800000000000001"/>
    <s v=""/>
    <n v="-0.63800000000000001"/>
    <x v="40"/>
    <s v=""/>
    <n v="-0.3"/>
  </r>
  <r>
    <d v="2005-12-16T00:00:00"/>
    <s v="GameStop (Closed: 02/19/2010)"/>
    <x v="0"/>
    <n v="1"/>
    <s v="GME"/>
    <s v="$244M"/>
    <s v="David"/>
    <m/>
    <n v="15.77"/>
    <x v="225"/>
    <x v="94"/>
    <n v="199"/>
    <n v="0.224"/>
    <s v=""/>
    <n v="-4.2999999999999997E-2"/>
    <n v="-4.2999999999999997E-2"/>
    <s v=""/>
    <n v="0.26700000000000002"/>
    <n v="0.26700000000000002"/>
    <s v=""/>
    <x v="37"/>
    <n v="0.3"/>
    <s v=""/>
  </r>
  <r>
    <d v="2019-02-21T00:00:00"/>
    <s v="Nintendo"/>
    <x v="1"/>
    <n v="1"/>
    <s v="NTDOY"/>
    <s v="$4,280B"/>
    <s v="David"/>
    <n v="11"/>
    <n v="34.770000000000003"/>
    <x v="226"/>
    <x v="94"/>
    <n v="198"/>
    <n v="0.22"/>
    <s v=""/>
    <n v="0.01"/>
    <n v="0.01"/>
    <s v=""/>
    <n v="0.20899999999999999"/>
    <n v="0.20899999999999999"/>
    <s v=""/>
    <x v="42"/>
    <n v="0.2"/>
    <s v=""/>
  </r>
  <r>
    <d v="2010-04-16T00:00:00"/>
    <s v="Southwest Airlines (Closed: 10/18/2013)"/>
    <x v="1"/>
    <n v="1"/>
    <s v="LUV"/>
    <s v="$23B"/>
    <s v="David"/>
    <m/>
    <n v="13.2"/>
    <x v="227"/>
    <x v="94"/>
    <n v="197"/>
    <n v="0.217"/>
    <s v=""/>
    <n v="0.57699999999999996"/>
    <n v="0.57699999999999996"/>
    <s v=""/>
    <n v="-0.36"/>
    <n v="-0.36"/>
    <s v=""/>
    <x v="41"/>
    <n v="-0.2"/>
    <s v=""/>
  </r>
  <r>
    <d v="2014-04-17T00:00:00"/>
    <s v="Carter's"/>
    <x v="1"/>
    <n v="1"/>
    <s v="CRI"/>
    <s v="$4B"/>
    <s v="David"/>
    <n v="10"/>
    <n v="67.209999999999994"/>
    <x v="228"/>
    <x v="95"/>
    <n v="196"/>
    <n v="0.21199999999999999"/>
    <s v=""/>
    <n v="0.66200000000000003"/>
    <n v="0.66200000000000003"/>
    <s v=""/>
    <n v="-0.45"/>
    <n v="-0.45"/>
    <s v=""/>
    <x v="40"/>
    <n v="-0.3"/>
    <s v=""/>
  </r>
  <r>
    <d v="2014-08-15T00:00:00"/>
    <s v="Booking Holdings"/>
    <x v="1"/>
    <n v="1"/>
    <s v="BKNG"/>
    <s v="$63B"/>
    <s v="Tom"/>
    <m/>
    <n v="1270.1199999999999"/>
    <x v="229"/>
    <x v="95"/>
    <n v="195"/>
    <s v=""/>
    <n v="0.20300000000000001"/>
    <n v="0.57399999999999995"/>
    <s v=""/>
    <n v="0.57399999999999995"/>
    <n v="-0.371"/>
    <s v=""/>
    <n v="-0.371"/>
    <x v="41"/>
    <s v=""/>
    <n v="-0.2"/>
  </r>
  <r>
    <d v="2019-04-18T00:00:00"/>
    <s v="Zynga"/>
    <x v="1"/>
    <n v="1"/>
    <s v="ZNGA"/>
    <s v="$6B"/>
    <s v="David"/>
    <n v="13"/>
    <n v="5.44"/>
    <x v="230"/>
    <x v="95"/>
    <n v="194"/>
    <n v="0.2"/>
    <s v=""/>
    <n v="-3.7999999999999999E-2"/>
    <n v="-3.7999999999999999E-2"/>
    <s v=""/>
    <n v="0.23799999999999999"/>
    <n v="0.23799999999999999"/>
    <s v=""/>
    <x v="42"/>
    <n v="0.2"/>
    <s v=""/>
  </r>
  <r>
    <d v="2008-02-15T00:00:00"/>
    <s v="Morningstar (Closed: 02/17/2015)"/>
    <x v="0"/>
    <n v="1"/>
    <s v="MORN"/>
    <s v="$6B"/>
    <s v="Tom"/>
    <m/>
    <n v="64.540000000000006"/>
    <x v="231"/>
    <x v="95"/>
    <n v="193"/>
    <s v=""/>
    <n v="0.19900000000000001"/>
    <n v="0.81399999999999995"/>
    <s v=""/>
    <n v="0.81399999999999995"/>
    <n v="-0.61499999999999999"/>
    <s v=""/>
    <n v="-0.61499999999999999"/>
    <x v="40"/>
    <s v=""/>
    <n v="-0.3"/>
  </r>
  <r>
    <d v="2017-02-17T00:00:00"/>
    <s v="Tractor Supply"/>
    <x v="1"/>
    <n v="1"/>
    <s v="TSCO"/>
    <s v="$9B"/>
    <s v="David"/>
    <n v="8"/>
    <n v="68.67"/>
    <x v="232"/>
    <x v="96"/>
    <n v="192"/>
    <n v="0.17699999999999999"/>
    <s v=""/>
    <n v="0.24099999999999999"/>
    <n v="0.24099999999999999"/>
    <s v=""/>
    <n v="-6.4000000000000001E-2"/>
    <n v="-6.4000000000000001E-2"/>
    <s v=""/>
    <x v="39"/>
    <n v="-0.1"/>
    <s v=""/>
  </r>
  <r>
    <d v="2017-04-21T00:00:00"/>
    <s v="Marriott International"/>
    <x v="1"/>
    <n v="1"/>
    <s v="MAR"/>
    <s v="$34B"/>
    <s v="Tom"/>
    <m/>
    <n v="88.9"/>
    <x v="233"/>
    <x v="96"/>
    <n v="190"/>
    <s v=""/>
    <n v="0.17199999999999999"/>
    <n v="0.23799999999999999"/>
    <s v=""/>
    <n v="0.23799999999999999"/>
    <n v="-6.6000000000000003E-2"/>
    <s v=""/>
    <n v="-6.6000000000000003E-2"/>
    <x v="39"/>
    <s v=""/>
    <n v="-0.1"/>
  </r>
  <r>
    <d v="2007-04-20T00:00:00"/>
    <s v="Mobile Mini"/>
    <x v="0"/>
    <n v="1"/>
    <s v="MINI"/>
    <s v="$1B"/>
    <s v="David"/>
    <n v="17"/>
    <n v="25.39"/>
    <x v="233"/>
    <x v="96"/>
    <n v="190"/>
    <n v="0.17199999999999999"/>
    <s v=""/>
    <n v="1.431"/>
    <n v="1.431"/>
    <s v=""/>
    <n v="-1.2589999999999999"/>
    <n v="-1.2589999999999999"/>
    <s v=""/>
    <x v="45"/>
    <n v="-0.5"/>
    <s v=""/>
  </r>
  <r>
    <d v="2003-09-12T00:00:00"/>
    <s v="Amerigroup (Closed: 05/18/2007)"/>
    <x v="0"/>
    <n v="1"/>
    <s v="AGP.DL2"/>
    <s v="N/A Stock quote details"/>
    <s v="Tom"/>
    <m/>
    <n v="21"/>
    <x v="234"/>
    <x v="96"/>
    <n v="189"/>
    <s v=""/>
    <n v="0.16900000000000001"/>
    <n v="0.59799999999999998"/>
    <s v=""/>
    <n v="0.59799999999999998"/>
    <n v="-0.42899999999999999"/>
    <s v=""/>
    <n v="-0.42899999999999999"/>
    <x v="40"/>
    <s v=""/>
    <n v="-0.3"/>
  </r>
  <r>
    <d v="2010-05-21T00:00:00"/>
    <s v="DreamWorks Animation (Closed: 06/27/2016)"/>
    <x v="1"/>
    <n v="1"/>
    <s v="DWA"/>
    <s v="N/A Stock quote details"/>
    <s v="Tom"/>
    <m/>
    <n v="34.869999999999997"/>
    <x v="235"/>
    <x v="96"/>
    <n v="188"/>
    <s v=""/>
    <n v="0.16800000000000001"/>
    <n v="1.0940000000000001"/>
    <s v=""/>
    <n v="1.0940000000000001"/>
    <n v="-0.92600000000000005"/>
    <s v=""/>
    <n v="-0.92600000000000005"/>
    <x v="46"/>
    <s v=""/>
    <n v="-0.4"/>
  </r>
  <r>
    <d v="2002-07-12T00:00:00"/>
    <s v="Time Warner (Closed: 06/20/2008)"/>
    <x v="0"/>
    <n v="1"/>
    <s v="TWX.DL"/>
    <s v="N/A Stock quote details"/>
    <s v="David"/>
    <m/>
    <n v="37.979999999999997"/>
    <x v="236"/>
    <x v="97"/>
    <n v="187"/>
    <n v="0.153"/>
    <s v=""/>
    <n v="0.59599999999999997"/>
    <n v="0.59599999999999997"/>
    <s v=""/>
    <n v="-0.443"/>
    <n v="-0.443"/>
    <s v=""/>
    <x v="40"/>
    <n v="-0.3"/>
    <s v=""/>
  </r>
  <r>
    <d v="2015-09-18T00:00:00"/>
    <s v="Novo Nordisk"/>
    <x v="1"/>
    <n v="1"/>
    <s v="NVO"/>
    <s v="$930B"/>
    <s v="David"/>
    <n v="7"/>
    <n v="51.68"/>
    <x v="237"/>
    <x v="97"/>
    <n v="186"/>
    <n v="0.15"/>
    <s v=""/>
    <n v="0.53700000000000003"/>
    <n v="0.53700000000000003"/>
    <s v=""/>
    <n v="-0.38600000000000001"/>
    <n v="-0.38600000000000001"/>
    <s v=""/>
    <x v="40"/>
    <n v="-0.3"/>
    <s v=""/>
  </r>
  <r>
    <d v="2012-09-21T00:00:00"/>
    <s v="Air Methods (Closed: 04/19/2017)"/>
    <x v="1"/>
    <n v="1"/>
    <s v="AIRM"/>
    <s v="N/A Stock quote details"/>
    <s v="Tom"/>
    <m/>
    <n v="37.520000000000003"/>
    <x v="238"/>
    <x v="97"/>
    <n v="185"/>
    <s v=""/>
    <n v="0.14599999999999999"/>
    <n v="0.76500000000000001"/>
    <s v=""/>
    <n v="0.76500000000000001"/>
    <n v="-0.61899999999999999"/>
    <s v=""/>
    <n v="-0.61899999999999999"/>
    <x v="46"/>
    <s v=""/>
    <n v="-0.4"/>
  </r>
  <r>
    <d v="2019-01-03T00:00:00"/>
    <s v="Twilio"/>
    <x v="1"/>
    <n v="1"/>
    <s v="TWLO"/>
    <s v="$13B"/>
    <s v="Tom"/>
    <m/>
    <n v="81.25"/>
    <x v="239"/>
    <x v="97"/>
    <n v="184"/>
    <s v=""/>
    <n v="0.14499999999999999"/>
    <n v="0.14899999999999999"/>
    <s v=""/>
    <n v="0.14899999999999999"/>
    <n v="-3.0000000000000001E-3"/>
    <s v=""/>
    <n v="-3.0000000000000001E-3"/>
    <x v="35"/>
    <s v=""/>
    <n v="0"/>
  </r>
  <r>
    <d v="2010-06-18T00:00:00"/>
    <s v="NOW Corporate Action Details"/>
    <x v="1"/>
    <n v="1"/>
    <s v="DNOW"/>
    <s v="$781M"/>
    <s v="Tom"/>
    <m/>
    <s v="$0 N/A Corporate Action Details"/>
    <x v="240"/>
    <x v="97"/>
    <n v="183"/>
    <s v=""/>
    <n v="0.14399999999999999"/>
    <n v="1.8280000000000001"/>
    <s v=""/>
    <n v="1.8280000000000001"/>
    <n v="-1.6830000000000001"/>
    <s v=""/>
    <n v="-1.6830000000000001"/>
    <x v="47"/>
    <s v=""/>
    <n v="-0.6"/>
  </r>
  <r>
    <d v="2018-11-01T00:00:00"/>
    <s v="Zscaler"/>
    <x v="1"/>
    <n v="1"/>
    <s v="ZS"/>
    <s v="$6B"/>
    <s v="Tom"/>
    <m/>
    <n v="38.96"/>
    <x v="241"/>
    <x v="98"/>
    <n v="182"/>
    <s v=""/>
    <n v="0.128"/>
    <n v="0.03"/>
    <s v=""/>
    <n v="0.03"/>
    <n v="9.7000000000000003E-2"/>
    <s v=""/>
    <n v="9.7000000000000003E-2"/>
    <x v="33"/>
    <s v=""/>
    <n v="0.1"/>
  </r>
  <r>
    <d v="2003-12-12T00:00:00"/>
    <s v="Daktronics (Closed: 05/20/2005)"/>
    <x v="0"/>
    <n v="1"/>
    <s v="DAKT"/>
    <s v="$222M"/>
    <s v="Tom"/>
    <m/>
    <n v="10.32"/>
    <x v="242"/>
    <x v="98"/>
    <n v="181"/>
    <s v=""/>
    <n v="0.126"/>
    <n v="0.13500000000000001"/>
    <s v=""/>
    <n v="0.13500000000000001"/>
    <n v="-8.9999999999999993E-3"/>
    <s v=""/>
    <n v="-8.9999999999999993E-3"/>
    <x v="35"/>
    <s v=""/>
    <n v="0"/>
  </r>
  <r>
    <d v="2019-11-07T00:00:00"/>
    <s v="The Trade Desk"/>
    <x v="1"/>
    <n v="1"/>
    <s v="TTD"/>
    <s v="$10B"/>
    <s v="Tom"/>
    <m/>
    <n v="192.75"/>
    <x v="243"/>
    <x v="98"/>
    <n v="180"/>
    <s v=""/>
    <n v="0.123"/>
    <n v="-0.104"/>
    <s v=""/>
    <n v="-0.104"/>
    <n v="0.22700000000000001"/>
    <s v=""/>
    <n v="0.22700000000000001"/>
    <x v="37"/>
    <s v=""/>
    <n v="0.3"/>
  </r>
  <r>
    <d v="2018-06-21T00:00:00"/>
    <s v="Amgen"/>
    <x v="1"/>
    <n v="1"/>
    <s v="AMGN"/>
    <s v="$117B"/>
    <s v="David"/>
    <n v="9"/>
    <n v="176.78"/>
    <x v="244"/>
    <x v="98"/>
    <n v="179"/>
    <n v="0.122"/>
    <s v=""/>
    <n v="3.3000000000000002E-2"/>
    <n v="3.3000000000000002E-2"/>
    <s v=""/>
    <n v="8.8999999999999996E-2"/>
    <n v="8.8999999999999996E-2"/>
    <s v=""/>
    <x v="33"/>
    <n v="0.1"/>
    <s v=""/>
  </r>
  <r>
    <d v="2019-11-21T00:00:00"/>
    <s v="Netflix"/>
    <x v="1"/>
    <n v="1"/>
    <s v="NFLX"/>
    <s v="$152B"/>
    <s v="David"/>
    <n v="12"/>
    <n v="311.69"/>
    <x v="245"/>
    <x v="98"/>
    <n v="178"/>
    <n v="0.112"/>
    <s v=""/>
    <n v="-0.11"/>
    <n v="-0.11"/>
    <s v=""/>
    <n v="0.222"/>
    <n v="0.222"/>
    <s v=""/>
    <x v="42"/>
    <n v="0.2"/>
    <s v=""/>
  </r>
  <r>
    <d v="2006-12-15T00:00:00"/>
    <s v="FedEx"/>
    <x v="0"/>
    <n v="1"/>
    <s v="FDX"/>
    <s v="$30B"/>
    <s v="David"/>
    <n v="10"/>
    <n v="104.1"/>
    <x v="246"/>
    <x v="98"/>
    <n v="177"/>
    <n v="0.111"/>
    <s v=""/>
    <n v="1.544"/>
    <n v="1.544"/>
    <s v=""/>
    <n v="-1.4319999999999999"/>
    <n v="-1.4319999999999999"/>
    <s v=""/>
    <x v="47"/>
    <n v="-0.6"/>
    <s v=""/>
  </r>
  <r>
    <d v="2004-03-19T00:00:00"/>
    <s v="AT&amp;T (Closed: 12/16/2005)"/>
    <x v="0"/>
    <n v="1"/>
    <s v="T"/>
    <s v="$249B"/>
    <s v="David"/>
    <m/>
    <n v="22.5"/>
    <x v="247"/>
    <x v="98"/>
    <n v="176"/>
    <n v="0.11"/>
    <s v=""/>
    <n v="0.17799999999999999"/>
    <n v="0.17799999999999999"/>
    <s v=""/>
    <n v="-6.9000000000000006E-2"/>
    <n v="-6.9000000000000006E-2"/>
    <s v=""/>
    <x v="39"/>
    <n v="-0.1"/>
    <s v=""/>
  </r>
  <r>
    <d v="2006-03-17T00:00:00"/>
    <s v="InterDigital (Closed: 07/20/2012)"/>
    <x v="0"/>
    <n v="1"/>
    <s v="IDCC"/>
    <s v="$1B"/>
    <s v="David"/>
    <m/>
    <n v="24.86"/>
    <x v="248"/>
    <x v="99"/>
    <n v="175"/>
    <n v="0.108"/>
    <s v=""/>
    <n v="0.192"/>
    <n v="0.192"/>
    <s v=""/>
    <n v="-8.4000000000000005E-2"/>
    <n v="-8.4000000000000005E-2"/>
    <s v=""/>
    <x v="39"/>
    <n v="-0.1"/>
    <s v=""/>
  </r>
  <r>
    <d v="2006-07-21T00:00:00"/>
    <s v="Altaba Inc (Closed: 02/01/2008)"/>
    <x v="0"/>
    <n v="1"/>
    <s v="AABA"/>
    <s v="N/A Stock quote details"/>
    <s v="Tom"/>
    <m/>
    <s v="$0 N/A Corporate Action Details"/>
    <x v="249"/>
    <x v="99"/>
    <n v="174"/>
    <s v=""/>
    <n v="9.6000000000000002E-2"/>
    <n v="0.158"/>
    <s v=""/>
    <n v="0.158"/>
    <n v="-6.2E-2"/>
    <s v=""/>
    <n v="-6.2E-2"/>
    <x v="39"/>
    <s v=""/>
    <n v="-0.1"/>
  </r>
  <r>
    <d v="2011-03-18T00:00:00"/>
    <s v="II-VI"/>
    <x v="1"/>
    <n v="1"/>
    <s v="IIVI"/>
    <s v="$2B"/>
    <s v="David"/>
    <n v="12"/>
    <n v="23.16"/>
    <x v="250"/>
    <x v="99"/>
    <n v="173"/>
    <n v="9.1999999999999998E-2"/>
    <s v=""/>
    <n v="1.589"/>
    <n v="1.589"/>
    <s v=""/>
    <n v="-1.4970000000000001"/>
    <n v="-1.4970000000000001"/>
    <s v=""/>
    <x v="47"/>
    <n v="-0.6"/>
    <s v=""/>
  </r>
  <r>
    <d v="2010-12-17T00:00:00"/>
    <s v="Laboratory Corporation of America (Closed: 03/21/2014)"/>
    <x v="1"/>
    <n v="1"/>
    <s v="LH"/>
    <s v="$17B"/>
    <s v="Tom"/>
    <m/>
    <n v="88.92"/>
    <x v="251"/>
    <x v="99"/>
    <n v="172"/>
    <s v=""/>
    <n v="9.0999999999999998E-2"/>
    <n v="0.61"/>
    <s v=""/>
    <n v="0.61"/>
    <n v="-0.51800000000000002"/>
    <s v=""/>
    <n v="-0.51800000000000002"/>
    <x v="40"/>
    <s v=""/>
    <n v="-0.3"/>
  </r>
  <r>
    <d v="2008-05-16T00:00:00"/>
    <s v="Morningstar (Closed: 02/17/2015)"/>
    <x v="0"/>
    <n v="1"/>
    <s v="MORN"/>
    <s v="$6B"/>
    <s v="Tom"/>
    <m/>
    <n v="71.38"/>
    <x v="252"/>
    <x v="99"/>
    <n v="171"/>
    <s v=""/>
    <n v="8.4000000000000005E-2"/>
    <n v="0.70899999999999996"/>
    <s v=""/>
    <n v="0.70899999999999996"/>
    <n v="-0.625"/>
    <s v=""/>
    <n v="-0.625"/>
    <x v="46"/>
    <s v=""/>
    <n v="-0.4"/>
  </r>
  <r>
    <d v="2019-08-15T00:00:00"/>
    <s v="Jack Henry &amp; Associates"/>
    <x v="1"/>
    <n v="1"/>
    <s v="JKHY"/>
    <s v="$12B"/>
    <s v="David"/>
    <n v="9"/>
    <n v="140.79"/>
    <x v="253"/>
    <x v="100"/>
    <n v="170"/>
    <n v="7.6999999999999999E-2"/>
    <s v=""/>
    <n v="-2.5000000000000001E-2"/>
    <n v="-2.5000000000000001E-2"/>
    <s v=""/>
    <n v="0.10199999999999999"/>
    <n v="0.10199999999999999"/>
    <s v=""/>
    <x v="33"/>
    <n v="0.1"/>
    <s v=""/>
  </r>
  <r>
    <d v="2003-10-10T00:00:00"/>
    <s v="ARM Holdings (Closed: 06/19/2009)"/>
    <x v="0"/>
    <n v="1"/>
    <s v="ARMH"/>
    <s v="N/A Stock quote details"/>
    <s v="David"/>
    <m/>
    <n v="5.25"/>
    <x v="254"/>
    <x v="100"/>
    <n v="169"/>
    <n v="7.3999999999999996E-2"/>
    <s v=""/>
    <n v="-5.0000000000000001E-3"/>
    <n v="-5.0000000000000001E-3"/>
    <s v=""/>
    <n v="7.9000000000000001E-2"/>
    <n v="7.9000000000000001E-2"/>
    <s v=""/>
    <x v="33"/>
    <n v="0.1"/>
    <s v=""/>
  </r>
  <r>
    <d v="2010-03-19T00:00:00"/>
    <s v="Nucor"/>
    <x v="1"/>
    <n v="1"/>
    <s v="NUE"/>
    <s v="$10B"/>
    <s v="David"/>
    <n v="10"/>
    <n v="32.450000000000003"/>
    <x v="255"/>
    <x v="100"/>
    <n v="168"/>
    <n v="7.0000000000000007E-2"/>
    <s v=""/>
    <n v="1.913"/>
    <n v="1.913"/>
    <s v=""/>
    <n v="-1.8420000000000001"/>
    <n v="-1.8420000000000001"/>
    <s v=""/>
    <x v="47"/>
    <n v="-0.6"/>
    <s v=""/>
  </r>
  <r>
    <d v="2015-06-19T00:00:00"/>
    <s v="Chipotle Mexican Grill"/>
    <x v="1"/>
    <n v="1"/>
    <s v="CMG"/>
    <s v="$18B"/>
    <s v="Tom"/>
    <m/>
    <n v="615.30999999999995"/>
    <x v="256"/>
    <x v="100"/>
    <n v="167"/>
    <s v=""/>
    <n v="6.9000000000000006E-2"/>
    <n v="0.434"/>
    <s v=""/>
    <n v="0.434"/>
    <n v="-0.36399999999999999"/>
    <s v=""/>
    <n v="-0.36399999999999999"/>
    <x v="40"/>
    <s v=""/>
    <n v="-0.3"/>
  </r>
  <r>
    <d v="2008-04-18T00:00:00"/>
    <s v="Axsys Technologies (Closed: 06/19/2009)"/>
    <x v="0"/>
    <n v="1"/>
    <s v="AXYS.DL"/>
    <s v="N/A Stock quote details"/>
    <s v="David"/>
    <m/>
    <n v="50.15"/>
    <x v="257"/>
    <x v="100"/>
    <n v="166"/>
    <n v="6.6000000000000003E-2"/>
    <s v=""/>
    <n v="-0.317"/>
    <n v="-0.317"/>
    <s v=""/>
    <n v="0.38300000000000001"/>
    <n v="0.38300000000000001"/>
    <s v=""/>
    <x v="31"/>
    <n v="0.6"/>
    <s v=""/>
  </r>
  <r>
    <d v="2016-10-21T00:00:00"/>
    <s v="Grupo Aeroportuario del Pacifico"/>
    <x v="1"/>
    <n v="1"/>
    <s v="PAC"/>
    <s v="$105B"/>
    <s v="David"/>
    <n v="7"/>
    <n v="89.01"/>
    <x v="258"/>
    <x v="100"/>
    <n v="165"/>
    <n v="0.06"/>
    <s v=""/>
    <n v="0.373"/>
    <n v="0.373"/>
    <s v=""/>
    <n v="-0.313"/>
    <n v="-0.313"/>
    <s v=""/>
    <x v="41"/>
    <n v="-0.2"/>
    <s v=""/>
  </r>
  <r>
    <d v="2017-09-15T00:00:00"/>
    <s v="Arista Networks"/>
    <x v="1"/>
    <n v="1"/>
    <s v="ANET"/>
    <s v="$14B"/>
    <s v="Tom"/>
    <m/>
    <n v="176.96"/>
    <x v="259"/>
    <x v="101"/>
    <n v="163"/>
    <s v=""/>
    <n v="4.9000000000000002E-2"/>
    <n v="0.153"/>
    <s v=""/>
    <n v="0.153"/>
    <n v="-0.104"/>
    <s v=""/>
    <n v="-0.104"/>
    <x v="39"/>
    <s v=""/>
    <n v="-0.1"/>
  </r>
  <r>
    <d v="2013-05-17T00:00:00"/>
    <s v="LinkedIn (Closed: 06/15/2016)"/>
    <x v="1"/>
    <n v="1"/>
    <s v="LNKD.DL"/>
    <s v="N/A Stock quote details"/>
    <s v="Tom"/>
    <m/>
    <n v="182.35"/>
    <x v="259"/>
    <x v="101"/>
    <n v="163"/>
    <s v=""/>
    <n v="4.9000000000000002E-2"/>
    <n v="0.32600000000000001"/>
    <s v=""/>
    <n v="0.32600000000000001"/>
    <n v="-0.27700000000000002"/>
    <s v=""/>
    <n v="-0.27700000000000002"/>
    <x v="41"/>
    <s v=""/>
    <n v="-0.2"/>
  </r>
  <r>
    <d v="2019-05-16T00:00:00"/>
    <s v="Synopsys"/>
    <x v="1"/>
    <n v="1"/>
    <s v="SNPS"/>
    <s v="$19B"/>
    <s v="David"/>
    <n v="6"/>
    <n v="123.17"/>
    <x v="260"/>
    <x v="101"/>
    <n v="162"/>
    <n v="3.6999999999999998E-2"/>
    <s v=""/>
    <n v="-0.03"/>
    <n v="-0.03"/>
    <s v=""/>
    <n v="6.7000000000000004E-2"/>
    <n v="6.7000000000000004E-2"/>
    <s v=""/>
    <x v="33"/>
    <n v="0.1"/>
    <s v=""/>
  </r>
  <r>
    <d v="2019-07-18T00:00:00"/>
    <s v="Zynga"/>
    <x v="1"/>
    <n v="1"/>
    <s v="ZNGA"/>
    <s v="$6B"/>
    <s v="David"/>
    <n v="13"/>
    <n v="6.3"/>
    <x v="261"/>
    <x v="101"/>
    <n v="160"/>
    <n v="3.5999999999999997E-2"/>
    <s v=""/>
    <n v="-7.0999999999999994E-2"/>
    <n v="-7.0999999999999994E-2"/>
    <s v=""/>
    <n v="0.108"/>
    <n v="0.108"/>
    <s v=""/>
    <x v="33"/>
    <n v="0.1"/>
    <s v=""/>
  </r>
  <r>
    <d v="2018-11-15T00:00:00"/>
    <s v="Zebra Technologies"/>
    <x v="1"/>
    <n v="1"/>
    <s v="ZBRA"/>
    <s v="$10B"/>
    <s v="David"/>
    <n v="12"/>
    <n v="178.91"/>
    <x v="261"/>
    <x v="101"/>
    <n v="160"/>
    <n v="3.5999999999999997E-2"/>
    <s v=""/>
    <n v="3.3000000000000002E-2"/>
    <n v="3.3000000000000002E-2"/>
    <s v=""/>
    <n v="3.0000000000000001E-3"/>
    <n v="3.0000000000000001E-3"/>
    <s v=""/>
    <x v="35"/>
    <n v="0"/>
    <s v=""/>
  </r>
  <r>
    <d v="2010-01-15T00:00:00"/>
    <s v="The Ensign Group (Closed: 09/17/2010)"/>
    <x v="1"/>
    <n v="1"/>
    <s v="ENSG"/>
    <s v="$2B"/>
    <s v="Tom"/>
    <m/>
    <n v="8.65"/>
    <x v="262"/>
    <x v="102"/>
    <n v="159"/>
    <s v=""/>
    <n v="2.9000000000000001E-2"/>
    <n v="5.0000000000000001E-3"/>
    <s v=""/>
    <n v="5.0000000000000001E-3"/>
    <n v="2.5000000000000001E-2"/>
    <s v=""/>
    <n v="2.5000000000000001E-2"/>
    <x v="35"/>
    <s v=""/>
    <n v="0"/>
  </r>
  <r>
    <d v="2002-03-08T00:00:00"/>
    <s v="Charles Schwab (Closed: 09/21/2012)"/>
    <x v="0"/>
    <n v="1"/>
    <s v="SCHW"/>
    <s v="$39B"/>
    <s v="David"/>
    <m/>
    <n v="13.27"/>
    <x v="263"/>
    <x v="102"/>
    <n v="158"/>
    <n v="2.3E-2"/>
    <s v=""/>
    <n v="0.54700000000000004"/>
    <n v="0.54700000000000004"/>
    <s v=""/>
    <n v="-0.52400000000000002"/>
    <n v="-0.52400000000000002"/>
    <s v=""/>
    <x v="40"/>
    <n v="-0.3"/>
    <s v=""/>
  </r>
  <r>
    <d v="2008-11-21T00:00:00"/>
    <s v="Strayer Education (Closed: 01/16/2009)"/>
    <x v="0"/>
    <n v="1"/>
    <s v="STRA"/>
    <s v="$3B"/>
    <s v="David"/>
    <m/>
    <n v="214.91"/>
    <x v="264"/>
    <x v="102"/>
    <n v="157"/>
    <n v="2.1000000000000001E-2"/>
    <s v=""/>
    <n v="6.7000000000000004E-2"/>
    <n v="6.7000000000000004E-2"/>
    <s v=""/>
    <n v="-4.5999999999999999E-2"/>
    <n v="-4.5999999999999999E-2"/>
    <s v=""/>
    <x v="35"/>
    <n v="0"/>
    <s v=""/>
  </r>
  <r>
    <d v="2002-11-08T00:00:00"/>
    <s v="Websense (Closed: 07/21/2003)"/>
    <x v="0"/>
    <n v="1"/>
    <s v="WBSN.DL"/>
    <s v="N/A Stock quote details"/>
    <s v="Tom"/>
    <m/>
    <n v="9.68"/>
    <x v="265"/>
    <x v="102"/>
    <n v="156"/>
    <s v=""/>
    <n v="1.7999999999999999E-2"/>
    <n v="0.108"/>
    <s v=""/>
    <n v="0.108"/>
    <n v="-0.09"/>
    <s v=""/>
    <n v="-0.09"/>
    <x v="39"/>
    <s v=""/>
    <n v="-0.1"/>
  </r>
  <r>
    <d v="2018-10-18T00:00:00"/>
    <s v="Amazon"/>
    <x v="1"/>
    <n v="1"/>
    <s v="AMZN"/>
    <s v="$896B"/>
    <s v="David"/>
    <n v="9"/>
    <n v="1770.72"/>
    <x v="266"/>
    <x v="102"/>
    <n v="155"/>
    <n v="1.7000000000000001E-2"/>
    <s v=""/>
    <n v="0.02"/>
    <n v="0.02"/>
    <s v=""/>
    <n v="-3.0000000000000001E-3"/>
    <n v="-3.0000000000000001E-3"/>
    <s v=""/>
    <x v="35"/>
    <n v="0"/>
    <s v=""/>
  </r>
  <r>
    <d v="2004-01-16T00:00:00"/>
    <s v="Regis (Closed: 11/18/2005)"/>
    <x v="0"/>
    <n v="1"/>
    <s v="RGS"/>
    <s v="$366M"/>
    <s v="Tom"/>
    <m/>
    <n v="39.9"/>
    <x v="267"/>
    <x v="103"/>
    <n v="154"/>
    <s v=""/>
    <n v="1.0999999999999999E-2"/>
    <n v="0.13200000000000001"/>
    <s v=""/>
    <n v="0.13200000000000001"/>
    <n v="-0.121"/>
    <s v=""/>
    <n v="-0.121"/>
    <x v="39"/>
    <s v=""/>
    <n v="-0.1"/>
  </r>
  <r>
    <d v="2013-02-15T00:00:00"/>
    <s v="Whole Foods Market (Closed: 07/25/2017)"/>
    <x v="1"/>
    <n v="1"/>
    <s v="WFM"/>
    <s v="N/A Stock quote details"/>
    <s v="David"/>
    <m/>
    <n v="41.47"/>
    <x v="268"/>
    <x v="103"/>
    <n v="153"/>
    <n v="7.0000000000000001E-3"/>
    <s v=""/>
    <n v="0.78900000000000003"/>
    <n v="0.78900000000000003"/>
    <s v=""/>
    <n v="-0.78200000000000003"/>
    <n v="-0.78200000000000003"/>
    <s v=""/>
    <x v="46"/>
    <n v="-0.4"/>
    <s v=""/>
  </r>
  <r>
    <d v="2017-08-18T00:00:00"/>
    <s v="JD.com"/>
    <x v="1"/>
    <n v="1"/>
    <s v="JD"/>
    <s v="$58B"/>
    <s v="David"/>
    <n v="10"/>
    <n v="40.130000000000003"/>
    <x v="269"/>
    <x v="103"/>
    <n v="151"/>
    <n v="-6.0000000000000001E-3"/>
    <s v=""/>
    <n v="0.191"/>
    <n v="0.191"/>
    <s v=""/>
    <n v="-0.19600000000000001"/>
    <n v="-0.19600000000000001"/>
    <s v=""/>
    <x v="41"/>
    <n v="-0.2"/>
    <s v=""/>
  </r>
  <r>
    <d v="2004-11-19T00:00:00"/>
    <s v="Embraer Brazilian Aviation Co (Closed: 12/21/2018)"/>
    <x v="0"/>
    <n v="1"/>
    <s v="ERJ"/>
    <s v="$11B"/>
    <s v="David"/>
    <n v="18"/>
    <n v="21.7"/>
    <x v="269"/>
    <x v="103"/>
    <n v="151"/>
    <n v="-6.0000000000000001E-3"/>
    <s v=""/>
    <n v="1.7689999999999999"/>
    <n v="1.7689999999999999"/>
    <s v=""/>
    <n v="-1.7749999999999999"/>
    <n v="-1.7749999999999999"/>
    <s v=""/>
    <x v="47"/>
    <n v="-0.6"/>
    <s v=""/>
  </r>
  <r>
    <d v="2014-02-21T00:00:00"/>
    <s v="CVS Health"/>
    <x v="1"/>
    <n v="1"/>
    <s v="CVS"/>
    <s v="$80B"/>
    <s v="David"/>
    <n v="10"/>
    <n v="62.13"/>
    <x v="270"/>
    <x v="104"/>
    <n v="150"/>
    <n v="-1.2999999999999999E-2"/>
    <s v=""/>
    <n v="0.69199999999999995"/>
    <n v="0.69199999999999995"/>
    <s v=""/>
    <n v="-0.70599999999999996"/>
    <n v="-0.70599999999999996"/>
    <s v=""/>
    <x v="46"/>
    <n v="-0.4"/>
    <s v=""/>
  </r>
  <r>
    <d v="2019-06-20T00:00:00"/>
    <s v="Waste Management"/>
    <x v="1"/>
    <n v="1"/>
    <s v="WM"/>
    <s v="$48B"/>
    <s v="David"/>
    <n v="10"/>
    <n v="114.52"/>
    <x v="271"/>
    <x v="104"/>
    <n v="149"/>
    <n v="-2.1000000000000001E-2"/>
    <s v=""/>
    <n v="-5.7000000000000002E-2"/>
    <n v="-5.7000000000000002E-2"/>
    <s v=""/>
    <n v="3.5999999999999997E-2"/>
    <n v="3.5999999999999997E-2"/>
    <s v=""/>
    <x v="35"/>
    <n v="0"/>
    <s v=""/>
  </r>
  <r>
    <d v="2010-07-16T00:00:00"/>
    <s v="Nuance Communications (Closed: 06/26/2019)"/>
    <x v="1"/>
    <n v="1"/>
    <s v="NUAN"/>
    <s v="$5B"/>
    <s v="David"/>
    <n v="19"/>
    <n v="16.02"/>
    <x v="272"/>
    <x v="104"/>
    <n v="148"/>
    <n v="-2.4E-2"/>
    <s v=""/>
    <n v="2.2989999999999999"/>
    <n v="2.2989999999999999"/>
    <s v=""/>
    <n v="-2.323"/>
    <n v="-2.323"/>
    <s v=""/>
    <x v="48"/>
    <n v="-0.7"/>
    <s v=""/>
  </r>
  <r>
    <d v="2017-08-18T00:00:00"/>
    <s v="Grand Canyon Education"/>
    <x v="1"/>
    <n v="1"/>
    <s v="LOPE"/>
    <s v="$4B"/>
    <s v="Tom"/>
    <m/>
    <n v="80.010000000000005"/>
    <x v="273"/>
    <x v="104"/>
    <n v="147"/>
    <s v=""/>
    <n v="-2.5999999999999999E-2"/>
    <n v="0.191"/>
    <s v=""/>
    <n v="0.191"/>
    <n v="-0.217"/>
    <s v=""/>
    <n v="-0.217"/>
    <x v="41"/>
    <s v=""/>
    <n v="-0.2"/>
  </r>
  <r>
    <d v="2013-11-15T00:00:00"/>
    <s v="Generac Holdings (Closed: 12/01/2017)"/>
    <x v="1"/>
    <n v="1"/>
    <s v="GNRC"/>
    <s v="$6B"/>
    <s v="Tom"/>
    <m/>
    <n v="50.11"/>
    <x v="274"/>
    <x v="104"/>
    <n v="146"/>
    <s v=""/>
    <n v="-2.8000000000000001E-2"/>
    <n v="0.59899999999999998"/>
    <s v=""/>
    <n v="0.59899999999999998"/>
    <n v="-0.627"/>
    <s v=""/>
    <n v="-0.627"/>
    <x v="46"/>
    <s v=""/>
    <n v="-0.4"/>
  </r>
  <r>
    <d v="2018-03-15T00:00:00"/>
    <s v="Markel"/>
    <x v="1"/>
    <n v="1"/>
    <s v="MKL"/>
    <s v="$15B"/>
    <s v="Tom"/>
    <m/>
    <n v="1139.3599999999999"/>
    <x v="275"/>
    <x v="105"/>
    <n v="145"/>
    <s v=""/>
    <n v="-0.04"/>
    <n v="0.04"/>
    <s v=""/>
    <n v="0.04"/>
    <n v="-7.9000000000000001E-2"/>
    <s v=""/>
    <n v="-7.9000000000000001E-2"/>
    <x v="39"/>
    <s v=""/>
    <n v="-0.1"/>
  </r>
  <r>
    <d v="2011-12-16T00:00:00"/>
    <s v="Tapestry (Closed: 01/12/2018)"/>
    <x v="1"/>
    <n v="1"/>
    <s v="TPR"/>
    <s v="$5B"/>
    <s v="Tom"/>
    <m/>
    <n v="47.95"/>
    <x v="276"/>
    <x v="105"/>
    <n v="144"/>
    <s v=""/>
    <n v="-4.4999999999999998E-2"/>
    <n v="1.5980000000000001"/>
    <s v=""/>
    <n v="1.5980000000000001"/>
    <n v="-1.643"/>
    <s v=""/>
    <n v="-1.643"/>
    <x v="47"/>
    <s v=""/>
    <n v="-0.6"/>
  </r>
  <r>
    <d v="2015-07-17T00:00:00"/>
    <s v="Amerco"/>
    <x v="1"/>
    <n v="1"/>
    <s v="UHAL"/>
    <s v="$6B"/>
    <s v="David"/>
    <n v="12"/>
    <n v="326.42"/>
    <x v="277"/>
    <x v="105"/>
    <n v="143"/>
    <n v="-4.8000000000000001E-2"/>
    <s v=""/>
    <n v="0.42099999999999999"/>
    <n v="0.42099999999999999"/>
    <s v=""/>
    <n v="-0.46899999999999997"/>
    <n v="-0.46899999999999997"/>
    <s v=""/>
    <x v="40"/>
    <n v="-0.3"/>
    <s v=""/>
  </r>
  <r>
    <d v="2004-06-18T00:00:00"/>
    <s v="Integra LifeSciences (Closed: 11/20/2009)"/>
    <x v="0"/>
    <n v="1"/>
    <s v="IART"/>
    <s v="$4B"/>
    <s v="Tom"/>
    <m/>
    <n v="16.86"/>
    <x v="278"/>
    <x v="105"/>
    <n v="142"/>
    <s v=""/>
    <n v="-5.0999999999999997E-2"/>
    <n v="7.4999999999999997E-2"/>
    <s v=""/>
    <n v="7.4999999999999997E-2"/>
    <n v="-0.126"/>
    <s v=""/>
    <n v="-0.126"/>
    <x v="39"/>
    <s v=""/>
    <n v="-0.1"/>
  </r>
  <r>
    <d v="2005-03-18T00:00:00"/>
    <s v="Palm (Closed: 04/18/2008)"/>
    <x v="0"/>
    <n v="1"/>
    <s v="PALM.DL2"/>
    <s v="N/A Stock quote details"/>
    <s v="David"/>
    <m/>
    <n v="5.88"/>
    <x v="279"/>
    <x v="106"/>
    <n v="141"/>
    <n v="-5.6000000000000001E-2"/>
    <s v=""/>
    <n v="0.23899999999999999"/>
    <n v="0.23899999999999999"/>
    <s v=""/>
    <n v="-0.29499999999999998"/>
    <n v="-0.29499999999999998"/>
    <s v=""/>
    <x v="41"/>
    <n v="-0.2"/>
    <s v=""/>
  </r>
  <r>
    <d v="2011-02-18T00:00:00"/>
    <s v="Techne (Closed: 04/19/2013)"/>
    <x v="1"/>
    <n v="1"/>
    <s v="TECH"/>
    <s v="$7B"/>
    <s v="Tom"/>
    <m/>
    <n v="69.150000000000006"/>
    <x v="280"/>
    <x v="106"/>
    <n v="140"/>
    <s v=""/>
    <n v="-6.2E-2"/>
    <n v="0.214"/>
    <s v=""/>
    <n v="0.214"/>
    <n v="-0.27600000000000002"/>
    <s v=""/>
    <n v="-0.27600000000000002"/>
    <x v="41"/>
    <s v=""/>
    <n v="-0.2"/>
  </r>
  <r>
    <d v="2019-12-05T00:00:00"/>
    <s v="HubSpot"/>
    <x v="1"/>
    <n v="1"/>
    <s v="HUBS"/>
    <s v="$6B"/>
    <s v="Tom"/>
    <m/>
    <n v="153.55000000000001"/>
    <x v="281"/>
    <x v="106"/>
    <n v="139"/>
    <s v=""/>
    <n v="-7.0999999999999994E-2"/>
    <n v="-0.115"/>
    <s v=""/>
    <n v="-0.115"/>
    <n v="4.3999999999999997E-2"/>
    <s v=""/>
    <n v="4.3999999999999997E-2"/>
    <x v="35"/>
    <s v=""/>
    <n v="0"/>
  </r>
  <r>
    <d v="2019-10-17T00:00:00"/>
    <s v="Neurocrine Biosciences"/>
    <x v="1"/>
    <n v="1"/>
    <s v="NBIX"/>
    <s v="$8B"/>
    <s v="David"/>
    <n v="11"/>
    <n v="96.85"/>
    <x v="282"/>
    <x v="107"/>
    <n v="138"/>
    <n v="-8.6999999999999994E-2"/>
    <s v=""/>
    <n v="-7.6999999999999999E-2"/>
    <n v="-7.6999999999999999E-2"/>
    <s v=""/>
    <n v="-0.01"/>
    <n v="-0.01"/>
    <s v=""/>
    <x v="35"/>
    <n v="0"/>
    <s v=""/>
  </r>
  <r>
    <d v="2010-01-15T00:00:00"/>
    <s v="Blackboard (Closed: 06/17/2011)"/>
    <x v="1"/>
    <n v="1"/>
    <s v="BBBB.DL"/>
    <s v="N/A Stock quote details"/>
    <s v="David"/>
    <m/>
    <n v="44.91"/>
    <x v="283"/>
    <x v="107"/>
    <n v="137"/>
    <n v="-9.1999999999999998E-2"/>
    <s v=""/>
    <n v="0.152"/>
    <n v="0.152"/>
    <s v=""/>
    <n v="-0.24399999999999999"/>
    <n v="-0.24399999999999999"/>
    <s v=""/>
    <x v="41"/>
    <n v="-0.2"/>
    <s v=""/>
  </r>
  <r>
    <d v="2018-12-13T00:00:00"/>
    <s v="Telkom Indonesia"/>
    <x v="1"/>
    <n v="1"/>
    <s v="TLK"/>
    <s v="$346,718B"/>
    <s v="David"/>
    <n v="8"/>
    <n v="25.92"/>
    <x v="284"/>
    <x v="107"/>
    <n v="136"/>
    <n v="-9.5000000000000001E-2"/>
    <s v=""/>
    <n v="6.2E-2"/>
    <n v="6.2E-2"/>
    <s v=""/>
    <n v="-0.157"/>
    <n v="-0.157"/>
    <s v=""/>
    <x v="39"/>
    <n v="-0.1"/>
    <s v=""/>
  </r>
  <r>
    <d v="2012-06-15T00:00:00"/>
    <s v="Tapestry (Closed: 01/12/2018)"/>
    <x v="1"/>
    <n v="1"/>
    <s v="TPR"/>
    <s v="$5B"/>
    <s v="Tom"/>
    <m/>
    <n v="51.34"/>
    <x v="285"/>
    <x v="108"/>
    <n v="135"/>
    <s v=""/>
    <n v="-0.108"/>
    <n v="1.3340000000000001"/>
    <s v=""/>
    <n v="1.3340000000000001"/>
    <n v="-1.4430000000000001"/>
    <s v=""/>
    <n v="-1.4430000000000001"/>
    <x v="47"/>
    <s v=""/>
    <n v="-0.6"/>
  </r>
  <r>
    <d v="2020-02-20T00:00:00"/>
    <s v="DexCom"/>
    <x v="1"/>
    <n v="1"/>
    <s v="DXCM"/>
    <s v="$24B"/>
    <s v="David"/>
    <n v="12"/>
    <n v="302.51"/>
    <x v="286"/>
    <x v="109"/>
    <n v="134"/>
    <n v="-0.11899999999999999"/>
    <s v=""/>
    <n v="-0.185"/>
    <n v="-0.185"/>
    <s v=""/>
    <n v="6.6000000000000003E-2"/>
    <n v="6.6000000000000003E-2"/>
    <s v=""/>
    <x v="33"/>
    <n v="0.1"/>
    <s v=""/>
  </r>
  <r>
    <d v="2017-12-15T00:00:00"/>
    <s v="Vail Resorts"/>
    <x v="1"/>
    <n v="1"/>
    <s v="MTN"/>
    <s v="$7B"/>
    <s v="David"/>
    <n v="10"/>
    <n v="206.84"/>
    <x v="287"/>
    <x v="109"/>
    <n v="133"/>
    <n v="-0.12"/>
    <s v=""/>
    <n v="7.1999999999999995E-2"/>
    <n v="7.1999999999999995E-2"/>
    <s v=""/>
    <n v="-0.192"/>
    <n v="-0.192"/>
    <s v=""/>
    <x v="41"/>
    <n v="-0.2"/>
    <s v=""/>
  </r>
  <r>
    <d v="2015-04-17T00:00:00"/>
    <s v="Spectrum Brands and Jefferies Financial Group Inc. Corporate Action Details"/>
    <x v="1"/>
    <n v="1"/>
    <s v="SPB JEF"/>
    <s v="N/A Corporate Action Details"/>
    <s v="Tom"/>
    <m/>
    <s v="$0 N/A Corporate Action Details"/>
    <x v="288"/>
    <x v="109"/>
    <n v="132"/>
    <s v=""/>
    <n v="-0.122"/>
    <n v="0.45900000000000002"/>
    <s v=""/>
    <n v="0.45900000000000002"/>
    <n v="-0.58099999999999996"/>
    <s v=""/>
    <n v="-0.58099999999999996"/>
    <x v="46"/>
    <s v=""/>
    <n v="-0.4"/>
  </r>
  <r>
    <d v="2003-05-09T00:00:00"/>
    <s v="Coventry Health Care (Closed: 01/28/2005) Corporate Action Details"/>
    <x v="0"/>
    <n v="1"/>
    <s v="CVH.DL2"/>
    <m/>
    <s v="Tom"/>
    <m/>
    <n v="47.66"/>
    <x v="289"/>
    <x v="109"/>
    <n v="131"/>
    <s v=""/>
    <n v="-0.124"/>
    <n v="0.89100000000000001"/>
    <s v=""/>
    <n v="0.89100000000000001"/>
    <n v="-1.016"/>
    <s v=""/>
    <n v="-1.016"/>
    <x v="45"/>
    <s v=""/>
    <n v="-0.5"/>
  </r>
  <r>
    <d v="2020-03-05T00:00:00"/>
    <s v="Luckin Coffee Inc."/>
    <x v="1"/>
    <n v="1"/>
    <s v="LK"/>
    <s v="$9B"/>
    <s v="Tom"/>
    <m/>
    <n v="41.14"/>
    <x v="290"/>
    <x v="109"/>
    <n v="129"/>
    <s v=""/>
    <n v="-0.125"/>
    <n v="-9.1999999999999998E-2"/>
    <s v=""/>
    <n v="-9.1999999999999998E-2"/>
    <n v="-3.4000000000000002E-2"/>
    <s v=""/>
    <n v="-3.4000000000000002E-2"/>
    <x v="35"/>
    <s v=""/>
    <n v="0"/>
  </r>
  <r>
    <d v="2003-11-07T00:00:00"/>
    <s v="Best Buy (Closed: 06/17/2011)"/>
    <x v="0"/>
    <n v="1"/>
    <s v="BBY"/>
    <s v="$17B"/>
    <s v="David"/>
    <m/>
    <n v="35.450000000000003"/>
    <x v="290"/>
    <x v="109"/>
    <n v="129"/>
    <n v="-0.125"/>
    <s v=""/>
    <n v="0.40699999999999997"/>
    <n v="0.40699999999999997"/>
    <s v=""/>
    <n v="-0.53200000000000003"/>
    <n v="-0.53200000000000003"/>
    <s v=""/>
    <x v="46"/>
    <n v="-0.4"/>
    <s v=""/>
  </r>
  <r>
    <d v="2017-07-21T00:00:00"/>
    <s v="Cognex"/>
    <x v="1"/>
    <n v="1"/>
    <s v="CGNX"/>
    <s v="$7B"/>
    <s v="David"/>
    <n v="9"/>
    <n v="45.43"/>
    <x v="291"/>
    <x v="109"/>
    <n v="128"/>
    <n v="-0.126"/>
    <s v=""/>
    <n v="0.17"/>
    <n v="0.17"/>
    <s v=""/>
    <n v="-0.29599999999999999"/>
    <n v="-0.29599999999999999"/>
    <s v=""/>
    <x v="40"/>
    <n v="-0.3"/>
    <s v=""/>
  </r>
  <r>
    <d v="2011-07-15T00:00:00"/>
    <s v="Tibco Software (Closed: 12/05/2014)"/>
    <x v="1"/>
    <n v="1"/>
    <s v="TIBX.DL"/>
    <s v="N/A Stock quote details"/>
    <s v="David"/>
    <m/>
    <n v="27.69"/>
    <x v="292"/>
    <x v="109"/>
    <n v="126"/>
    <n v="-0.13200000000000001"/>
    <s v=""/>
    <n v="0.69699999999999995"/>
    <n v="0.69699999999999995"/>
    <s v=""/>
    <n v="-0.83"/>
    <n v="-0.83"/>
    <s v=""/>
    <x v="45"/>
    <n v="-0.5"/>
    <s v=""/>
  </r>
  <r>
    <d v="2003-12-12T00:00:00"/>
    <s v="ARM Holdings (Closed: 06/19/2009)"/>
    <x v="0"/>
    <n v="1"/>
    <s v="ARMH"/>
    <s v="N/A Stock quote details"/>
    <s v="David"/>
    <m/>
    <n v="6.5"/>
    <x v="292"/>
    <x v="109"/>
    <n v="126"/>
    <n v="-0.13200000000000001"/>
    <s v=""/>
    <n v="-4.2000000000000003E-2"/>
    <n v="-4.2000000000000003E-2"/>
    <s v=""/>
    <n v="-0.09"/>
    <n v="-0.09"/>
    <s v=""/>
    <x v="39"/>
    <n v="-0.1"/>
    <s v=""/>
  </r>
  <r>
    <d v="2011-05-20T00:00:00"/>
    <s v="Kennametal (Closed: 03/17/2015)"/>
    <x v="1"/>
    <n v="1"/>
    <s v="KMT"/>
    <s v="$2B"/>
    <s v="Tom"/>
    <m/>
    <n v="37.99"/>
    <x v="293"/>
    <x v="109"/>
    <n v="125"/>
    <s v=""/>
    <n v="-0.13400000000000001"/>
    <n v="0.68899999999999995"/>
    <s v=""/>
    <n v="0.68899999999999995"/>
    <n v="-0.82299999999999995"/>
    <s v=""/>
    <n v="-0.82299999999999995"/>
    <x v="45"/>
    <s v=""/>
    <n v="-0.5"/>
  </r>
  <r>
    <d v="2007-03-16T00:00:00"/>
    <s v="Netgear and Arlo Technologies Corporate Action Details"/>
    <x v="0"/>
    <n v="1"/>
    <s v="NTGR ARLO"/>
    <s v="N/A Corporate Action Details"/>
    <s v="David"/>
    <n v="13"/>
    <s v="$0 N/A Corporate Action Details"/>
    <x v="294"/>
    <x v="109"/>
    <n v="124"/>
    <n v="-0.13600000000000001"/>
    <s v=""/>
    <n v="1.6040000000000001"/>
    <n v="1.6040000000000001"/>
    <s v=""/>
    <n v="-1.74"/>
    <n v="-1.74"/>
    <s v=""/>
    <x v="48"/>
    <n v="-0.7"/>
    <s v=""/>
  </r>
  <r>
    <d v="2018-09-20T00:00:00"/>
    <s v="Union Pacific"/>
    <x v="1"/>
    <n v="1"/>
    <s v="UNP"/>
    <s v="$94B"/>
    <s v="David"/>
    <n v="7"/>
    <n v="158.66"/>
    <x v="295"/>
    <x v="110"/>
    <n v="123"/>
    <n v="-0.14399999999999999"/>
    <s v=""/>
    <n v="-3.5000000000000003E-2"/>
    <n v="-3.5000000000000003E-2"/>
    <s v=""/>
    <n v="-0.109"/>
    <n v="-0.109"/>
    <s v=""/>
    <x v="39"/>
    <n v="-0.1"/>
    <s v=""/>
  </r>
  <r>
    <d v="2007-02-16T00:00:00"/>
    <s v="Unit (Closed: 04/19/2013)"/>
    <x v="0"/>
    <n v="1"/>
    <s v="UNT"/>
    <s v="$14M"/>
    <s v="Tom"/>
    <m/>
    <n v="48.45"/>
    <x v="296"/>
    <x v="110"/>
    <n v="122"/>
    <s v=""/>
    <n v="-0.15"/>
    <n v="0.222"/>
    <s v=""/>
    <n v="0.222"/>
    <n v="-0.372"/>
    <s v=""/>
    <n v="-0.372"/>
    <x v="40"/>
    <s v=""/>
    <n v="-0.3"/>
  </r>
  <r>
    <d v="2019-05-02T00:00:00"/>
    <s v="Wix.com"/>
    <x v="1"/>
    <n v="1"/>
    <s v="WIX"/>
    <s v="$6B"/>
    <s v="Tom"/>
    <m/>
    <n v="136.80000000000001"/>
    <x v="297"/>
    <x v="110"/>
    <n v="121"/>
    <s v=""/>
    <n v="-0.151"/>
    <n v="-4.2000000000000003E-2"/>
    <s v=""/>
    <n v="-4.2000000000000003E-2"/>
    <n v="-0.109"/>
    <s v=""/>
    <n v="-0.109"/>
    <x v="39"/>
    <s v=""/>
    <n v="-0.1"/>
  </r>
  <r>
    <d v="2019-06-06T00:00:00"/>
    <s v="HealthEquity"/>
    <x v="1"/>
    <n v="1"/>
    <s v="HQY"/>
    <s v="$4B"/>
    <s v="Tom"/>
    <m/>
    <n v="65.69"/>
    <x v="298"/>
    <x v="111"/>
    <n v="120"/>
    <s v=""/>
    <n v="-0.16200000000000001"/>
    <n v="-0.02"/>
    <s v=""/>
    <n v="-0.02"/>
    <n v="-0.14199999999999999"/>
    <s v=""/>
    <n v="-0.14199999999999999"/>
    <x v="39"/>
    <s v=""/>
    <n v="-0.1"/>
  </r>
  <r>
    <d v="2019-03-21T00:00:00"/>
    <s v="Hill-Rom Holdings"/>
    <x v="1"/>
    <n v="1"/>
    <s v="HRC"/>
    <s v="$6B"/>
    <s v="David"/>
    <n v="14"/>
    <n v="106.47"/>
    <x v="299"/>
    <x v="111"/>
    <n v="119"/>
    <n v="-0.16400000000000001"/>
    <s v=""/>
    <n v="-0.02"/>
    <n v="-0.02"/>
    <s v=""/>
    <n v="-0.14399999999999999"/>
    <n v="-0.14399999999999999"/>
    <s v=""/>
    <x v="39"/>
    <n v="-0.1"/>
    <s v=""/>
  </r>
  <r>
    <d v="2011-08-19T00:00:00"/>
    <s v="Jefferies Group (Closed: 11/03/2011)"/>
    <x v="1"/>
    <n v="1"/>
    <s v="JEF.DL"/>
    <s v="N/A Stock quote details"/>
    <s v="Tom"/>
    <m/>
    <n v="14.42"/>
    <x v="300"/>
    <x v="111"/>
    <n v="117"/>
    <s v=""/>
    <n v="-0.16700000000000001"/>
    <n v="0.127"/>
    <s v=""/>
    <n v="0.127"/>
    <n v="-0.29399999999999998"/>
    <s v=""/>
    <n v="-0.29399999999999998"/>
    <x v="40"/>
    <s v=""/>
    <n v="-0.3"/>
  </r>
  <r>
    <d v="2004-07-16T00:00:00"/>
    <s v="Hypercom (Closed: 05/20/2005)"/>
    <x v="0"/>
    <n v="1"/>
    <s v="HYC.DL2"/>
    <s v="N/A Stock quote details"/>
    <s v="Tom"/>
    <m/>
    <n v="7.5"/>
    <x v="300"/>
    <x v="111"/>
    <n v="117"/>
    <s v=""/>
    <n v="-0.16700000000000001"/>
    <n v="9.7000000000000003E-2"/>
    <s v=""/>
    <n v="9.7000000000000003E-2"/>
    <n v="-0.26300000000000001"/>
    <s v=""/>
    <n v="-0.26300000000000001"/>
    <x v="41"/>
    <s v=""/>
    <n v="-0.2"/>
  </r>
  <r>
    <d v="2019-09-05T00:00:00"/>
    <s v="Slack Technologies"/>
    <x v="1"/>
    <n v="1"/>
    <s v="WORK"/>
    <s v="$14B"/>
    <s v="Tom"/>
    <m/>
    <n v="30.01"/>
    <x v="301"/>
    <x v="111"/>
    <n v="116"/>
    <s v=""/>
    <n v="-0.17100000000000001"/>
    <n v="-6.8000000000000005E-2"/>
    <s v=""/>
    <n v="-6.8000000000000005E-2"/>
    <n v="-0.10199999999999999"/>
    <s v=""/>
    <n v="-0.10199999999999999"/>
    <x v="39"/>
    <s v=""/>
    <n v="-0.1"/>
  </r>
  <r>
    <d v="2006-04-21T00:00:00"/>
    <s v="Coventry Health Care (Closed: 09/21/2012)"/>
    <x v="0"/>
    <n v="1"/>
    <s v="CVH.DL2"/>
    <s v="N/A Stock quote details"/>
    <s v="Tom"/>
    <m/>
    <n v="50.46"/>
    <x v="302"/>
    <x v="111"/>
    <n v="115"/>
    <s v=""/>
    <n v="-0.17299999999999999"/>
    <n v="0.27700000000000002"/>
    <s v=""/>
    <n v="0.27700000000000002"/>
    <n v="-0.45"/>
    <s v=""/>
    <n v="-0.45"/>
    <x v="46"/>
    <s v=""/>
    <n v="-0.4"/>
  </r>
  <r>
    <d v="2006-02-17T00:00:00"/>
    <s v="Bed Bath &amp; Beyond (Closed: 07/10/2017)"/>
    <x v="0"/>
    <n v="1"/>
    <s v="BBBY"/>
    <s v="$1B"/>
    <s v="Tom"/>
    <m/>
    <n v="34.99"/>
    <x v="303"/>
    <x v="111"/>
    <n v="114"/>
    <s v=""/>
    <n v="-0.17599999999999999"/>
    <n v="1.4019999999999999"/>
    <s v=""/>
    <n v="1.4019999999999999"/>
    <n v="-1.5780000000000001"/>
    <s v=""/>
    <n v="-1.5780000000000001"/>
    <x v="48"/>
    <s v=""/>
    <n v="-0.7"/>
  </r>
  <r>
    <d v="2003-06-13T00:00:00"/>
    <s v="Coventry Health Care (Closed: 01/28/2005) Corporate Action Details"/>
    <x v="0"/>
    <n v="1"/>
    <s v="CVH.DL2"/>
    <m/>
    <s v="Tom"/>
    <m/>
    <n v="51.72"/>
    <x v="304"/>
    <x v="112"/>
    <n v="113"/>
    <s v=""/>
    <n v="-0.193"/>
    <n v="0.78200000000000003"/>
    <s v=""/>
    <n v="0.78200000000000003"/>
    <n v="-0.97499999999999998"/>
    <s v=""/>
    <n v="-0.97499999999999998"/>
    <x v="45"/>
    <s v=""/>
    <n v="-0.5"/>
  </r>
  <r>
    <d v="2019-03-07T00:00:00"/>
    <s v="Twilio"/>
    <x v="1"/>
    <n v="1"/>
    <s v="TWLO"/>
    <s v="$13B"/>
    <s v="Tom"/>
    <m/>
    <n v="115.5"/>
    <x v="305"/>
    <x v="112"/>
    <n v="112"/>
    <s v=""/>
    <n v="-0.19400000000000001"/>
    <n v="1.9E-2"/>
    <s v=""/>
    <n v="1.9E-2"/>
    <n v="-0.21299999999999999"/>
    <s v=""/>
    <n v="-0.21299999999999999"/>
    <x v="41"/>
    <s v=""/>
    <n v="-0.2"/>
  </r>
  <r>
    <d v="2010-08-20T00:00:00"/>
    <s v="hhgregg (Closed: 06/21/2013)"/>
    <x v="1"/>
    <n v="1"/>
    <s v="HGGGQ"/>
    <s v="$139MM"/>
    <s v="Tom"/>
    <m/>
    <n v="20.34"/>
    <x v="306"/>
    <x v="113"/>
    <n v="111"/>
    <s v=""/>
    <n v="-0.20100000000000001"/>
    <n v="0.57899999999999996"/>
    <s v=""/>
    <n v="0.57899999999999996"/>
    <n v="-0.78"/>
    <s v=""/>
    <n v="-0.78"/>
    <x v="45"/>
    <s v=""/>
    <n v="-0.5"/>
  </r>
  <r>
    <d v="2006-01-20T00:00:00"/>
    <s v="Bebe (Closed: 05/16/2008)"/>
    <x v="0"/>
    <n v="1"/>
    <s v="BEBE"/>
    <s v="N/A Stock quote details"/>
    <s v="Tom"/>
    <m/>
    <n v="142.91"/>
    <x v="307"/>
    <x v="113"/>
    <n v="110"/>
    <s v=""/>
    <n v="-0.20200000000000001"/>
    <n v="0.182"/>
    <s v=""/>
    <n v="0.182"/>
    <n v="-0.38400000000000001"/>
    <s v=""/>
    <n v="-0.38400000000000001"/>
    <x v="40"/>
    <s v=""/>
    <n v="-0.3"/>
  </r>
  <r>
    <d v="2019-12-19T00:00:00"/>
    <s v="Accenture"/>
    <x v="1"/>
    <n v="1"/>
    <s v="ACN"/>
    <s v="$104B"/>
    <s v="David"/>
    <n v="5"/>
    <n v="207.5"/>
    <x v="308"/>
    <x v="113"/>
    <n v="108"/>
    <n v="-0.20899999999999999"/>
    <s v=""/>
    <n v="-0.14000000000000001"/>
    <n v="-0.14000000000000001"/>
    <s v=""/>
    <n v="-7.0000000000000007E-2"/>
    <n v="-7.0000000000000007E-2"/>
    <s v=""/>
    <x v="39"/>
    <n v="-0.1"/>
    <s v=""/>
  </r>
  <r>
    <d v="2013-07-19T00:00:00"/>
    <s v="Urban Outfitters (Closed: 10/28/2016)"/>
    <x v="1"/>
    <n v="1"/>
    <s v="URBN"/>
    <s v="$2B"/>
    <s v="David"/>
    <m/>
    <n v="42.85"/>
    <x v="308"/>
    <x v="113"/>
    <n v="108"/>
    <n v="-0.20899999999999999"/>
    <s v=""/>
    <n v="0.34599999999999997"/>
    <n v="0.34599999999999997"/>
    <s v=""/>
    <n v="-0.55500000000000005"/>
    <n v="-0.55500000000000005"/>
    <s v=""/>
    <x v="46"/>
    <n v="-0.4"/>
    <s v=""/>
  </r>
  <r>
    <d v="2020-01-16T00:00:00"/>
    <s v="Nice Systems"/>
    <x v="1"/>
    <n v="1"/>
    <s v="NICE"/>
    <s v="$31B"/>
    <s v="David"/>
    <n v="10"/>
    <n v="176.27"/>
    <x v="309"/>
    <x v="113"/>
    <n v="107"/>
    <n v="-0.21099999999999999"/>
    <s v=""/>
    <n v="-0.17"/>
    <n v="-0.17"/>
    <s v=""/>
    <n v="-4.2000000000000003E-2"/>
    <n v="-4.2000000000000003E-2"/>
    <s v=""/>
    <x v="35"/>
    <n v="0"/>
    <s v=""/>
  </r>
  <r>
    <d v="2005-02-18T00:00:00"/>
    <s v="Biogen (Closed: 06/19/2009)"/>
    <x v="0"/>
    <n v="1"/>
    <s v="BIIB"/>
    <s v="$52B"/>
    <s v="David"/>
    <n v="11"/>
    <n v="66.97"/>
    <x v="310"/>
    <x v="114"/>
    <n v="106"/>
    <n v="-0.22800000000000001"/>
    <s v=""/>
    <n v="-0.161"/>
    <n v="-0.161"/>
    <s v=""/>
    <n v="-6.8000000000000005E-2"/>
    <n v="-6.8000000000000005E-2"/>
    <s v=""/>
    <x v="39"/>
    <n v="-0.1"/>
    <s v=""/>
  </r>
  <r>
    <d v="2008-09-19T00:00:00"/>
    <s v="NOW and National Oilwell Varco (Closed: 06/02/2014) Corporate Action Details"/>
    <x v="0"/>
    <n v="1"/>
    <s v="DNOW NOV"/>
    <s v="N/A Corporate Action Details"/>
    <s v="Tom"/>
    <m/>
    <s v="$0 N/A Corporate Action Details"/>
    <x v="311"/>
    <x v="115"/>
    <n v="105"/>
    <s v=""/>
    <n v="-0.23899999999999999"/>
    <n v="1.6839999999999999"/>
    <s v=""/>
    <n v="1.6839999999999999"/>
    <n v="-1.9219999999999999"/>
    <s v=""/>
    <n v="-1.9219999999999999"/>
    <x v="48"/>
    <s v=""/>
    <n v="-0.7"/>
  </r>
  <r>
    <d v="2020-02-06T00:00:00"/>
    <s v="Invitae"/>
    <x v="1"/>
    <n v="1"/>
    <s v="NVTA"/>
    <s v="$2B"/>
    <s v="Tom"/>
    <m/>
    <n v="22.16"/>
    <x v="312"/>
    <x v="115"/>
    <n v="103"/>
    <s v=""/>
    <n v="-0.248"/>
    <n v="-0.17699999999999999"/>
    <s v=""/>
    <n v="-0.17699999999999999"/>
    <n v="-7.0000000000000007E-2"/>
    <s v=""/>
    <n v="-7.0000000000000007E-2"/>
    <x v="39"/>
    <s v=""/>
    <n v="-0.1"/>
  </r>
  <r>
    <d v="2005-10-21T00:00:00"/>
    <s v="Bed Bath &amp; Beyond (Closed: 07/10/2017)"/>
    <x v="0"/>
    <n v="1"/>
    <s v="BBBY"/>
    <s v="$1B"/>
    <s v="Tom"/>
    <m/>
    <n v="38.36"/>
    <x v="312"/>
    <x v="115"/>
    <n v="103"/>
    <s v=""/>
    <n v="-0.248"/>
    <n v="1.639"/>
    <s v=""/>
    <n v="1.639"/>
    <n v="-1.887"/>
    <s v=""/>
    <n v="-1.887"/>
    <x v="48"/>
    <s v=""/>
    <n v="-0.7"/>
  </r>
  <r>
    <d v="2018-07-05T00:00:00"/>
    <s v="Stitch Fix"/>
    <x v="1"/>
    <n v="1"/>
    <s v="SFIX"/>
    <s v="$2B"/>
    <s v="Tom"/>
    <m/>
    <n v="28.83"/>
    <x v="313"/>
    <x v="116"/>
    <n v="102"/>
    <s v=""/>
    <n v="-0.26400000000000001"/>
    <n v="3.7999999999999999E-2"/>
    <s v=""/>
    <n v="3.7999999999999999E-2"/>
    <n v="-0.30199999999999999"/>
    <s v=""/>
    <n v="-0.30199999999999999"/>
    <x v="40"/>
    <s v=""/>
    <n v="-0.3"/>
  </r>
  <r>
    <d v="2016-02-19T00:00:00"/>
    <s v="Natus Medical"/>
    <x v="1"/>
    <n v="1"/>
    <s v="NTUS"/>
    <s v="$873M"/>
    <s v="David"/>
    <n v="14"/>
    <n v="35.42"/>
    <x v="314"/>
    <x v="117"/>
    <n v="101"/>
    <n v="-0.27"/>
    <s v=""/>
    <n v="0.55400000000000005"/>
    <n v="0.55400000000000005"/>
    <s v=""/>
    <n v="-0.82399999999999995"/>
    <n v="-0.82399999999999995"/>
    <s v=""/>
    <x v="45"/>
    <n v="-0.5"/>
    <s v=""/>
  </r>
  <r>
    <d v="2017-09-15T00:00:00"/>
    <s v="3M"/>
    <x v="1"/>
    <n v="1"/>
    <s v="MMM"/>
    <s v="$83B"/>
    <s v="David"/>
    <n v="8"/>
    <n v="198.26"/>
    <x v="315"/>
    <x v="117"/>
    <n v="100"/>
    <n v="-0.27300000000000002"/>
    <s v=""/>
    <n v="0.153"/>
    <n v="0.153"/>
    <s v=""/>
    <n v="-0.42699999999999999"/>
    <n v="-0.42699999999999999"/>
    <s v=""/>
    <x v="46"/>
    <n v="-0.4"/>
    <s v=""/>
  </r>
  <r>
    <d v="2013-12-20T00:00:00"/>
    <s v="Polaris Industries (Closed: 02/07/2020)"/>
    <x v="1"/>
    <n v="1"/>
    <s v="PII"/>
    <s v="$5B"/>
    <s v="Tom"/>
    <m/>
    <n v="124.43"/>
    <x v="316"/>
    <x v="117"/>
    <n v="99"/>
    <s v=""/>
    <n v="-0.27400000000000002"/>
    <n v="1.0740000000000001"/>
    <s v=""/>
    <n v="1.0740000000000001"/>
    <n v="-1.3480000000000001"/>
    <s v=""/>
    <n v="-1.3480000000000001"/>
    <x v="47"/>
    <s v=""/>
    <n v="-0.6"/>
  </r>
  <r>
    <d v="2014-01-17T00:00:00"/>
    <s v="Spectrum Brands and Jefferies Financial Group Inc. Corporate Action Details"/>
    <x v="1"/>
    <n v="1"/>
    <s v="SPB JEF"/>
    <s v="N/A Corporate Action Details"/>
    <s v="Tom"/>
    <m/>
    <s v="$0 N/A Corporate Action Details"/>
    <x v="317"/>
    <x v="117"/>
    <n v="98"/>
    <s v=""/>
    <n v="-0.27700000000000002"/>
    <n v="0.69399999999999995"/>
    <s v=""/>
    <n v="0.69399999999999995"/>
    <n v="-0.97199999999999998"/>
    <s v=""/>
    <n v="-0.97199999999999998"/>
    <x v="47"/>
    <s v=""/>
    <n v="-0.6"/>
  </r>
  <r>
    <d v="2007-07-20T00:00:00"/>
    <s v="Value Line (Closed: 07/24/2009)"/>
    <x v="0"/>
    <n v="1"/>
    <s v="VALU"/>
    <s v="$289M"/>
    <s v="David"/>
    <m/>
    <n v="47.61"/>
    <x v="318"/>
    <x v="117"/>
    <n v="97"/>
    <n v="-0.28199999999999997"/>
    <s v=""/>
    <n v="-0.33100000000000002"/>
    <n v="-0.33100000000000002"/>
    <s v=""/>
    <n v="4.8000000000000001E-2"/>
    <n v="4.8000000000000001E-2"/>
    <s v=""/>
    <x v="33"/>
    <n v="0.1"/>
    <s v=""/>
  </r>
  <r>
    <d v="2017-11-17T00:00:00"/>
    <s v="Talend"/>
    <x v="1"/>
    <n v="1"/>
    <s v="TLND"/>
    <s v="$931M"/>
    <s v="Tom"/>
    <m/>
    <n v="41.83"/>
    <x v="319"/>
    <x v="117"/>
    <n v="96"/>
    <s v=""/>
    <n v="-0.28299999999999997"/>
    <n v="0.114"/>
    <s v=""/>
    <n v="0.114"/>
    <n v="-0.39700000000000002"/>
    <s v=""/>
    <n v="-0.39700000000000002"/>
    <x v="46"/>
    <s v=""/>
    <n v="-0.4"/>
  </r>
  <r>
    <d v="2012-12-21T00:00:00"/>
    <s v="Nuance Communications (Closed: 06/26/2019)"/>
    <x v="1"/>
    <n v="1"/>
    <s v="NUAN"/>
    <s v="$5B"/>
    <s v="David"/>
    <n v="19"/>
    <n v="22.13"/>
    <x v="320"/>
    <x v="118"/>
    <n v="95"/>
    <n v="-0.29299999999999998"/>
    <s v=""/>
    <n v="1.331"/>
    <n v="1.331"/>
    <s v=""/>
    <n v="-1.6240000000000001"/>
    <n v="-1.6240000000000001"/>
    <s v=""/>
    <x v="48"/>
    <n v="-0.7"/>
    <s v=""/>
  </r>
  <r>
    <d v="2005-10-21T00:00:00"/>
    <s v="McAfee (Closed: 08/18/2006)"/>
    <x v="0"/>
    <n v="1"/>
    <s v="MFE.DL"/>
    <s v="N/A Stock quote details"/>
    <s v="David"/>
    <m/>
    <n v="30.6"/>
    <x v="321"/>
    <x v="118"/>
    <n v="94"/>
    <n v="-0.29599999999999999"/>
    <s v=""/>
    <n v="0.122"/>
    <n v="0.122"/>
    <s v=""/>
    <n v="-0.41799999999999998"/>
    <n v="-0.41799999999999998"/>
    <s v=""/>
    <x v="46"/>
    <n v="-0.4"/>
    <s v=""/>
  </r>
  <r>
    <d v="2007-05-18T00:00:00"/>
    <s v="Unit (Closed: 04/19/2013)"/>
    <x v="0"/>
    <n v="1"/>
    <s v="UNT"/>
    <s v="$14M"/>
    <s v="Tom"/>
    <m/>
    <n v="58.95"/>
    <x v="322"/>
    <x v="119"/>
    <n v="93"/>
    <s v=""/>
    <n v="-0.30099999999999999"/>
    <n v="0.16200000000000001"/>
    <s v=""/>
    <n v="0.16200000000000001"/>
    <n v="-0.46400000000000002"/>
    <s v=""/>
    <n v="-0.46400000000000002"/>
    <x v="46"/>
    <s v=""/>
    <n v="-0.4"/>
  </r>
  <r>
    <d v="2018-08-16T00:00:00"/>
    <s v="Alaska Air Group"/>
    <x v="1"/>
    <n v="1"/>
    <s v="ALK"/>
    <s v="$5B"/>
    <s v="David"/>
    <n v="8"/>
    <n v="61.97"/>
    <x v="323"/>
    <x v="119"/>
    <n v="92"/>
    <n v="-0.30299999999999999"/>
    <s v=""/>
    <n v="-3.0000000000000001E-3"/>
    <n v="-3.0000000000000001E-3"/>
    <s v=""/>
    <n v="-0.3"/>
    <n v="-0.3"/>
    <s v=""/>
    <x v="40"/>
    <n v="-0.3"/>
    <s v=""/>
  </r>
  <r>
    <d v="2018-10-04T00:00:00"/>
    <s v="Square"/>
    <x v="1"/>
    <n v="1"/>
    <s v="SQ"/>
    <s v="$29B"/>
    <s v="Tom"/>
    <m/>
    <n v="94.49"/>
    <x v="324"/>
    <x v="119"/>
    <n v="91"/>
    <s v=""/>
    <n v="-0.30399999999999999"/>
    <n v="-2.5999999999999999E-2"/>
    <s v=""/>
    <n v="-2.5999999999999999E-2"/>
    <n v="-0.27800000000000002"/>
    <s v=""/>
    <n v="-0.27800000000000002"/>
    <x v="40"/>
    <s v=""/>
    <n v="-0.3"/>
  </r>
  <r>
    <d v="2012-10-19T00:00:00"/>
    <s v="BJ's Restaurants"/>
    <x v="1"/>
    <n v="1"/>
    <s v="BJRI"/>
    <s v="$493M"/>
    <s v="David"/>
    <n v="13"/>
    <n v="36.9"/>
    <x v="325"/>
    <x v="119"/>
    <n v="90"/>
    <n v="-0.30499999999999999"/>
    <s v=""/>
    <n v="1.2330000000000001"/>
    <n v="1.2330000000000001"/>
    <s v=""/>
    <n v="-1.538"/>
    <n v="-1.538"/>
    <s v=""/>
    <x v="48"/>
    <n v="-0.7"/>
    <s v=""/>
  </r>
  <r>
    <d v="2008-10-17T00:00:00"/>
    <s v="Charles Schwab (Closed: 09/21/2012)"/>
    <x v="0"/>
    <n v="1"/>
    <s v="SCHW"/>
    <s v="$39B"/>
    <s v="David"/>
    <m/>
    <n v="19.73"/>
    <x v="326"/>
    <x v="119"/>
    <n v="89"/>
    <n v="-0.312"/>
    <s v=""/>
    <n v="0.69499999999999995"/>
    <n v="0.69499999999999995"/>
    <s v=""/>
    <n v="-1.006"/>
    <n v="-1.006"/>
    <s v=""/>
    <x v="47"/>
    <n v="-0.6"/>
    <s v=""/>
  </r>
  <r>
    <d v="2018-08-02T00:00:00"/>
    <s v="Arista Networks"/>
    <x v="1"/>
    <n v="1"/>
    <s v="ANET"/>
    <s v="$14B"/>
    <s v="Tom"/>
    <m/>
    <n v="271.85000000000002"/>
    <x v="327"/>
    <x v="120"/>
    <n v="88"/>
    <s v=""/>
    <n v="-0.317"/>
    <n v="4.0000000000000001E-3"/>
    <s v=""/>
    <n v="4.0000000000000001E-3"/>
    <n v="-0.32"/>
    <s v=""/>
    <n v="-0.32"/>
    <x v="40"/>
    <s v=""/>
    <n v="-0.3"/>
  </r>
  <r>
    <d v="2005-07-15T00:00:00"/>
    <s v="Resources Global (Closed: 04/18/2008)"/>
    <x v="0"/>
    <n v="1"/>
    <s v="RECN"/>
    <s v="$357M"/>
    <s v="Tom"/>
    <m/>
    <n v="28.08"/>
    <x v="328"/>
    <x v="120"/>
    <n v="87"/>
    <s v=""/>
    <n v="-0.32400000000000001"/>
    <n v="0.19400000000000001"/>
    <s v=""/>
    <n v="0.19400000000000001"/>
    <n v="-0.51800000000000002"/>
    <s v=""/>
    <n v="-0.51800000000000002"/>
    <x v="46"/>
    <s v=""/>
    <n v="-0.4"/>
  </r>
  <r>
    <d v="2003-10-10T00:00:00"/>
    <s v="Trex (Closed: 11/18/2005)"/>
    <x v="0"/>
    <n v="1"/>
    <s v="TREX"/>
    <s v="$5B"/>
    <s v="Tom"/>
    <m/>
    <n v="8.01"/>
    <x v="329"/>
    <x v="120"/>
    <n v="86"/>
    <s v=""/>
    <n v="-0.33"/>
    <n v="0.248"/>
    <s v=""/>
    <n v="0.248"/>
    <n v="-0.57899999999999996"/>
    <s v=""/>
    <n v="-0.57899999999999996"/>
    <x v="45"/>
    <s v=""/>
    <n v="-0.5"/>
  </r>
  <r>
    <d v="2016-04-15T00:00:00"/>
    <s v="TripAdvisor (Closed: 04/17/2018)"/>
    <x v="1"/>
    <n v="1"/>
    <s v="TRIP"/>
    <s v="$3B"/>
    <s v="Tom"/>
    <m/>
    <n v="63"/>
    <x v="330"/>
    <x v="121"/>
    <n v="85"/>
    <s v=""/>
    <n v="-0.33400000000000002"/>
    <n v="0.35499999999999998"/>
    <s v=""/>
    <n v="0.35499999999999998"/>
    <n v="-0.68799999999999994"/>
    <s v=""/>
    <n v="-0.68799999999999994"/>
    <x v="45"/>
    <s v=""/>
    <n v="-0.5"/>
  </r>
  <r>
    <d v="2002-07-12T00:00:00"/>
    <s v="Corporate Executive Board (Closed: 05/15/2009)"/>
    <x v="0"/>
    <n v="1"/>
    <s v="CEB"/>
    <s v="N/A Stock quote details"/>
    <s v="Tom"/>
    <m/>
    <n v="24.5"/>
    <x v="331"/>
    <x v="121"/>
    <n v="84"/>
    <s v=""/>
    <n v="-0.33600000000000002"/>
    <n v="9.6000000000000002E-2"/>
    <s v=""/>
    <n v="9.6000000000000002E-2"/>
    <n v="-0.432"/>
    <s v=""/>
    <n v="-0.432"/>
    <x v="46"/>
    <s v=""/>
    <n v="-0.4"/>
  </r>
  <r>
    <d v="2002-12-13T00:00:00"/>
    <s v="Tenet Healthcare (Closed: 07/11/2003)"/>
    <x v="0"/>
    <n v="1"/>
    <s v="THC"/>
    <s v="$2B"/>
    <s v="David"/>
    <m/>
    <n v="71.48"/>
    <x v="332"/>
    <x v="121"/>
    <n v="83"/>
    <n v="-0.33700000000000002"/>
    <s v=""/>
    <n v="0.13400000000000001"/>
    <n v="0.13400000000000001"/>
    <s v=""/>
    <n v="-0.47099999999999997"/>
    <n v="-0.47099999999999997"/>
    <s v=""/>
    <x v="46"/>
    <n v="-0.4"/>
    <s v=""/>
  </r>
  <r>
    <d v="2008-06-20T00:00:00"/>
    <s v="SEI Investments (Closed: 12/16/2011)"/>
    <x v="0"/>
    <n v="1"/>
    <s v="SEIC"/>
    <s v="$8B"/>
    <s v="Tom"/>
    <m/>
    <n v="24.82"/>
    <x v="333"/>
    <x v="121"/>
    <n v="82"/>
    <s v=""/>
    <n v="-0.34"/>
    <n v="1E-3"/>
    <s v=""/>
    <n v="1E-3"/>
    <n v="-0.34100000000000003"/>
    <s v=""/>
    <n v="-0.34100000000000003"/>
    <x v="40"/>
    <s v=""/>
    <n v="-0.3"/>
  </r>
  <r>
    <d v="2014-11-21T00:00:00"/>
    <s v="NCR"/>
    <x v="1"/>
    <n v="1"/>
    <s v="NCR"/>
    <s v="$2B"/>
    <s v="David"/>
    <n v="16"/>
    <n v="29.46"/>
    <x v="334"/>
    <x v="121"/>
    <n v="81"/>
    <n v="-0.34200000000000003"/>
    <s v=""/>
    <n v="0.48299999999999998"/>
    <n v="0.48299999999999998"/>
    <s v=""/>
    <n v="-0.82499999999999996"/>
    <n v="-0.82499999999999996"/>
    <s v=""/>
    <x v="47"/>
    <n v="-0.6"/>
    <s v=""/>
  </r>
  <r>
    <d v="2017-06-16T00:00:00"/>
    <s v="Textron"/>
    <x v="1"/>
    <n v="1"/>
    <s v="TXT"/>
    <s v="$7B"/>
    <s v="David"/>
    <n v="13"/>
    <n v="47.26"/>
    <x v="335"/>
    <x v="121"/>
    <n v="80"/>
    <n v="-0.34399999999999997"/>
    <s v=""/>
    <n v="0.191"/>
    <n v="0.191"/>
    <s v=""/>
    <n v="-0.53400000000000003"/>
    <n v="-0.53400000000000003"/>
    <s v=""/>
    <x v="46"/>
    <n v="-0.4"/>
    <s v=""/>
  </r>
  <r>
    <d v="2009-07-17T00:00:00"/>
    <s v="Liquidity Services (Closed: 12/06/2019)"/>
    <x v="0"/>
    <n v="1"/>
    <s v="LQDT"/>
    <s v="$134M"/>
    <s v="David"/>
    <n v="17"/>
    <n v="10.3"/>
    <x v="336"/>
    <x v="122"/>
    <n v="79"/>
    <n v="-0.34799999999999998"/>
    <s v=""/>
    <n v="3.1539999999999999"/>
    <n v="3.1539999999999999"/>
    <s v=""/>
    <n v="-3.5019999999999998"/>
    <n v="-3.5019999999999998"/>
    <s v=""/>
    <x v="49"/>
    <n v="-0.8"/>
    <s v=""/>
  </r>
  <r>
    <d v="2017-02-17T00:00:00"/>
    <s v="BorgWarner"/>
    <x v="1"/>
    <n v="1"/>
    <s v="BWA"/>
    <s v="$5B"/>
    <s v="Tom"/>
    <m/>
    <n v="40.25"/>
    <x v="337"/>
    <x v="122"/>
    <n v="78"/>
    <s v=""/>
    <n v="-0.35299999999999998"/>
    <n v="0.24099999999999999"/>
    <s v=""/>
    <n v="0.24099999999999999"/>
    <n v="-0.59399999999999997"/>
    <s v=""/>
    <n v="-0.59399999999999997"/>
    <x v="45"/>
    <s v=""/>
    <n v="-0.5"/>
  </r>
  <r>
    <d v="2016-11-18T00:00:00"/>
    <s v="JetBlue Airways"/>
    <x v="1"/>
    <n v="1"/>
    <s v="JBLU"/>
    <s v="$4B"/>
    <s v="David"/>
    <n v="12"/>
    <n v="20.73"/>
    <x v="338"/>
    <x v="122"/>
    <n v="77"/>
    <n v="-0.35399999999999998"/>
    <s v=""/>
    <n v="0.34399999999999997"/>
    <n v="0.34399999999999997"/>
    <s v=""/>
    <n v="-0.69799999999999995"/>
    <n v="-0.69799999999999995"/>
    <s v=""/>
    <x v="45"/>
    <n v="-0.5"/>
    <s v=""/>
  </r>
  <r>
    <d v="2004-12-17T00:00:00"/>
    <s v="TTM Technologies (Closed: 12/23/2014)"/>
    <x v="0"/>
    <n v="1"/>
    <s v="TTMI"/>
    <s v="$1B"/>
    <s v="Tom"/>
    <m/>
    <n v="11.8"/>
    <x v="339"/>
    <x v="122"/>
    <n v="76"/>
    <s v=""/>
    <n v="-0.35799999999999998"/>
    <n v="1.1499999999999999"/>
    <s v=""/>
    <n v="1.1499999999999999"/>
    <n v="-1.5089999999999999"/>
    <s v=""/>
    <n v="-1.5089999999999999"/>
    <x v="48"/>
    <s v=""/>
    <n v="-0.7"/>
  </r>
  <r>
    <d v="2012-08-17T00:00:00"/>
    <s v="Kinder Morgan"/>
    <x v="1"/>
    <n v="1"/>
    <s v="KMI"/>
    <s v="$36B"/>
    <s v="David"/>
    <n v="10"/>
    <n v="25.15"/>
    <x v="340"/>
    <x v="122"/>
    <n v="75"/>
    <n v="-0.36"/>
    <s v=""/>
    <n v="1.2649999999999999"/>
    <n v="1.2649999999999999"/>
    <s v=""/>
    <n v="-1.625"/>
    <n v="-1.625"/>
    <s v=""/>
    <x v="48"/>
    <n v="-0.7"/>
    <s v=""/>
  </r>
  <r>
    <d v="2017-03-17T00:00:00"/>
    <s v="Western Alliance Bancorp"/>
    <x v="1"/>
    <n v="1"/>
    <s v="WAL"/>
    <s v="$3B"/>
    <s v="Tom"/>
    <m/>
    <n v="51.23"/>
    <x v="341"/>
    <x v="122"/>
    <n v="74"/>
    <s v=""/>
    <n v="-0.36099999999999999"/>
    <n v="0.22500000000000001"/>
    <s v=""/>
    <n v="0.22500000000000001"/>
    <n v="-0.58499999999999996"/>
    <s v=""/>
    <n v="-0.58499999999999996"/>
    <x v="45"/>
    <s v=""/>
    <n v="-0.5"/>
  </r>
  <r>
    <d v="2012-01-20T00:00:00"/>
    <s v="3D Systems"/>
    <x v="1"/>
    <n v="1"/>
    <s v="DDD"/>
    <s v="$924M"/>
    <s v="David"/>
    <n v="19"/>
    <n v="12.27"/>
    <x v="342"/>
    <x v="123"/>
    <n v="73"/>
    <n v="-0.36399999999999999"/>
    <s v=""/>
    <n v="1.474"/>
    <n v="1.474"/>
    <s v=""/>
    <n v="-1.8380000000000001"/>
    <n v="-1.8380000000000001"/>
    <s v=""/>
    <x v="48"/>
    <n v="-0.7"/>
    <s v=""/>
  </r>
  <r>
    <d v="2004-03-19T00:00:00"/>
    <s v="Gap (Closed: 01/16/2009)"/>
    <x v="0"/>
    <n v="1"/>
    <s v="GPS"/>
    <s v="$4B"/>
    <s v="Tom"/>
    <m/>
    <n v="19.260000000000002"/>
    <x v="343"/>
    <x v="123"/>
    <n v="72"/>
    <s v=""/>
    <n v="-0.37"/>
    <n v="-0.158"/>
    <s v=""/>
    <n v="-0.158"/>
    <n v="-0.21199999999999999"/>
    <s v=""/>
    <n v="-0.21199999999999999"/>
    <x v="40"/>
    <s v=""/>
    <n v="-0.3"/>
  </r>
  <r>
    <d v="2003-06-13T00:00:00"/>
    <s v="TiVo Corporation (Closed: 06/15/2007)"/>
    <x v="0"/>
    <n v="1"/>
    <s v="TIVO"/>
    <s v="N/A Stock quote details"/>
    <s v="David"/>
    <m/>
    <n v="9.5"/>
    <x v="344"/>
    <x v="123"/>
    <n v="70"/>
    <n v="-0.376"/>
    <s v=""/>
    <n v="0.66700000000000004"/>
    <n v="0.66700000000000004"/>
    <s v=""/>
    <n v="-1.0429999999999999"/>
    <n v="-1.0429999999999999"/>
    <s v=""/>
    <x v="47"/>
    <n v="-0.6"/>
    <s v=""/>
  </r>
  <r>
    <d v="2005-09-16T00:00:00"/>
    <s v="Garmin (Closed: 12/19/2008)"/>
    <x v="0"/>
    <n v="1"/>
    <s v="GRMN"/>
    <s v="$15B"/>
    <s v="David"/>
    <m/>
    <n v="31.15"/>
    <x v="344"/>
    <x v="123"/>
    <n v="70"/>
    <n v="-0.376"/>
    <s v=""/>
    <n v="-0.23400000000000001"/>
    <n v="-0.23400000000000001"/>
    <s v=""/>
    <n v="-0.14199999999999999"/>
    <n v="-0.14199999999999999"/>
    <s v=""/>
    <x v="41"/>
    <n v="-0.2"/>
    <s v=""/>
  </r>
  <r>
    <d v="2004-04-16T00:00:00"/>
    <s v="Shuffle Master (Closed: 11/16/2007)"/>
    <x v="0"/>
    <n v="1"/>
    <s v="SHFL.DL"/>
    <s v="N/A Stock quote details"/>
    <s v="Tom"/>
    <m/>
    <n v="21.26"/>
    <x v="345"/>
    <x v="124"/>
    <n v="69"/>
    <s v=""/>
    <n v="-0.379"/>
    <n v="0.374"/>
    <s v=""/>
    <n v="0.374"/>
    <n v="-0.753"/>
    <s v=""/>
    <n v="-0.753"/>
    <x v="45"/>
    <s v=""/>
    <n v="-0.5"/>
  </r>
  <r>
    <d v="2007-12-21T00:00:00"/>
    <s v="Omniture (Closed: 10/16/2009)"/>
    <x v="0"/>
    <n v="1"/>
    <s v="OMTR.DL"/>
    <s v="N/A Stock quote details"/>
    <s v="David"/>
    <m/>
    <n v="34.69"/>
    <x v="346"/>
    <x v="124"/>
    <n v="68"/>
    <n v="-0.38200000000000001"/>
    <s v=""/>
    <n v="-0.23400000000000001"/>
    <n v="-0.23400000000000001"/>
    <s v=""/>
    <n v="-0.14799999999999999"/>
    <n v="-0.14799999999999999"/>
    <s v=""/>
    <x v="41"/>
    <n v="-0.2"/>
    <s v=""/>
  </r>
  <r>
    <d v="2006-10-20T00:00:00"/>
    <s v="Charles Schwab (Closed: 08/31/2011) Corporate Action Details"/>
    <x v="0"/>
    <n v="1"/>
    <s v="SCHW"/>
    <s v="$39B"/>
    <s v="David"/>
    <m/>
    <n v="22.1"/>
    <x v="347"/>
    <x v="124"/>
    <n v="67"/>
    <n v="-0.38600000000000001"/>
    <s v=""/>
    <n v="0.21199999999999999"/>
    <n v="0.21199999999999999"/>
    <s v=""/>
    <n v="-0.59799999999999998"/>
    <n v="-0.59799999999999998"/>
    <s v=""/>
    <x v="45"/>
    <n v="-0.5"/>
    <s v=""/>
  </r>
  <r>
    <d v="2013-01-18T00:00:00"/>
    <s v="NOW and National Oilwell Varco (Closed: 06/02/2014) Corporate Action Details"/>
    <x v="1"/>
    <n v="1"/>
    <s v="DNOW NOV"/>
    <s v="N/A Corporate Action Details"/>
    <s v="Tom"/>
    <m/>
    <s v="$0 N/A Corporate Action Details"/>
    <x v="348"/>
    <x v="125"/>
    <n v="66"/>
    <s v=""/>
    <n v="-0.40100000000000002"/>
    <n v="1.0580000000000001"/>
    <s v=""/>
    <n v="1.0580000000000001"/>
    <n v="-1.4590000000000001"/>
    <s v=""/>
    <n v="-1.4590000000000001"/>
    <x v="48"/>
    <s v=""/>
    <n v="-0.7"/>
  </r>
  <r>
    <d v="2015-10-16T00:00:00"/>
    <s v="Designer Brands Inc."/>
    <x v="1"/>
    <n v="1"/>
    <s v="DBI"/>
    <s v="$893M"/>
    <s v="David"/>
    <n v="13"/>
    <n v="21.2"/>
    <x v="349"/>
    <x v="126"/>
    <n v="65"/>
    <n v="-0.41299999999999998"/>
    <s v=""/>
    <n v="0.47799999999999998"/>
    <n v="0.47799999999999998"/>
    <s v=""/>
    <n v="-0.89100000000000001"/>
    <n v="-0.89100000000000001"/>
    <s v=""/>
    <x v="47"/>
    <n v="-0.6"/>
    <s v=""/>
  </r>
  <r>
    <d v="2007-10-19T00:00:00"/>
    <s v="Staples (Closed: 10/19/2012)"/>
    <x v="0"/>
    <n v="1"/>
    <s v="SPLS"/>
    <s v="N/A Stock quote details"/>
    <s v="Tom"/>
    <m/>
    <n v="19.55"/>
    <x v="350"/>
    <x v="127"/>
    <n v="64"/>
    <s v=""/>
    <n v="-0.42599999999999999"/>
    <n v="6.7000000000000004E-2"/>
    <s v=""/>
    <n v="6.7000000000000004E-2"/>
    <n v="-0.49299999999999999"/>
    <s v=""/>
    <n v="-0.49299999999999999"/>
    <x v="45"/>
    <s v=""/>
    <n v="-0.5"/>
  </r>
  <r>
    <d v="2004-01-16T00:00:00"/>
    <s v="Dell (Closed: 04/18/2008)"/>
    <x v="0"/>
    <n v="1"/>
    <s v="DELL.DL"/>
    <s v="N/A Stock quote details"/>
    <s v="David"/>
    <m/>
    <n v="35.01"/>
    <x v="351"/>
    <x v="128"/>
    <n v="63"/>
    <n v="-0.44400000000000001"/>
    <s v=""/>
    <n v="0.32"/>
    <n v="0.32"/>
    <s v=""/>
    <n v="-0.76400000000000001"/>
    <n v="-0.76400000000000001"/>
    <s v=""/>
    <x v="47"/>
    <n v="-0.6"/>
    <s v=""/>
  </r>
  <r>
    <d v="2006-03-17T00:00:00"/>
    <s v="Resources Global (Closed: 06/18/2010)"/>
    <x v="0"/>
    <n v="1"/>
    <s v="RECN"/>
    <s v="$357M"/>
    <s v="Tom"/>
    <m/>
    <n v="26.3"/>
    <x v="352"/>
    <x v="129"/>
    <n v="62"/>
    <s v=""/>
    <n v="-0.44600000000000001"/>
    <n v="-6.4000000000000001E-2"/>
    <s v=""/>
    <n v="-6.4000000000000001E-2"/>
    <n v="-0.38200000000000001"/>
    <s v=""/>
    <n v="-0.38200000000000001"/>
    <x v="46"/>
    <s v=""/>
    <n v="-0.4"/>
  </r>
  <r>
    <d v="2018-05-17T00:00:00"/>
    <s v="New Relic"/>
    <x v="1"/>
    <n v="1"/>
    <s v="NEWR"/>
    <s v="$3B"/>
    <s v="David"/>
    <n v="11"/>
    <n v="90.13"/>
    <x v="353"/>
    <x v="129"/>
    <n v="61"/>
    <n v="-0.44800000000000001"/>
    <s v=""/>
    <n v="4.5999999999999999E-2"/>
    <n v="4.5999999999999999E-2"/>
    <s v=""/>
    <n v="-0.495"/>
    <n v="-0.495"/>
    <s v=""/>
    <x v="45"/>
    <n v="-0.5"/>
    <s v=""/>
  </r>
  <r>
    <d v="2006-04-21T00:00:00"/>
    <s v="TOM Online (Closed: 09/06/2007)"/>
    <x v="0"/>
    <n v="1"/>
    <s v="TOMOY.DL"/>
    <s v="N/A Stock quote details"/>
    <s v="David"/>
    <m/>
    <n v="28.17"/>
    <x v="354"/>
    <x v="129"/>
    <n v="60"/>
    <n v="-0.45"/>
    <s v=""/>
    <n v="0.158"/>
    <n v="0.158"/>
    <s v=""/>
    <n v="-0.60799999999999998"/>
    <n v="-0.60799999999999998"/>
    <s v=""/>
    <x v="45"/>
    <n v="-0.5"/>
    <s v=""/>
  </r>
  <r>
    <d v="2010-06-18T00:00:00"/>
    <s v="National Oilwell Varco (Closed: 04/05/2018)"/>
    <x v="1"/>
    <n v="1"/>
    <s v="NOV"/>
    <s v="$4B"/>
    <s v="Tom"/>
    <m/>
    <s v="$0 N/A Corporate Action Details"/>
    <x v="355"/>
    <x v="129"/>
    <n v="59"/>
    <s v=""/>
    <n v="-0.45200000000000001"/>
    <n v="0.498"/>
    <s v=""/>
    <n v="0.498"/>
    <n v="-0.95"/>
    <s v=""/>
    <n v="-0.95"/>
    <x v="47"/>
    <s v=""/>
    <n v="-0.6"/>
  </r>
  <r>
    <d v="2003-08-08T00:00:00"/>
    <s v="Possis Medical (Closed: 05/20/2005)"/>
    <x v="0"/>
    <n v="1"/>
    <s v="POSS.DL"/>
    <s v="N/A Stock quote details"/>
    <s v="Tom"/>
    <m/>
    <n v="15.68"/>
    <x v="356"/>
    <x v="129"/>
    <n v="58"/>
    <s v=""/>
    <n v="-0.45600000000000002"/>
    <n v="0.25600000000000001"/>
    <s v=""/>
    <n v="0.25600000000000001"/>
    <n v="-0.71199999999999997"/>
    <s v=""/>
    <n v="-0.71199999999999997"/>
    <x v="47"/>
    <s v=""/>
    <n v="-0.6"/>
  </r>
  <r>
    <d v="2013-09-20T00:00:00"/>
    <s v="Under Armour (C Shares) and Under Armour (A Shares) Corporate Action Details"/>
    <x v="1"/>
    <n v="1"/>
    <s v="UA UAA"/>
    <s v="N/A Corporate Action Details"/>
    <s v="Tom"/>
    <m/>
    <s v="$0 N/A Corporate Action Details"/>
    <x v="357"/>
    <x v="130"/>
    <n v="57"/>
    <s v=""/>
    <n v="-0.45700000000000002"/>
    <n v="0.83399999999999996"/>
    <s v=""/>
    <n v="0.83399999999999996"/>
    <n v="-1.29"/>
    <s v=""/>
    <n v="-1.29"/>
    <x v="48"/>
    <s v=""/>
    <n v="-0.7"/>
  </r>
  <r>
    <d v="2019-04-04T00:00:00"/>
    <s v="Ollies Bargain Outlet Holdings"/>
    <x v="1"/>
    <n v="1"/>
    <s v="OLLI"/>
    <s v="$3B"/>
    <s v="Tom"/>
    <m/>
    <n v="87.68"/>
    <x v="358"/>
    <x v="130"/>
    <n v="56"/>
    <s v=""/>
    <n v="-0.46400000000000002"/>
    <n v="-2.8000000000000001E-2"/>
    <s v=""/>
    <n v="-2.8000000000000001E-2"/>
    <n v="-0.435"/>
    <s v=""/>
    <n v="-0.435"/>
    <x v="46"/>
    <s v=""/>
    <n v="-0.4"/>
  </r>
  <r>
    <d v="2002-04-12T00:00:00"/>
    <s v="Electronic Arts (Closed: 12/17/2010)"/>
    <x v="0"/>
    <n v="1"/>
    <s v="EA"/>
    <s v="$29B"/>
    <s v="David"/>
    <n v="8"/>
    <n v="29.95"/>
    <x v="359"/>
    <x v="130"/>
    <n v="55"/>
    <n v="-0.46899999999999997"/>
    <s v=""/>
    <n v="0.32900000000000001"/>
    <n v="0.32900000000000001"/>
    <s v=""/>
    <n v="-0.79800000000000004"/>
    <n v="-0.79800000000000004"/>
    <s v=""/>
    <x v="47"/>
    <n v="-0.6"/>
    <s v=""/>
  </r>
  <r>
    <d v="2019-01-17T00:00:00"/>
    <s v="Hawaiian Holdings"/>
    <x v="1"/>
    <n v="1"/>
    <s v="HA"/>
    <s v="$773M"/>
    <s v="David"/>
    <n v="10"/>
    <n v="32.78"/>
    <x v="360"/>
    <x v="131"/>
    <n v="54"/>
    <n v="-0.48599999999999999"/>
    <s v=""/>
    <n v="6.6000000000000003E-2"/>
    <n v="6.6000000000000003E-2"/>
    <s v=""/>
    <n v="-0.55200000000000005"/>
    <n v="-0.55200000000000005"/>
    <s v=""/>
    <x v="45"/>
    <n v="-0.5"/>
    <s v=""/>
  </r>
  <r>
    <d v="2007-11-16T00:00:00"/>
    <s v="Double-Take Software (Closed: 04/16/2010)"/>
    <x v="0"/>
    <n v="1"/>
    <s v="DBTK.DL"/>
    <s v="N/A Stock quote details"/>
    <s v="David"/>
    <m/>
    <n v="21.9"/>
    <x v="361"/>
    <x v="132"/>
    <n v="53"/>
    <n v="-0.501"/>
    <s v=""/>
    <n v="-0.13600000000000001"/>
    <n v="-0.13600000000000001"/>
    <s v=""/>
    <n v="-0.36599999999999999"/>
    <n v="-0.36599999999999999"/>
    <s v=""/>
    <x v="46"/>
    <n v="-0.4"/>
    <s v=""/>
  </r>
  <r>
    <d v="2011-06-17T00:00:00"/>
    <s v="Teradata (Closed: 06/17/2016)"/>
    <x v="1"/>
    <n v="1"/>
    <s v="TDC"/>
    <s v="$2B"/>
    <s v="Tom"/>
    <m/>
    <n v="56.12"/>
    <x v="362"/>
    <x v="133"/>
    <n v="52"/>
    <s v=""/>
    <n v="-0.50700000000000001"/>
    <n v="0.81399999999999995"/>
    <s v=""/>
    <n v="0.81399999999999995"/>
    <n v="-1.3220000000000001"/>
    <s v=""/>
    <n v="-1.3220000000000001"/>
    <x v="48"/>
    <s v=""/>
    <n v="-0.7"/>
  </r>
  <r>
    <d v="2014-09-19T00:00:00"/>
    <s v="Nordstrom"/>
    <x v="1"/>
    <n v="1"/>
    <s v="JWN"/>
    <s v="$4B"/>
    <s v="David"/>
    <n v="12"/>
    <n v="54.5"/>
    <x v="363"/>
    <x v="133"/>
    <n v="50"/>
    <n v="-0.50800000000000001"/>
    <s v=""/>
    <n v="0.52800000000000002"/>
    <n v="0.52800000000000002"/>
    <s v=""/>
    <n v="-1.036"/>
    <n v="-1.036"/>
    <s v=""/>
    <x v="48"/>
    <n v="-0.7"/>
    <s v=""/>
  </r>
  <r>
    <d v="2013-07-19T00:00:00"/>
    <s v="Caesarstone (Closed: 05/18/2018)"/>
    <x v="1"/>
    <n v="1"/>
    <s v="CSTE"/>
    <s v="$316M"/>
    <s v="Tom"/>
    <m/>
    <n v="30.76"/>
    <x v="363"/>
    <x v="133"/>
    <n v="50"/>
    <s v=""/>
    <n v="-0.50800000000000001"/>
    <n v="0.77300000000000002"/>
    <s v=""/>
    <n v="0.77300000000000002"/>
    <n v="-1.28"/>
    <s v=""/>
    <n v="-1.28"/>
    <x v="48"/>
    <s v=""/>
    <n v="-0.7"/>
  </r>
  <r>
    <d v="2011-05-20T00:00:00"/>
    <s v="Sociedad Quimica y Minera (Closed: 11/01/2013)"/>
    <x v="1"/>
    <n v="1"/>
    <s v="SQM"/>
    <s v="$6B"/>
    <s v="David"/>
    <m/>
    <n v="55.66"/>
    <x v="364"/>
    <x v="133"/>
    <n v="49"/>
    <n v="-0.51"/>
    <s v=""/>
    <n v="0.39400000000000002"/>
    <n v="0.39400000000000002"/>
    <s v=""/>
    <n v="-0.90400000000000003"/>
    <n v="-0.90400000000000003"/>
    <s v=""/>
    <x v="47"/>
    <n v="-0.6"/>
    <s v=""/>
  </r>
  <r>
    <d v="2015-03-20T00:00:00"/>
    <s v="TripAdvisor (Closed: 04/17/2018)"/>
    <x v="1"/>
    <n v="1"/>
    <s v="TRIP"/>
    <s v="$3B"/>
    <s v="Tom"/>
    <m/>
    <n v="86.35"/>
    <x v="365"/>
    <x v="133"/>
    <n v="48"/>
    <s v=""/>
    <n v="-0.51400000000000001"/>
    <n v="0.36799999999999999"/>
    <s v=""/>
    <n v="0.36799999999999999"/>
    <n v="-0.88200000000000001"/>
    <s v=""/>
    <n v="-0.88200000000000001"/>
    <x v="47"/>
    <s v=""/>
    <n v="-0.6"/>
  </r>
  <r>
    <d v="2011-03-18T00:00:00"/>
    <s v="TTM Technologies (Closed: 12/23/2014)"/>
    <x v="1"/>
    <n v="1"/>
    <s v="TTMI"/>
    <s v="$1B"/>
    <s v="Tom"/>
    <m/>
    <n v="15.91"/>
    <x v="366"/>
    <x v="134"/>
    <n v="47"/>
    <s v=""/>
    <n v="-0.52400000000000002"/>
    <n v="0.76400000000000001"/>
    <s v=""/>
    <n v="0.76400000000000001"/>
    <n v="-1.2889999999999999"/>
    <s v=""/>
    <n v="-1.2889999999999999"/>
    <x v="48"/>
    <s v=""/>
    <n v="-0.7"/>
  </r>
  <r>
    <d v="2018-09-06T00:00:00"/>
    <s v="Stitch Fix"/>
    <x v="1"/>
    <n v="1"/>
    <s v="SFIX"/>
    <s v="$2B"/>
    <s v="Tom"/>
    <m/>
    <n v="45.19"/>
    <x v="367"/>
    <x v="135"/>
    <n v="46"/>
    <s v=""/>
    <n v="-0.53100000000000003"/>
    <n v="-1.7000000000000001E-2"/>
    <s v=""/>
    <n v="-1.7000000000000001E-2"/>
    <n v="-0.51400000000000001"/>
    <s v=""/>
    <n v="-0.51400000000000001"/>
    <x v="45"/>
    <s v=""/>
    <n v="-0.5"/>
  </r>
  <r>
    <d v="2006-05-19T00:00:00"/>
    <s v="American Eagle Outfitters (Closed: 12/19/2008)"/>
    <x v="0"/>
    <n v="1"/>
    <s v="AEO"/>
    <s v="$2B"/>
    <s v="David"/>
    <m/>
    <n v="20.95"/>
    <x v="368"/>
    <x v="135"/>
    <n v="45"/>
    <n v="-0.53200000000000003"/>
    <s v=""/>
    <n v="-0.26100000000000001"/>
    <n v="-0.26100000000000001"/>
    <s v=""/>
    <n v="-0.27100000000000002"/>
    <n v="-0.27100000000000002"/>
    <s v=""/>
    <x v="46"/>
    <n v="-0.4"/>
    <s v=""/>
  </r>
  <r>
    <d v="2013-09-20T00:00:00"/>
    <s v="Sierra Wireless"/>
    <x v="1"/>
    <n v="1"/>
    <s v="SWIR"/>
    <s v="$337M"/>
    <s v="David"/>
    <n v="15"/>
    <n v="14.74"/>
    <x v="369"/>
    <x v="136"/>
    <n v="43"/>
    <n v="-0.54100000000000004"/>
    <s v=""/>
    <n v="0.83399999999999996"/>
    <n v="0.83399999999999996"/>
    <s v=""/>
    <n v="-1.375"/>
    <n v="-1.375"/>
    <s v=""/>
    <x v="48"/>
    <n v="-0.7"/>
    <s v=""/>
  </r>
  <r>
    <d v="2011-04-15T00:00:00"/>
    <s v="Ameresco (Closed: 07/20/2017)"/>
    <x v="1"/>
    <n v="1"/>
    <s v="AMRC"/>
    <s v="$982M"/>
    <s v="Tom"/>
    <m/>
    <n v="15.14"/>
    <x v="369"/>
    <x v="136"/>
    <n v="43"/>
    <s v=""/>
    <n v="-0.54100000000000004"/>
    <n v="1.143"/>
    <s v=""/>
    <n v="1.143"/>
    <n v="-1.6839999999999999"/>
    <s v=""/>
    <n v="-1.6839999999999999"/>
    <x v="49"/>
    <s v=""/>
    <n v="-0.8"/>
  </r>
  <r>
    <d v="2010-02-19T00:00:00"/>
    <s v="Rosetta Stone (Closed: 05/06/2016)"/>
    <x v="1"/>
    <n v="1"/>
    <s v="RST"/>
    <s v="$371M"/>
    <s v="David"/>
    <m/>
    <n v="17.09"/>
    <x v="370"/>
    <x v="136"/>
    <n v="42"/>
    <n v="-0.54200000000000004"/>
    <s v=""/>
    <n v="1.1140000000000001"/>
    <n v="1.1140000000000001"/>
    <s v=""/>
    <n v="-1.6559999999999999"/>
    <n v="-1.6559999999999999"/>
    <s v=""/>
    <x v="49"/>
    <n v="-0.8"/>
    <s v=""/>
  </r>
  <r>
    <d v="2017-07-21T00:00:00"/>
    <s v="iRobot "/>
    <x v="1"/>
    <n v="1"/>
    <s v="IRBT"/>
    <s v="$1B"/>
    <s v="Tom"/>
    <m/>
    <n v="88.47"/>
    <x v="371"/>
    <x v="137"/>
    <n v="41"/>
    <s v=""/>
    <n v="-0.55000000000000004"/>
    <n v="0.17"/>
    <s v=""/>
    <n v="0.17"/>
    <n v="-0.72"/>
    <s v=""/>
    <n v="-0.72"/>
    <x v="47"/>
    <s v=""/>
    <n v="-0.6"/>
  </r>
  <r>
    <d v="2007-01-19T00:00:00"/>
    <s v="Nintendo (Closed: 03/15/2013)"/>
    <x v="0"/>
    <n v="1"/>
    <s v="NTDOY"/>
    <s v="$4,280B"/>
    <s v="David"/>
    <n v="11"/>
    <n v="32.25"/>
    <x v="372"/>
    <x v="138"/>
    <n v="40"/>
    <n v="-0.57199999999999995"/>
    <s v=""/>
    <n v="0.248"/>
    <n v="0.248"/>
    <s v=""/>
    <n v="-0.82"/>
    <n v="-0.82"/>
    <s v=""/>
    <x v="48"/>
    <n v="-0.7"/>
    <s v=""/>
  </r>
  <r>
    <d v="2015-11-20T00:00:00"/>
    <s v="Anheuser-Busch InBev NV"/>
    <x v="1"/>
    <n v="1"/>
    <s v="BUD"/>
    <s v="$84B"/>
    <s v="David"/>
    <n v="10"/>
    <n v="113.75"/>
    <x v="373"/>
    <x v="138"/>
    <n v="39"/>
    <n v="-0.57499999999999996"/>
    <s v=""/>
    <n v="0.435"/>
    <n v="0.435"/>
    <s v=""/>
    <n v="-1.01"/>
    <n v="-1.01"/>
    <s v=""/>
    <x v="48"/>
    <n v="-0.7"/>
    <s v=""/>
  </r>
  <r>
    <d v="2004-02-20T00:00:00"/>
    <s v="JetBlue Airways (Closed: 12/21/2007)"/>
    <x v="0"/>
    <n v="1"/>
    <s v="JBLU"/>
    <s v="$4B"/>
    <s v="David"/>
    <n v="12"/>
    <n v="15.73"/>
    <x v="374"/>
    <x v="139"/>
    <n v="38"/>
    <n v="-0.59299999999999997"/>
    <s v=""/>
    <n v="0.39300000000000002"/>
    <n v="0.39300000000000002"/>
    <s v=""/>
    <n v="-0.98599999999999999"/>
    <n v="-0.98599999999999999"/>
    <s v=""/>
    <x v="48"/>
    <n v="-0.7"/>
    <s v=""/>
  </r>
  <r>
    <d v="2012-06-15T00:00:00"/>
    <s v="3D Systems"/>
    <x v="1"/>
    <n v="1"/>
    <s v="DDD"/>
    <s v="$924M"/>
    <s v="David"/>
    <n v="19"/>
    <n v="19.739999999999998"/>
    <x v="375"/>
    <x v="140"/>
    <n v="37"/>
    <n v="-0.60499999999999998"/>
    <s v=""/>
    <n v="1.401"/>
    <n v="1.401"/>
    <s v=""/>
    <n v="-2.0059999999999998"/>
    <n v="-2.0059999999999998"/>
    <s v=""/>
    <x v="49"/>
    <n v="-0.8"/>
    <s v=""/>
  </r>
  <r>
    <d v="2006-09-15T00:00:00"/>
    <s v="Cemex (Closed: 12/17/2010)"/>
    <x v="0"/>
    <n v="1"/>
    <s v="CX"/>
    <s v="$81B"/>
    <s v="Tom"/>
    <m/>
    <n v="19.59"/>
    <x v="376"/>
    <x v="141"/>
    <n v="35"/>
    <s v=""/>
    <n v="-0.60899999999999999"/>
    <n v="3.3000000000000002E-2"/>
    <s v=""/>
    <n v="3.3000000000000002E-2"/>
    <n v="-0.64200000000000002"/>
    <s v=""/>
    <n v="-0.64200000000000002"/>
    <x v="47"/>
    <s v=""/>
    <n v="-0.6"/>
  </r>
  <r>
    <d v="2007-07-20T00:00:00"/>
    <s v="Umpqua Holdings (Closed: 07/02/2009)"/>
    <x v="0"/>
    <n v="1"/>
    <s v="UMPQ"/>
    <s v="$2B"/>
    <s v="Tom"/>
    <m/>
    <n v="18.55"/>
    <x v="376"/>
    <x v="141"/>
    <n v="35"/>
    <s v=""/>
    <n v="-0.60899999999999999"/>
    <n v="-0.38800000000000001"/>
    <s v=""/>
    <n v="-0.38800000000000001"/>
    <n v="-0.221"/>
    <s v=""/>
    <n v="-0.221"/>
    <x v="46"/>
    <s v=""/>
    <n v="-0.4"/>
  </r>
  <r>
    <d v="2007-02-16T00:00:00"/>
    <s v="LCA Vision (Closed: 11/08/2007)"/>
    <x v="0"/>
    <n v="1"/>
    <s v="LCAV.DL"/>
    <s v="N/A Stock quote details"/>
    <s v="David"/>
    <m/>
    <n v="45.91"/>
    <x v="377"/>
    <x v="142"/>
    <n v="34"/>
    <n v="-0.626"/>
    <s v=""/>
    <n v="2.7E-2"/>
    <n v="2.7E-2"/>
    <s v=""/>
    <n v="-0.65200000000000002"/>
    <n v="-0.65200000000000002"/>
    <s v=""/>
    <x v="47"/>
    <n v="-0.6"/>
    <s v=""/>
  </r>
  <r>
    <d v="2018-07-19T00:00:00"/>
    <s v="BlackBerry"/>
    <x v="1"/>
    <n v="1"/>
    <s v="BB"/>
    <s v="$3B"/>
    <s v="David"/>
    <n v="15"/>
    <n v="10.33"/>
    <x v="378"/>
    <x v="142"/>
    <n v="33"/>
    <n v="-0.627"/>
    <s v=""/>
    <n v="1.2E-2"/>
    <n v="1.2E-2"/>
    <s v=""/>
    <n v="-0.63900000000000001"/>
    <n v="-0.63900000000000001"/>
    <s v=""/>
    <x v="47"/>
    <n v="-0.6"/>
    <s v=""/>
  </r>
  <r>
    <d v="2015-11-20T00:00:00"/>
    <s v="Affiliated Managers Group"/>
    <x v="1"/>
    <n v="1"/>
    <s v="AMG"/>
    <s v="$3B"/>
    <s v="Tom"/>
    <m/>
    <n v="169.96"/>
    <x v="379"/>
    <x v="143"/>
    <n v="32"/>
    <s v=""/>
    <n v="-0.63300000000000001"/>
    <n v="0.435"/>
    <s v=""/>
    <n v="0.435"/>
    <n v="-1.0669999999999999"/>
    <s v=""/>
    <n v="-1.0669999999999999"/>
    <x v="48"/>
    <s v=""/>
    <n v="-0.7"/>
  </r>
  <r>
    <d v="2003-09-12T00:00:00"/>
    <s v="Electronic Arts (Closed: 12/17/2010)"/>
    <x v="0"/>
    <n v="1"/>
    <s v="EA"/>
    <s v="$29B"/>
    <s v="David"/>
    <n v="8"/>
    <n v="44.64"/>
    <x v="380"/>
    <x v="144"/>
    <n v="31"/>
    <n v="-0.64400000000000002"/>
    <s v=""/>
    <n v="0.41299999999999998"/>
    <n v="0.41299999999999998"/>
    <s v=""/>
    <n v="-1.0569999999999999"/>
    <n v="-1.0569999999999999"/>
    <s v=""/>
    <x v="48"/>
    <n v="-0.7"/>
    <s v=""/>
  </r>
  <r>
    <d v="2006-05-19T00:00:00"/>
    <s v="Shuffle Master (Closed: 11/16/2007)"/>
    <x v="0"/>
    <n v="1"/>
    <s v="SHFL.DL"/>
    <s v="N/A Stock quote details"/>
    <s v="Tom"/>
    <m/>
    <n v="37.28"/>
    <x v="381"/>
    <x v="144"/>
    <n v="30"/>
    <s v=""/>
    <n v="-0.64600000000000002"/>
    <n v="0.184"/>
    <s v=""/>
    <n v="0.184"/>
    <n v="-0.83"/>
    <s v=""/>
    <n v="-0.83"/>
    <x v="48"/>
    <s v=""/>
    <n v="-0.7"/>
  </r>
  <r>
    <d v="2016-09-16T00:00:00"/>
    <s v="Alkermes"/>
    <x v="1"/>
    <n v="1"/>
    <s v="ALKS"/>
    <s v="$3B"/>
    <s v="David"/>
    <n v="13"/>
    <n v="49.52"/>
    <x v="382"/>
    <x v="144"/>
    <n v="29"/>
    <n v="-0.64800000000000002"/>
    <s v=""/>
    <n v="0.376"/>
    <n v="0.376"/>
    <s v=""/>
    <n v="-1.024"/>
    <n v="-1.024"/>
    <s v=""/>
    <x v="48"/>
    <n v="-0.7"/>
    <s v=""/>
  </r>
  <r>
    <d v="2004-06-18T00:00:00"/>
    <s v="JetBlue Airways (Closed: 12/21/2007)"/>
    <x v="0"/>
    <n v="1"/>
    <s v="JBLU"/>
    <s v="$4B"/>
    <s v="David"/>
    <n v="12"/>
    <n v="18.5"/>
    <x v="383"/>
    <x v="145"/>
    <n v="28"/>
    <n v="-0.65400000000000003"/>
    <s v=""/>
    <n v="0.39600000000000002"/>
    <n v="0.39600000000000002"/>
    <s v=""/>
    <n v="-1.05"/>
    <n v="-1.05"/>
    <s v=""/>
    <x v="49"/>
    <n v="-0.8"/>
    <s v=""/>
  </r>
  <r>
    <d v="2007-09-21T00:00:00"/>
    <s v="Royal Caribbean (Closed: 12/19/2008)"/>
    <x v="0"/>
    <n v="1"/>
    <s v="RCL"/>
    <s v="$10B"/>
    <s v="David"/>
    <m/>
    <n v="38.380000000000003"/>
    <x v="384"/>
    <x v="146"/>
    <n v="27"/>
    <n v="-0.66900000000000004"/>
    <s v=""/>
    <n v="-0.40200000000000002"/>
    <n v="-0.40200000000000002"/>
    <s v=""/>
    <n v="-0.26700000000000002"/>
    <n v="-0.26700000000000002"/>
    <s v=""/>
    <x v="46"/>
    <n v="-0.4"/>
    <s v=""/>
  </r>
  <r>
    <d v="2016-01-22T00:00:00"/>
    <s v="Criteo"/>
    <x v="1"/>
    <n v="1"/>
    <s v="CRTO"/>
    <s v="$614M"/>
    <s v="Tom"/>
    <m/>
    <n v="30.11"/>
    <x v="385"/>
    <x v="146"/>
    <n v="26"/>
    <s v=""/>
    <n v="-0.67100000000000004"/>
    <n v="0.56699999999999995"/>
    <s v=""/>
    <n v="0.56699999999999995"/>
    <n v="-1.238"/>
    <s v=""/>
    <n v="-1.238"/>
    <x v="49"/>
    <s v=""/>
    <n v="-0.8"/>
  </r>
  <r>
    <d v="2014-07-18T00:00:00"/>
    <s v="Criteo"/>
    <x v="1"/>
    <n v="1"/>
    <s v="CRTO"/>
    <s v="$614M"/>
    <s v="Tom"/>
    <m/>
    <n v="32.11"/>
    <x v="386"/>
    <x v="147"/>
    <n v="25"/>
    <s v=""/>
    <n v="-0.69099999999999995"/>
    <n v="0.55800000000000005"/>
    <s v=""/>
    <n v="0.55800000000000005"/>
    <n v="-1.25"/>
    <s v=""/>
    <n v="-1.25"/>
    <x v="49"/>
    <s v=""/>
    <n v="-0.8"/>
  </r>
  <r>
    <d v="2014-08-15T00:00:00"/>
    <s v="Sierra Wireless"/>
    <x v="1"/>
    <n v="1"/>
    <s v="SWIR"/>
    <s v="$337M"/>
    <s v="David"/>
    <n v="15"/>
    <n v="23.52"/>
    <x v="387"/>
    <x v="148"/>
    <n v="24"/>
    <n v="-0.71299999999999997"/>
    <s v=""/>
    <n v="0.57399999999999995"/>
    <n v="0.57399999999999995"/>
    <s v=""/>
    <n v="-1.2869999999999999"/>
    <n v="-1.2869999999999999"/>
    <s v=""/>
    <x v="49"/>
    <n v="-0.8"/>
    <s v=""/>
  </r>
  <r>
    <d v="2015-08-21T00:00:00"/>
    <s v="Mylan"/>
    <x v="1"/>
    <n v="1"/>
    <s v="MYL"/>
    <s v="$7B"/>
    <s v="David"/>
    <n v="17"/>
    <n v="51.5"/>
    <x v="388"/>
    <x v="149"/>
    <n v="23"/>
    <n v="-0.72099999999999997"/>
    <s v=""/>
    <n v="0.52900000000000003"/>
    <n v="0.52900000000000003"/>
    <s v=""/>
    <n v="-1.25"/>
    <n v="-1.25"/>
    <s v=""/>
    <x v="49"/>
    <n v="-0.8"/>
    <s v=""/>
  </r>
  <r>
    <d v="2011-04-15T00:00:00"/>
    <s v="Weibo and Sina Corporate Action Details"/>
    <x v="1"/>
    <n v="1"/>
    <s v="WB SINA"/>
    <s v="N/A Corporate Action Details"/>
    <s v="David"/>
    <n v="11"/>
    <s v="$0 N/A Corporate Action Details"/>
    <x v="389"/>
    <x v="150"/>
    <n v="22"/>
    <n v="-0.72299999999999998"/>
    <s v=""/>
    <n v="1.5069999999999999"/>
    <n v="1.5069999999999999"/>
    <s v=""/>
    <n v="-2.23"/>
    <n v="-2.23"/>
    <s v=""/>
    <x v="50"/>
    <n v="-0.9"/>
    <s v=""/>
  </r>
  <r>
    <d v="2005-06-17T00:00:00"/>
    <s v="Electronic Arts (Closed: 12/17/2010)"/>
    <x v="0"/>
    <n v="1"/>
    <s v="EA"/>
    <s v="$29B"/>
    <s v="David"/>
    <n v="8"/>
    <n v="57.58"/>
    <x v="390"/>
    <x v="150"/>
    <n v="21"/>
    <n v="-0.72399999999999998"/>
    <s v=""/>
    <n v="0.14699999999999999"/>
    <n v="0.14699999999999999"/>
    <s v=""/>
    <n v="-0.87"/>
    <n v="-0.87"/>
    <s v=""/>
    <x v="49"/>
    <n v="-0.8"/>
    <s v=""/>
  </r>
  <r>
    <d v="2015-02-20T00:00:00"/>
    <s v="FireEye"/>
    <x v="1"/>
    <n v="1"/>
    <s v="FEYE"/>
    <s v="$3B"/>
    <s v="David"/>
    <n v="16"/>
    <n v="46.15"/>
    <x v="391"/>
    <x v="151"/>
    <n v="20"/>
    <n v="-0.72899999999999998"/>
    <s v=""/>
    <n v="0.443"/>
    <n v="0.443"/>
    <s v=""/>
    <n v="-1.1719999999999999"/>
    <n v="-1.1719999999999999"/>
    <s v=""/>
    <x v="49"/>
    <n v="-0.8"/>
    <s v=""/>
  </r>
  <r>
    <d v="2007-08-17T00:00:00"/>
    <s v="Atwood Oceanics (Closed: 07/25/2017)"/>
    <x v="0"/>
    <n v="1"/>
    <s v="ATW"/>
    <s v="N/A Stock quote details"/>
    <s v="David"/>
    <m/>
    <n v="31.48"/>
    <x v="392"/>
    <x v="152"/>
    <n v="19"/>
    <n v="-0.74"/>
    <s v=""/>
    <n v="1.123"/>
    <n v="1.123"/>
    <s v=""/>
    <n v="-1.863"/>
    <n v="-1.863"/>
    <s v=""/>
    <x v="50"/>
    <n v="-0.9"/>
    <s v=""/>
  </r>
  <r>
    <d v="2013-10-18T00:00:00"/>
    <s v="Bausch Health Companies (Closed: 02/07/2020)"/>
    <x v="1"/>
    <n v="1"/>
    <s v="BHC"/>
    <s v="$6B"/>
    <s v="Tom"/>
    <m/>
    <n v="113.02"/>
    <x v="393"/>
    <x v="153"/>
    <n v="18"/>
    <s v=""/>
    <n v="-0.751"/>
    <n v="1.17"/>
    <s v=""/>
    <n v="1.17"/>
    <n v="-1.921"/>
    <s v=""/>
    <n v="-1.921"/>
    <x v="50"/>
    <s v=""/>
    <n v="-0.9"/>
  </r>
  <r>
    <d v="2014-05-16T00:00:00"/>
    <s v="Lions Gate Entertainment Corporation Class A and Lions Gate Entertainment Corporation Class B Corporate Action Details"/>
    <x v="1"/>
    <n v="1"/>
    <s v="LGF.A LGF.B"/>
    <s v="N/A Corporate Action Details"/>
    <s v="David"/>
    <n v="18"/>
    <s v="$0 N/A Corporate Action Details"/>
    <x v="394"/>
    <x v="154"/>
    <n v="17"/>
    <n v="-0.76100000000000001"/>
    <s v=""/>
    <n v="0.64700000000000002"/>
    <n v="0.64700000000000002"/>
    <s v=""/>
    <n v="-1.4079999999999999"/>
    <n v="-1.4079999999999999"/>
    <s v=""/>
    <x v="50"/>
    <n v="-0.9"/>
    <s v=""/>
  </r>
  <r>
    <d v="2015-06-19T00:00:00"/>
    <s v="FireEye"/>
    <x v="1"/>
    <n v="1"/>
    <s v="FEYE"/>
    <s v="$3B"/>
    <s v="David"/>
    <n v="16"/>
    <n v="53.65"/>
    <x v="395"/>
    <x v="155"/>
    <n v="16"/>
    <n v="-0.76700000000000002"/>
    <s v=""/>
    <n v="0.434"/>
    <n v="0.434"/>
    <s v=""/>
    <n v="-1.2"/>
    <n v="-1.2"/>
    <s v=""/>
    <x v="49"/>
    <n v="-0.8"/>
    <s v=""/>
  </r>
  <r>
    <d v="2019-08-01T00:00:00"/>
    <s v="Charlotte's Web"/>
    <x v="1"/>
    <n v="1"/>
    <s v="CWBHF"/>
    <s v="$662M"/>
    <s v="Tom"/>
    <m/>
    <n v="20.32"/>
    <x v="396"/>
    <x v="156"/>
    <n v="15"/>
    <s v=""/>
    <n v="-0.77400000000000002"/>
    <n v="-5.8999999999999997E-2"/>
    <s v=""/>
    <n v="-5.8999999999999997E-2"/>
    <n v="-0.71499999999999997"/>
    <s v=""/>
    <n v="-0.71499999999999997"/>
    <x v="49"/>
    <s v=""/>
    <n v="-0.8"/>
  </r>
  <r>
    <d v="2007-12-21T00:00:00"/>
    <s v="OneSpan Inc. (Closed: 09/16/2011)"/>
    <x v="0"/>
    <n v="1"/>
    <s v="OSPN"/>
    <s v="$555M"/>
    <s v="Tom"/>
    <m/>
    <n v="26.37"/>
    <x v="397"/>
    <x v="157"/>
    <n v="14"/>
    <s v=""/>
    <n v="-0.78800000000000003"/>
    <n v="-0.11"/>
    <s v=""/>
    <n v="-0.11"/>
    <n v="-0.67800000000000005"/>
    <s v=""/>
    <n v="-0.67800000000000005"/>
    <x v="49"/>
    <s v=""/>
    <n v="-0.8"/>
  </r>
  <r>
    <d v="2005-03-18T00:00:00"/>
    <s v="Tivity Health, Inc. (Closed: 12/16/2011)"/>
    <x v="0"/>
    <n v="1"/>
    <s v="TVTY"/>
    <s v="$431M"/>
    <s v="Tom"/>
    <m/>
    <n v="31.76"/>
    <x v="398"/>
    <x v="158"/>
    <n v="13"/>
    <s v=""/>
    <n v="-0.79300000000000004"/>
    <n v="0.18"/>
    <s v=""/>
    <n v="0.18"/>
    <n v="-0.97199999999999998"/>
    <s v=""/>
    <n v="-0.97199999999999998"/>
    <x v="49"/>
    <s v=""/>
    <n v="-0.8"/>
  </r>
  <r>
    <d v="2013-11-15T00:00:00"/>
    <s v="The Container Store Group (Closed: 07/29/2016)"/>
    <x v="1"/>
    <n v="1"/>
    <s v="TCS"/>
    <s v="$141M"/>
    <s v="David"/>
    <m/>
    <n v="33.549999999999997"/>
    <x v="399"/>
    <x v="159"/>
    <n v="12"/>
    <n v="-0.83499999999999996"/>
    <s v=""/>
    <n v="0.27900000000000003"/>
    <n v="0.27900000000000003"/>
    <s v=""/>
    <n v="-1.1140000000000001"/>
    <n v="-1.1140000000000001"/>
    <s v=""/>
    <x v="50"/>
    <n v="-0.9"/>
    <s v=""/>
  </r>
  <r>
    <d v="2005-08-19T00:00:00"/>
    <s v="Tivity Health, Inc. (Closed: 12/16/2011)"/>
    <x v="0"/>
    <n v="1"/>
    <s v="TVTY"/>
    <s v="$431M"/>
    <s v="Tom"/>
    <m/>
    <n v="41.62"/>
    <x v="400"/>
    <x v="160"/>
    <n v="11"/>
    <s v=""/>
    <n v="-0.84199999999999997"/>
    <n v="0.14199999999999999"/>
    <s v=""/>
    <n v="0.14199999999999999"/>
    <n v="-0.98399999999999999"/>
    <s v=""/>
    <n v="-0.98399999999999999"/>
    <x v="50"/>
    <s v=""/>
    <n v="-0.9"/>
  </r>
  <r>
    <d v="2013-12-20T00:00:00"/>
    <s v="The Container Store Group (Closed: 07/29/2016)"/>
    <x v="1"/>
    <n v="1"/>
    <s v="TCS"/>
    <s v="$141M"/>
    <s v="David"/>
    <m/>
    <n v="41.28"/>
    <x v="401"/>
    <x v="161"/>
    <n v="10"/>
    <n v="-0.86599999999999999"/>
    <s v=""/>
    <n v="0.26200000000000001"/>
    <n v="0.26200000000000001"/>
    <s v=""/>
    <n v="-1.1279999999999999"/>
    <n v="-1.1279999999999999"/>
    <s v=""/>
    <x v="50"/>
    <n v="-0.9"/>
    <s v=""/>
  </r>
  <r>
    <d v="2011-11-18T00:00:00"/>
    <s v="Oceaneering International"/>
    <x v="1"/>
    <n v="1"/>
    <s v="OII"/>
    <s v="$476M"/>
    <s v="Tom"/>
    <m/>
    <n v="39.979999999999997"/>
    <x v="402"/>
    <x v="162"/>
    <n v="9"/>
    <s v=""/>
    <n v="-0.88"/>
    <n v="1.6859999999999999"/>
    <s v=""/>
    <n v="1.6859999999999999"/>
    <n v="-2.5659999999999998"/>
    <s v=""/>
    <n v="-2.5659999999999998"/>
    <x v="51"/>
    <s v=""/>
    <n v="-1"/>
  </r>
  <r>
    <d v="2011-02-18T00:00:00"/>
    <s v="Westport Fuel Systems Inc. (Closed: 01/06/2016)"/>
    <x v="1"/>
    <n v="1"/>
    <s v="WPRT"/>
    <s v="$263M"/>
    <s v="David"/>
    <m/>
    <n v="16.36"/>
    <x v="403"/>
    <x v="163"/>
    <n v="8"/>
    <n v="-0.88300000000000001"/>
    <s v=""/>
    <n v="0.64500000000000002"/>
    <n v="0.64500000000000002"/>
    <s v=""/>
    <n v="-1.5269999999999999"/>
    <n v="-1.5269999999999999"/>
    <s v=""/>
    <x v="50"/>
    <n v="-0.9"/>
    <s v=""/>
  </r>
  <r>
    <d v="2007-01-19T00:00:00"/>
    <s v="Atlanticus Holdings (Closed: 04/17/2009)"/>
    <x v="0"/>
    <n v="1"/>
    <s v="ATLC"/>
    <s v="$177M"/>
    <s v="Tom"/>
    <m/>
    <n v="34.57"/>
    <x v="404"/>
    <x v="164"/>
    <n v="7"/>
    <s v=""/>
    <n v="-0.89300000000000002"/>
    <n v="-0.36099999999999999"/>
    <s v=""/>
    <n v="-0.36099999999999999"/>
    <n v="-0.53200000000000003"/>
    <s v=""/>
    <n v="-0.53200000000000003"/>
    <x v="49"/>
    <s v=""/>
    <n v="-0.8"/>
  </r>
  <r>
    <d v="2003-08-08T00:00:00"/>
    <s v="Krispy Kreme Doughnuts (Closed: 10/26/2005)"/>
    <x v="0"/>
    <n v="1"/>
    <s v="KKD"/>
    <s v="N/A Stock quote details"/>
    <s v="David"/>
    <m/>
    <n v="44.22"/>
    <x v="405"/>
    <x v="165"/>
    <n v="6"/>
    <n v="-0.89700000000000002"/>
    <s v=""/>
    <n v="0.26700000000000002"/>
    <n v="0.26700000000000002"/>
    <s v=""/>
    <n v="-1.1639999999999999"/>
    <n v="-1.1639999999999999"/>
    <s v=""/>
    <x v="50"/>
    <n v="-0.9"/>
    <s v=""/>
  </r>
  <r>
    <d v="2015-08-21T00:00:00"/>
    <s v="Diplomat Pharmacy (Closed: 02/07/2020)"/>
    <x v="1"/>
    <n v="1"/>
    <s v="DPLO"/>
    <s v="N/A Stock quote details"/>
    <s v="Tom"/>
    <m/>
    <n v="40.299999999999997"/>
    <x v="406"/>
    <x v="166"/>
    <n v="5"/>
    <s v=""/>
    <n v="-0.90100000000000002"/>
    <n v="0.84899999999999998"/>
    <s v=""/>
    <n v="0.84899999999999998"/>
    <n v="-1.75"/>
    <s v=""/>
    <n v="-1.75"/>
    <x v="50"/>
    <s v=""/>
    <n v="-0.9"/>
  </r>
  <r>
    <d v="2012-03-16T00:00:00"/>
    <s v="Clean Energy Fuels"/>
    <x v="1"/>
    <n v="1"/>
    <s v="CLNE"/>
    <s v="$366M"/>
    <s v="David"/>
    <n v="13"/>
    <n v="21.05"/>
    <x v="407"/>
    <x v="167"/>
    <n v="4"/>
    <n v="-0.91500000000000004"/>
    <s v=""/>
    <n v="1.3089999999999999"/>
    <n v="1.3089999999999999"/>
    <s v=""/>
    <n v="-2.2240000000000002"/>
    <n v="-2.2240000000000002"/>
    <s v=""/>
    <x v="51"/>
    <n v="-1"/>
    <s v=""/>
  </r>
  <r>
    <d v="2012-02-17T00:00:00"/>
    <s v="SeaDrill Limited (Closed: 10/28/2016)"/>
    <x v="1"/>
    <n v="1"/>
    <s v="SDRL"/>
    <s v="N/A Stock quote details"/>
    <s v="David"/>
    <m/>
    <s v="$0 N/A Corporate Action Details"/>
    <x v="408"/>
    <x v="168"/>
    <n v="3"/>
    <n v="-0.92700000000000005"/>
    <s v=""/>
    <n v="0.72599999999999998"/>
    <n v="0.72599999999999998"/>
    <s v=""/>
    <n v="-1.653"/>
    <n v="-1.653"/>
    <s v=""/>
    <x v="51"/>
    <n v="-1"/>
    <s v=""/>
  </r>
  <r>
    <d v="2014-04-17T00:00:00"/>
    <s v="Core Laboratories"/>
    <x v="1"/>
    <n v="1"/>
    <s v="CLB"/>
    <s v="$601M"/>
    <s v="Tom"/>
    <m/>
    <n v="187.81"/>
    <x v="409"/>
    <x v="168"/>
    <n v="2"/>
    <s v=""/>
    <n v="-0.92800000000000005"/>
    <n v="0.66200000000000003"/>
    <s v=""/>
    <n v="0.66200000000000003"/>
    <n v="-1.59"/>
    <s v=""/>
    <n v="-1.59"/>
    <x v="51"/>
    <s v=""/>
    <n v="-1"/>
  </r>
  <r>
    <d v="2007-05-18T00:00:00"/>
    <s v="Satyam Computer Services Ltd (Closed: 01/12/2009)"/>
    <x v="0"/>
    <n v="1"/>
    <s v="SAY.DL2"/>
    <s v="N/A Stock quote details"/>
    <s v="David"/>
    <m/>
    <s v="$0 N/A Corporate Action Details"/>
    <x v="410"/>
    <x v="169"/>
    <n v="1"/>
    <n v="-0.94"/>
    <s v=""/>
    <n v="-0.40699999999999997"/>
    <n v="-0.40699999999999997"/>
    <s v=""/>
    <n v="-0.53200000000000003"/>
    <n v="-0.53200000000000003"/>
    <s v=""/>
    <x v="50"/>
    <n v="-0.9"/>
    <s v=""/>
  </r>
  <r>
    <d v="2005-12-16T00:00:00"/>
    <s v="Pacific Sunwear (Closed: 01/16/2009)"/>
    <x v="0"/>
    <n v="1"/>
    <s v="PSUNQ"/>
    <s v="N/A Stock quote details"/>
    <s v="Tom"/>
    <m/>
    <s v="$0 N/A Corporate Action Details"/>
    <x v="411"/>
    <x v="170"/>
    <n v="0"/>
    <s v=""/>
    <n v="-0.95599999999999996"/>
    <n v="-0.28499999999999998"/>
    <s v=""/>
    <n v="-0.28499999999999998"/>
    <n v="-0.67100000000000004"/>
    <s v=""/>
    <n v="-0.67100000000000004"/>
    <x v="50"/>
    <s v=""/>
    <n v="-0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89906-D30D-CA49-B08A-239EF2E8B0D5}" name="PivotTable2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2">
  <location ref="I4:AN6" firstHeaderRow="1" firstDataRow="2" firstDataCol="1" rowPageCount="1" colPageCount="1"/>
  <pivotFields count="25">
    <pivotField numFmtId="14"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0" showAll="0"/>
    <pivotField showAll="0"/>
    <pivotField showAll="0"/>
    <pivotField showAll="0"/>
    <pivotField showAll="0"/>
    <pivotField numFmtId="10" showAll="0"/>
    <pivotField showAll="0"/>
    <pivotField showAll="0"/>
    <pivotField numFmtId="10" showAll="0"/>
    <pivotField showAll="0"/>
    <pivotField showAll="0"/>
    <pivotField axis="axisCol" numFmtId="10" showAll="0" sortType="ascending">
      <items count="1123">
        <item m="1" x="703"/>
        <item m="1" x="103"/>
        <item m="1" x="344"/>
        <item m="1" x="710"/>
        <item m="1" x="224"/>
        <item m="1" x="191"/>
        <item m="1" x="1092"/>
        <item m="1" x="1094"/>
        <item m="1" x="1005"/>
        <item m="1" x="1079"/>
        <item m="1" x="690"/>
        <item m="1" x="195"/>
        <item m="1" x="1052"/>
        <item m="1" x="612"/>
        <item m="1" x="1103"/>
        <item m="1" x="90"/>
        <item m="1" x="144"/>
        <item m="1" x="292"/>
        <item m="1" x="456"/>
        <item m="1" x="739"/>
        <item m="1" x="333"/>
        <item m="1" x="248"/>
        <item m="1" x="207"/>
        <item m="1" x="559"/>
        <item m="1" x="869"/>
        <item m="1" x="953"/>
        <item m="1" x="481"/>
        <item m="1" x="188"/>
        <item m="1" x="577"/>
        <item m="1" x="482"/>
        <item m="1" x="1057"/>
        <item m="1" x="1035"/>
        <item m="1" x="643"/>
        <item m="1" x="162"/>
        <item m="1" x="135"/>
        <item m="1" x="520"/>
        <item m="1" x="602"/>
        <item m="1" x="836"/>
        <item m="1" x="84"/>
        <item m="1" x="661"/>
        <item m="1" x="173"/>
        <item m="1" x="801"/>
        <item m="1" x="935"/>
        <item m="1" x="853"/>
        <item m="1" x="749"/>
        <item m="1" x="1114"/>
        <item m="1" x="289"/>
        <item m="1" x="361"/>
        <item m="1" x="136"/>
        <item m="1" x="603"/>
        <item m="1" x="1074"/>
        <item m="1" x="377"/>
        <item m="1" x="733"/>
        <item m="1" x="621"/>
        <item m="1" x="882"/>
        <item m="1" x="308"/>
        <item m="1" x="735"/>
        <item m="1" x="522"/>
        <item m="1" x="1049"/>
        <item m="1" x="234"/>
        <item m="1" x="322"/>
        <item m="1" x="1082"/>
        <item m="1" x="155"/>
        <item m="1" x="544"/>
        <item m="1" x="70"/>
        <item m="1" x="269"/>
        <item m="1" x="438"/>
        <item m="1" x="913"/>
        <item m="1" x="476"/>
        <item m="1" x="995"/>
        <item m="1" x="381"/>
        <item m="1" x="330"/>
        <item m="1" x="813"/>
        <item m="1" x="1105"/>
        <item m="1" x="407"/>
        <item m="1" x="874"/>
        <item m="1" x="506"/>
        <item m="1" x="810"/>
        <item m="1" x="909"/>
        <item m="1" x="837"/>
        <item m="1" x="424"/>
        <item m="1" x="1032"/>
        <item m="1" x="811"/>
        <item m="1" x="1022"/>
        <item m="1" x="768"/>
        <item m="1" x="664"/>
        <item m="1" x="548"/>
        <item m="1" x="314"/>
        <item m="1" x="329"/>
        <item m="1" x="947"/>
        <item m="1" x="812"/>
        <item m="1" x="590"/>
        <item m="1" x="403"/>
        <item m="1" x="1108"/>
        <item m="1" x="708"/>
        <item m="1" x="771"/>
        <item m="1" x="174"/>
        <item m="1" x="348"/>
        <item m="1" x="601"/>
        <item m="1" x="531"/>
        <item m="1" x="538"/>
        <item m="1" x="575"/>
        <item m="1" x="52"/>
        <item m="1" x="583"/>
        <item m="1" x="318"/>
        <item m="1" x="884"/>
        <item m="1" x="616"/>
        <item m="1" x="608"/>
        <item m="1" x="821"/>
        <item m="1" x="496"/>
        <item m="1" x="893"/>
        <item m="1" x="1031"/>
        <item m="1" x="91"/>
        <item m="1" x="644"/>
        <item m="1" x="737"/>
        <item m="1" x="668"/>
        <item m="1" x="396"/>
        <item m="1" x="802"/>
        <item m="1" x="453"/>
        <item m="1" x="949"/>
        <item m="1" x="328"/>
        <item m="1" x="942"/>
        <item m="1" x="553"/>
        <item m="1" x="1067"/>
        <item m="1" x="676"/>
        <item m="1" x="783"/>
        <item m="1" x="204"/>
        <item m="1" x="295"/>
        <item m="1" x="850"/>
        <item m="1" x="1050"/>
        <item m="1" x="838"/>
        <item m="1" x="713"/>
        <item m="1" x="785"/>
        <item m="1" x="231"/>
        <item m="1" x="551"/>
        <item m="1" x="367"/>
        <item m="1" x="856"/>
        <item m="1" x="498"/>
        <item m="1" x="127"/>
        <item m="1" x="114"/>
        <item m="1" x="819"/>
        <item m="1" x="883"/>
        <item x="51"/>
        <item m="1" x="633"/>
        <item m="1" x="1091"/>
        <item m="1" x="184"/>
        <item m="1" x="849"/>
        <item m="1" x="116"/>
        <item m="1" x="354"/>
        <item m="1" x="370"/>
        <item m="1" x="1075"/>
        <item m="1" x="829"/>
        <item m="1" x="686"/>
        <item m="1" x="774"/>
        <item m="1" x="681"/>
        <item m="1" x="326"/>
        <item m="1" x="665"/>
        <item m="1" x="222"/>
        <item m="1" x="1043"/>
        <item m="1" x="876"/>
        <item m="1" x="528"/>
        <item m="1" x="256"/>
        <item m="1" x="220"/>
        <item x="50"/>
        <item m="1" x="867"/>
        <item m="1" x="592"/>
        <item m="1" x="368"/>
        <item m="1" x="112"/>
        <item m="1" x="336"/>
        <item m="1" x="429"/>
        <item m="1" x="221"/>
        <item m="1" x="514"/>
        <item m="1" x="211"/>
        <item m="1" x="158"/>
        <item m="1" x="63"/>
        <item m="1" x="822"/>
        <item m="1" x="1118"/>
        <item m="1" x="168"/>
        <item m="1" x="697"/>
        <item m="1" x="979"/>
        <item m="1" x="579"/>
        <item m="1" x="910"/>
        <item m="1" x="510"/>
        <item m="1" x="726"/>
        <item m="1" x="324"/>
        <item m="1" x="960"/>
        <item m="1" x="365"/>
        <item m="1" x="557"/>
        <item m="1" x="1008"/>
        <item m="1" x="666"/>
        <item m="1" x="75"/>
        <item m="1" x="205"/>
        <item m="1" x="911"/>
        <item m="1" x="808"/>
        <item m="1" x="192"/>
        <item m="1" x="792"/>
        <item m="1" x="99"/>
        <item m="1" x="567"/>
        <item m="1" x="1037"/>
        <item m="1" x="655"/>
        <item m="1" x="652"/>
        <item m="1" x="1010"/>
        <item m="1" x="164"/>
        <item m="1" x="232"/>
        <item x="49"/>
        <item m="1" x="87"/>
        <item m="1" x="1013"/>
        <item m="1" x="501"/>
        <item m="1" x="337"/>
        <item m="1" x="586"/>
        <item m="1" x="477"/>
        <item m="1" x="672"/>
        <item m="1" x="769"/>
        <item m="1" x="327"/>
        <item m="1" x="636"/>
        <item m="1" x="581"/>
        <item m="1" x="299"/>
        <item m="1" x="1012"/>
        <item m="1" x="923"/>
        <item m="1" x="186"/>
        <item m="1" x="302"/>
        <item m="1" x="784"/>
        <item m="1" x="568"/>
        <item m="1" x="383"/>
        <item m="1" x="1100"/>
        <item m="1" x="948"/>
        <item m="1" x="165"/>
        <item m="1" x="340"/>
        <item m="1" x="100"/>
        <item m="1" x="1083"/>
        <item m="1" x="504"/>
        <item m="1" x="691"/>
        <item m="1" x="786"/>
        <item m="1" x="1068"/>
        <item m="1" x="128"/>
        <item m="1" x="89"/>
        <item m="1" x="1041"/>
        <item m="1" x="230"/>
        <item m="1" x="918"/>
        <item m="1" x="795"/>
        <item m="1" x="1047"/>
        <item m="1" x="66"/>
        <item m="1" x="201"/>
        <item m="1" x="692"/>
        <item m="1" x="1000"/>
        <item m="1" x="932"/>
        <item m="1" x="610"/>
        <item x="48"/>
        <item m="1" x="945"/>
        <item m="1" x="961"/>
        <item m="1" x="273"/>
        <item m="1" x="753"/>
        <item m="1" x="906"/>
        <item m="1" x="249"/>
        <item m="1" x="1112"/>
        <item m="1" x="738"/>
        <item m="1" x="449"/>
        <item m="1" x="175"/>
        <item m="1" x="147"/>
        <item m="1" x="605"/>
        <item m="1" x="980"/>
        <item m="1" x="1080"/>
        <item m="1" x="889"/>
        <item m="1" x="585"/>
        <item m="1" x="1096"/>
        <item m="1" x="172"/>
        <item m="1" x="450"/>
        <item m="1" x="417"/>
        <item m="1" x="803"/>
        <item m="1" x="855"/>
        <item m="1" x="244"/>
        <item m="1" x="534"/>
        <item m="1" x="593"/>
        <item m="1" x="434"/>
        <item m="1" x="334"/>
        <item m="1" x="992"/>
        <item m="1" x="649"/>
        <item m="1" x="797"/>
        <item m="1" x="933"/>
        <item m="1" x="502"/>
        <item m="1" x="286"/>
        <item m="1" x="65"/>
        <item m="1" x="794"/>
        <item m="1" x="458"/>
        <item m="1" x="140"/>
        <item m="1" x="651"/>
        <item m="1" x="1023"/>
        <item m="1" x="989"/>
        <item m="1" x="790"/>
        <item m="1" x="157"/>
        <item m="1" x="226"/>
        <item x="47"/>
        <item m="1" x="515"/>
        <item m="1" x="875"/>
        <item m="1" x="1109"/>
        <item m="1" x="358"/>
        <item m="1" x="1098"/>
        <item m="1" x="674"/>
        <item m="1" x="1027"/>
        <item m="1" x="880"/>
        <item m="1" x="460"/>
        <item m="1" x="952"/>
        <item m="1" x="364"/>
        <item m="1" x="315"/>
        <item m="1" x="861"/>
        <item m="1" x="711"/>
        <item m="1" x="120"/>
        <item m="1" x="546"/>
        <item m="1" x="1099"/>
        <item m="1" x="723"/>
        <item m="1" x="465"/>
        <item m="1" x="698"/>
        <item m="1" x="632"/>
        <item m="1" x="320"/>
        <item m="1" x="718"/>
        <item m="1" x="439"/>
        <item m="1" x="569"/>
        <item m="1" x="628"/>
        <item m="1" x="752"/>
        <item m="1" x="101"/>
        <item m="1" x="549"/>
        <item m="1" x="851"/>
        <item m="1" x="999"/>
        <item m="1" x="433"/>
        <item m="1" x="414"/>
        <item m="1" x="939"/>
        <item m="1" x="695"/>
        <item m="1" x="95"/>
        <item m="1" x="1051"/>
        <item m="1" x="399"/>
        <item m="1" x="831"/>
        <item m="1" x="169"/>
        <item m="1" x="859"/>
        <item x="45"/>
        <item m="1" x="1011"/>
        <item m="1" x="736"/>
        <item m="1" x="1084"/>
        <item m="1" x="78"/>
        <item m="1" x="756"/>
        <item m="1" x="919"/>
        <item m="1" x="996"/>
        <item m="1" x="145"/>
        <item m="1" x="966"/>
        <item m="1" x="925"/>
        <item m="1" x="261"/>
        <item m="1" x="824"/>
        <item m="1" x="609"/>
        <item m="1" x="870"/>
        <item m="1" x="131"/>
        <item m="1" x="663"/>
        <item m="1" x="516"/>
        <item m="1" x="646"/>
        <item m="1" x="816"/>
        <item m="1" x="406"/>
        <item m="1" x="1014"/>
        <item m="1" x="512"/>
        <item m="1" x="170"/>
        <item m="1" x="971"/>
        <item m="1" x="121"/>
        <item m="1" x="366"/>
        <item m="1" x="278"/>
        <item m="1" x="285"/>
        <item m="1" x="734"/>
        <item m="1" x="1040"/>
        <item m="1" x="451"/>
        <item m="1" x="1017"/>
        <item m="1" x="202"/>
        <item m="1" x="863"/>
        <item m="1" x="154"/>
        <item m="1" x="617"/>
        <item m="1" x="1076"/>
        <item m="1" x="907"/>
        <item m="1" x="402"/>
        <item m="1" x="1101"/>
        <item m="1" x="342"/>
        <item m="1" x="254"/>
        <item m="1" x="301"/>
        <item m="1" x="750"/>
        <item m="1" x="1034"/>
        <item m="1" x="940"/>
        <item m="1" x="580"/>
        <item m="1" x="1088"/>
        <item x="46"/>
        <item m="1" x="757"/>
        <item m="1" x="529"/>
        <item m="1" x="1089"/>
        <item m="1" x="796"/>
        <item m="1" x="80"/>
        <item m="1" x="141"/>
        <item m="1" x="618"/>
        <item m="1" x="589"/>
        <item m="1" x="143"/>
        <item m="1" x="540"/>
        <item m="1" x="461"/>
        <item m="1" x="523"/>
        <item m="1" x="914"/>
        <item m="1" x="219"/>
        <item m="1" x="306"/>
        <item m="1" x="857"/>
        <item m="1" x="1019"/>
        <item m="1" x="1046"/>
        <item m="1" x="781"/>
        <item m="1" x="1062"/>
        <item m="1" x="132"/>
        <item m="1" x="187"/>
        <item m="1" x="401"/>
        <item m="1" x="161"/>
        <item m="1" x="689"/>
        <item m="1" x="826"/>
        <item m="1" x="1044"/>
        <item m="1" x="490"/>
        <item m="1" x="902"/>
        <item m="1" x="741"/>
        <item m="1" x="576"/>
        <item m="1" x="877"/>
        <item m="1" x="196"/>
        <item m="1" x="150"/>
        <item m="1" x="1036"/>
        <item m="1" x="375"/>
        <item m="1" x="719"/>
        <item m="1" x="58"/>
        <item m="1" x="309"/>
        <item m="1" x="1111"/>
        <item m="1" x="1065"/>
        <item m="1" x="983"/>
        <item m="1" x="731"/>
        <item m="1" x="565"/>
        <item m="1" x="1085"/>
        <item m="1" x="791"/>
        <item m="1" x="587"/>
        <item m="1" x="182"/>
        <item m="1" x="898"/>
        <item m="1" x="394"/>
        <item x="40"/>
        <item m="1" x="411"/>
        <item m="1" x="209"/>
        <item m="1" x="199"/>
        <item m="1" x="1095"/>
        <item m="1" x="1025"/>
        <item m="1" x="339"/>
        <item m="1" x="73"/>
        <item m="1" x="667"/>
        <item m="1" x="860"/>
        <item m="1" x="1015"/>
        <item m="1" x="972"/>
        <item m="1" x="629"/>
        <item m="1" x="891"/>
        <item m="1" x="111"/>
        <item m="1" x="560"/>
        <item m="1" x="696"/>
        <item m="1" x="613"/>
        <item m="1" x="62"/>
        <item m="1" x="956"/>
        <item m="1" x="639"/>
        <item m="1" x="566"/>
        <item m="1" x="679"/>
        <item m="1" x="547"/>
        <item m="1" x="1018"/>
        <item m="1" x="604"/>
        <item m="1" x="200"/>
        <item m="1" x="815"/>
        <item m="1" x="398"/>
        <item m="1" x="805"/>
        <item m="1" x="271"/>
        <item m="1" x="55"/>
        <item m="1" x="1055"/>
        <item m="1" x="267"/>
        <item m="1" x="517"/>
        <item m="1" x="436"/>
        <item m="1" x="804"/>
        <item m="1" x="570"/>
        <item m="1" x="963"/>
        <item m="1" x="934"/>
        <item m="1" x="325"/>
        <item m="1" x="494"/>
        <item m="1" x="495"/>
        <item m="1" x="346"/>
        <item m="1" x="97"/>
        <item m="1" x="179"/>
        <item m="1" x="363"/>
        <item m="1" x="571"/>
        <item m="1" x="760"/>
        <item m="1" x="59"/>
        <item x="41"/>
        <item m="1" x="702"/>
        <item m="1" x="976"/>
        <item m="1" x="421"/>
        <item m="1" x="700"/>
        <item m="1" x="600"/>
        <item m="1" x="1069"/>
        <item m="1" x="854"/>
        <item m="1" x="323"/>
        <item m="1" x="637"/>
        <item m="1" x="899"/>
        <item m="1" x="259"/>
        <item m="1" x="426"/>
        <item m="1" x="277"/>
        <item m="1" x="54"/>
        <item m="1" x="282"/>
        <item m="1" x="345"/>
        <item m="1" x="410"/>
        <item m="1" x="92"/>
        <item m="1" x="1020"/>
        <item m="1" x="81"/>
        <item m="1" x="1042"/>
        <item m="1" x="264"/>
        <item m="1" x="262"/>
        <item m="1" x="594"/>
        <item m="1" x="347"/>
        <item m="1" x="926"/>
        <item m="1" x="740"/>
        <item m="1" x="233"/>
        <item m="1" x="626"/>
        <item m="1" x="941"/>
        <item m="1" x="1006"/>
        <item m="1" x="194"/>
        <item m="1" x="525"/>
        <item m="1" x="675"/>
        <item m="1" x="642"/>
        <item m="1" x="215"/>
        <item m="1" x="432"/>
        <item m="1" x="321"/>
        <item m="1" x="1066"/>
        <item m="1" x="474"/>
        <item m="1" x="252"/>
        <item m="1" x="981"/>
        <item m="1" x="627"/>
        <item m="1" x="903"/>
        <item m="1" x="276"/>
        <item x="39"/>
        <item m="1" x="109"/>
        <item m="1" x="1070"/>
        <item m="1" x="448"/>
        <item m="1" x="425"/>
        <item m="1" x="110"/>
        <item m="1" x="957"/>
        <item m="1" x="210"/>
        <item m="1" x="1028"/>
        <item m="1" x="119"/>
        <item m="1" x="839"/>
        <item m="1" x="422"/>
        <item m="1" x="625"/>
        <item m="1" x="391"/>
        <item m="1" x="113"/>
        <item m="1" x="787"/>
        <item m="1" x="74"/>
        <item m="1" x="379"/>
        <item m="1" x="229"/>
        <item m="1" x="356"/>
        <item m="1" x="343"/>
        <item m="1" x="290"/>
        <item m="1" x="472"/>
        <item m="1" x="1090"/>
        <item m="1" x="526"/>
        <item m="1" x="842"/>
        <item m="1" x="380"/>
        <item m="1" x="389"/>
        <item m="1" x="125"/>
        <item m="1" x="311"/>
        <item m="1" x="390"/>
        <item m="1" x="788"/>
        <item m="1" x="987"/>
        <item m="1" x="754"/>
        <item m="1" x="958"/>
        <item m="1" x="483"/>
        <item m="1" x="247"/>
        <item m="1" x="183"/>
        <item m="1" x="105"/>
        <item m="1" x="464"/>
        <item m="1" x="280"/>
        <item m="1" x="1120"/>
        <item m="1" x="373"/>
        <item m="1" x="820"/>
        <item m="1" x="153"/>
        <item m="1" x="206"/>
        <item m="1" x="316"/>
        <item m="1" x="550"/>
        <item m="1" x="1054"/>
        <item x="35"/>
        <item m="1" x="478"/>
        <item m="1" x="468"/>
        <item m="1" x="773"/>
        <item m="1" x="129"/>
        <item m="1" x="250"/>
        <item m="1" x="745"/>
        <item m="1" x="977"/>
        <item m="1" x="227"/>
        <item m="1" x="1061"/>
        <item m="1" x="1030"/>
        <item m="1" x="475"/>
        <item m="1" x="542"/>
        <item m="1" x="408"/>
        <item m="1" x="163"/>
        <item m="1" x="64"/>
        <item m="1" x="915"/>
        <item m="1" x="376"/>
        <item m="1" x="115"/>
        <item m="1" x="60"/>
        <item m="1" x="833"/>
        <item m="1" x="558"/>
        <item m="1" x="156"/>
        <item m="1" x="770"/>
        <item m="1" x="413"/>
        <item m="1" x="236"/>
        <item m="1" x="917"/>
        <item m="1" x="152"/>
        <item m="1" x="825"/>
        <item m="1" x="974"/>
        <item m="1" x="142"/>
        <item m="1" x="213"/>
        <item m="1" x="541"/>
        <item m="1" x="104"/>
        <item m="1" x="964"/>
        <item m="1" x="582"/>
        <item m="1" x="984"/>
        <item m="1" x="96"/>
        <item m="1" x="775"/>
        <item m="1" x="970"/>
        <item m="1" x="772"/>
        <item m="1" x="1021"/>
        <item m="1" x="371"/>
        <item m="1" x="789"/>
        <item m="1" x="362"/>
        <item m="1" x="717"/>
        <item m="1" x="237"/>
        <item m="1" x="892"/>
        <item m="1" x="965"/>
        <item m="1" x="607"/>
        <item m="1" x="118"/>
        <item x="33"/>
        <item m="1" x="88"/>
        <item m="1" x="255"/>
        <item m="1" x="564"/>
        <item m="1" x="858"/>
        <item m="1" x="682"/>
        <item m="1" x="1053"/>
        <item m="1" x="440"/>
        <item m="1" x="864"/>
        <item m="1" x="759"/>
        <item m="1" x="862"/>
        <item m="1" x="268"/>
        <item m="1" x="217"/>
        <item m="1" x="307"/>
        <item m="1" x="640"/>
        <item m="1" x="743"/>
        <item m="1" x="1073"/>
        <item m="1" x="658"/>
        <item m="1" x="242"/>
        <item m="1" x="727"/>
        <item m="1" x="332"/>
        <item m="1" x="513"/>
        <item m="1" x="584"/>
        <item m="1" x="978"/>
        <item m="1" x="71"/>
        <item m="1" x="171"/>
        <item m="1" x="1113"/>
        <item m="1" x="776"/>
        <item m="1" x="225"/>
        <item m="1" x="1119"/>
        <item m="1" x="283"/>
        <item m="1" x="532"/>
        <item m="1" x="1009"/>
        <item m="1" x="418"/>
        <item x="42"/>
        <item m="1" x="462"/>
        <item m="1" x="107"/>
        <item m="1" x="331"/>
        <item m="1" x="798"/>
        <item m="1" x="554"/>
        <item m="1" x="263"/>
        <item m="1" x="761"/>
        <item m="1" x="742"/>
        <item m="1" x="518"/>
        <item m="1" x="866"/>
        <item m="1" x="122"/>
        <item m="1" x="430"/>
        <item m="1" x="469"/>
        <item m="1" x="388"/>
        <item m="1" x="725"/>
        <item m="1" x="455"/>
        <item m="1" x="521"/>
        <item m="1" x="509"/>
        <item m="1" x="928"/>
        <item m="1" x="611"/>
        <item m="1" x="1104"/>
        <item m="1" x="507"/>
        <item m="1" x="338"/>
        <item m="1" x="762"/>
        <item m="1" x="266"/>
        <item m="1" x="1107"/>
        <item m="1" x="929"/>
        <item m="1" x="701"/>
        <item m="1" x="1087"/>
        <item m="1" x="921"/>
        <item m="1" x="208"/>
        <item x="37"/>
        <item m="1" x="967"/>
        <item m="1" x="85"/>
        <item m="1" x="720"/>
        <item m="1" x="353"/>
        <item m="1" x="638"/>
        <item m="1" x="138"/>
        <item m="1" x="185"/>
        <item m="1" x="505"/>
        <item m="1" x="291"/>
        <item m="1" x="148"/>
        <item m="1" x="673"/>
        <item m="1" x="887"/>
        <item m="1" x="817"/>
        <item m="1" x="905"/>
        <item m="1" x="178"/>
        <item m="1" x="988"/>
        <item m="1" x="378"/>
        <item m="1" x="197"/>
        <item m="1" x="265"/>
        <item m="1" x="181"/>
        <item m="1" x="444"/>
        <item m="1" x="67"/>
        <item m="1" x="68"/>
        <item m="1" x="189"/>
        <item m="1" x="684"/>
        <item m="1" x="852"/>
        <item m="1" x="1110"/>
        <item m="1" x="238"/>
        <item m="1" x="404"/>
        <item m="1" x="447"/>
        <item m="1" x="687"/>
        <item x="34"/>
        <item m="1" x="395"/>
        <item m="1" x="985"/>
        <item m="1" x="287"/>
        <item m="1" x="969"/>
        <item m="1" x="405"/>
        <item m="1" x="868"/>
        <item m="1" x="467"/>
        <item m="1" x="841"/>
        <item m="1" x="986"/>
        <item m="1" x="126"/>
        <item m="1" x="274"/>
        <item m="1" x="962"/>
        <item m="1" x="543"/>
        <item m="1" x="716"/>
        <item m="1" x="177"/>
        <item m="1" x="420"/>
        <item m="1" x="693"/>
        <item m="1" x="573"/>
        <item m="1" x="598"/>
        <item m="1" x="466"/>
        <item m="1" x="732"/>
        <item m="1" x="746"/>
        <item m="1" x="886"/>
        <item m="1" x="305"/>
        <item m="1" x="294"/>
        <item m="1" x="975"/>
        <item m="1" x="416"/>
        <item x="29"/>
        <item m="1" x="1026"/>
        <item m="1" x="1077"/>
        <item m="1" x="296"/>
        <item m="1" x="487"/>
        <item m="1" x="624"/>
        <item m="1" x="1029"/>
        <item m="1" x="645"/>
        <item m="1" x="441"/>
        <item m="1" x="779"/>
        <item m="1" x="650"/>
        <item m="1" x="1106"/>
        <item m="1" x="799"/>
        <item m="1" x="56"/>
        <item m="1" x="950"/>
        <item m="1" x="214"/>
        <item m="1" x="485"/>
        <item x="31"/>
        <item m="1" x="76"/>
        <item m="1" x="246"/>
        <item m="1" x="545"/>
        <item m="1" x="212"/>
        <item m="1" x="57"/>
        <item m="1" x="355"/>
        <item m="1" x="834"/>
        <item m="1" x="198"/>
        <item m="1" x="1116"/>
        <item m="1" x="930"/>
        <item m="1" x="508"/>
        <item m="1" x="596"/>
        <item m="1" x="235"/>
        <item m="1" x="656"/>
        <item m="1" x="659"/>
        <item m="1" x="384"/>
        <item m="1" x="677"/>
        <item m="1" x="393"/>
        <item m="1" x="728"/>
        <item m="1" x="671"/>
        <item m="1" x="149"/>
        <item m="1" x="936"/>
        <item m="1" x="818"/>
        <item m="1" x="484"/>
        <item m="1" x="369"/>
        <item m="1" x="1078"/>
        <item x="28"/>
        <item m="1" x="530"/>
        <item m="1" x="72"/>
        <item m="1" x="951"/>
        <item m="1" x="896"/>
        <item m="1" x="423"/>
        <item m="1" x="93"/>
        <item m="1" x="552"/>
        <item m="1" x="968"/>
        <item m="1" x="927"/>
        <item m="1" x="239"/>
        <item m="1" x="793"/>
        <item m="1" x="828"/>
        <item m="1" x="994"/>
        <item m="1" x="258"/>
        <item m="1" x="427"/>
        <item m="1" x="139"/>
        <item m="1" x="385"/>
        <item m="1" x="630"/>
        <item x="43"/>
        <item m="1" x="298"/>
        <item m="1" x="714"/>
        <item m="1" x="480"/>
        <item m="1" x="619"/>
        <item m="1" x="872"/>
        <item m="1" x="1039"/>
        <item m="1" x="79"/>
        <item m="1" x="1038"/>
        <item m="1" x="312"/>
        <item m="1" x="846"/>
        <item m="1" x="272"/>
        <item m="1" x="1064"/>
        <item x="30"/>
        <item m="1" x="457"/>
        <item m="1" x="106"/>
        <item m="1" x="133"/>
        <item m="1" x="130"/>
        <item m="1" x="748"/>
        <item m="1" x="349"/>
        <item m="1" x="764"/>
        <item m="1" x="397"/>
        <item m="1" x="1007"/>
        <item m="1" x="124"/>
        <item m="1" x="1093"/>
        <item m="1" x="251"/>
        <item m="1" x="615"/>
        <item m="1" x="190"/>
        <item x="32"/>
        <item m="1" x="1004"/>
        <item m="1" x="572"/>
        <item m="1" x="241"/>
        <item m="1" x="943"/>
        <item m="1" x="622"/>
        <item m="1" x="524"/>
        <item m="1" x="82"/>
        <item m="1" x="382"/>
        <item x="26"/>
        <item m="1" x="1121"/>
        <item m="1" x="715"/>
        <item m="1" x="809"/>
        <item m="1" x="597"/>
        <item m="1" x="800"/>
        <item m="1" x="755"/>
        <item m="1" x="415"/>
        <item m="1" x="873"/>
        <item m="1" x="1016"/>
        <item m="1" x="606"/>
        <item m="1" x="102"/>
        <item m="1" x="1086"/>
        <item m="1" x="890"/>
        <item m="1" x="1102"/>
        <item m="1" x="123"/>
        <item x="24"/>
        <item m="1" x="1060"/>
        <item m="1" x="688"/>
        <item m="1" x="53"/>
        <item m="1" x="830"/>
        <item m="1" x="491"/>
        <item m="1" x="240"/>
        <item m="1" x="300"/>
        <item x="44"/>
        <item m="1" x="253"/>
        <item m="1" x="888"/>
        <item m="1" x="372"/>
        <item m="1" x="216"/>
        <item m="1" x="944"/>
        <item m="1" x="539"/>
        <item m="1" x="660"/>
        <item m="1" x="614"/>
        <item m="1" x="166"/>
        <item m="1" x="729"/>
        <item x="20"/>
        <item m="1" x="832"/>
        <item m="1" x="765"/>
        <item m="1" x="623"/>
        <item m="1" x="780"/>
        <item m="1" x="257"/>
        <item m="1" x="758"/>
        <item m="1" x="137"/>
        <item m="1" x="279"/>
        <item m="1" x="997"/>
        <item m="1" x="359"/>
        <item m="1" x="766"/>
        <item m="1" x="778"/>
        <item m="1" x="744"/>
        <item m="1" x="492"/>
        <item x="25"/>
        <item m="1" x="297"/>
        <item m="1" x="511"/>
        <item m="1" x="497"/>
        <item m="1" x="400"/>
        <item m="1" x="578"/>
        <item m="1" x="648"/>
        <item m="1" x="894"/>
        <item m="1" x="879"/>
        <item m="1" x="782"/>
        <item m="1" x="317"/>
        <item m="1" x="288"/>
        <item m="1" x="160"/>
        <item m="1" x="561"/>
        <item m="1" x="159"/>
        <item m="1" x="489"/>
        <item m="1" x="435"/>
        <item x="23"/>
        <item m="1" x="437"/>
        <item m="1" x="599"/>
        <item m="1" x="303"/>
        <item m="1" x="470"/>
        <item x="22"/>
        <item m="1" x="1097"/>
        <item m="1" x="685"/>
        <item m="1" x="767"/>
        <item m="1" x="428"/>
        <item m="1" x="730"/>
        <item x="38"/>
        <item m="1" x="270"/>
        <item m="1" x="1072"/>
        <item m="1" x="712"/>
        <item m="1" x="1117"/>
        <item m="1" x="83"/>
        <item m="1" x="412"/>
        <item m="1" x="357"/>
        <item m="1" x="751"/>
        <item x="27"/>
        <item m="1" x="1059"/>
        <item m="1" x="218"/>
        <item m="1" x="912"/>
        <item m="1" x="281"/>
        <item m="1" x="595"/>
        <item m="1" x="993"/>
        <item m="1" x="844"/>
        <item m="1" x="117"/>
        <item x="15"/>
        <item m="1" x="843"/>
        <item m="1" x="335"/>
        <item m="1" x="471"/>
        <item m="1" x="146"/>
        <item m="1" x="452"/>
        <item m="1" x="503"/>
        <item m="1" x="1071"/>
        <item m="1" x="721"/>
        <item m="1" x="313"/>
        <item m="1" x="535"/>
        <item m="1" x="827"/>
        <item m="1" x="293"/>
        <item m="1" x="151"/>
        <item m="1" x="1063"/>
        <item m="1" x="982"/>
        <item x="21"/>
        <item m="1" x="473"/>
        <item m="1" x="635"/>
        <item m="1" x="499"/>
        <item m="1" x="1001"/>
        <item m="1" x="653"/>
        <item m="1" x="998"/>
        <item x="36"/>
        <item m="1" x="1024"/>
        <item m="1" x="588"/>
        <item m="1" x="845"/>
        <item m="1" x="937"/>
        <item m="1" x="574"/>
        <item m="1" x="493"/>
        <item m="1" x="1048"/>
        <item m="1" x="284"/>
        <item x="13"/>
        <item m="1" x="823"/>
        <item m="1" x="275"/>
        <item m="1" x="938"/>
        <item m="1" x="134"/>
        <item m="1" x="500"/>
        <item m="1" x="180"/>
        <item m="1" x="310"/>
        <item x="18"/>
        <item m="1" x="704"/>
        <item m="1" x="479"/>
        <item m="1" x="77"/>
        <item x="17"/>
        <item m="1" x="409"/>
        <item m="1" x="835"/>
        <item m="1" x="442"/>
        <item m="1" x="724"/>
        <item m="1" x="806"/>
        <item m="1" x="341"/>
        <item m="1" x="878"/>
        <item x="11"/>
        <item m="1" x="871"/>
        <item m="1" x="1115"/>
        <item x="14"/>
        <item m="1" x="1003"/>
        <item m="1" x="763"/>
        <item m="1" x="931"/>
        <item m="1" x="459"/>
        <item m="1" x="304"/>
        <item m="1" x="563"/>
        <item m="1" x="897"/>
        <item m="1" x="431"/>
        <item m="1" x="885"/>
        <item m="1" x="374"/>
        <item m="1" x="747"/>
        <item m="1" x="350"/>
        <item x="19"/>
        <item m="1" x="680"/>
        <item m="1" x="916"/>
        <item m="1" x="536"/>
        <item m="1" x="61"/>
        <item m="1" x="486"/>
        <item m="1" x="814"/>
        <item m="1" x="537"/>
        <item m="1" x="488"/>
        <item m="1" x="245"/>
        <item m="1" x="1056"/>
        <item m="1" x="694"/>
        <item m="1" x="908"/>
        <item m="1" x="881"/>
        <item m="1" x="904"/>
        <item x="10"/>
        <item m="1" x="847"/>
        <item x="12"/>
        <item m="1" x="386"/>
        <item m="1" x="94"/>
        <item m="1" x="1033"/>
        <item x="9"/>
        <item m="1" x="1081"/>
        <item m="1" x="463"/>
        <item m="1" x="533"/>
        <item m="1" x="807"/>
        <item m="1" x="900"/>
        <item m="1" x="920"/>
        <item m="1" x="454"/>
        <item m="1" x="946"/>
        <item x="16"/>
        <item m="1" x="634"/>
        <item m="1" x="392"/>
        <item m="1" x="620"/>
        <item m="1" x="777"/>
        <item x="8"/>
        <item m="1" x="722"/>
        <item m="1" x="654"/>
        <item m="1" x="351"/>
        <item m="1" x="1058"/>
        <item m="1" x="260"/>
        <item m="1" x="555"/>
        <item m="1" x="901"/>
        <item m="1" x="647"/>
        <item m="1" x="167"/>
        <item m="1" x="709"/>
        <item m="1" x="443"/>
        <item m="1" x="69"/>
        <item m="1" x="705"/>
        <item m="1" x="641"/>
        <item m="1" x="445"/>
        <item x="7"/>
        <item m="1" x="840"/>
        <item m="1" x="203"/>
        <item x="6"/>
        <item m="1" x="955"/>
        <item m="1" x="990"/>
        <item m="1" x="657"/>
        <item m="1" x="419"/>
        <item m="1" x="973"/>
        <item m="1" x="527"/>
        <item m="1" x="446"/>
        <item m="1" x="98"/>
        <item m="1" x="924"/>
        <item m="1" x="683"/>
        <item m="1" x="662"/>
        <item m="1" x="670"/>
        <item m="1" x="991"/>
        <item x="3"/>
        <item m="1" x="591"/>
        <item x="5"/>
        <item m="1" x="519"/>
        <item m="1" x="319"/>
        <item m="1" x="556"/>
        <item m="1" x="706"/>
        <item m="1" x="108"/>
        <item m="1" x="562"/>
        <item m="1" x="669"/>
        <item x="4"/>
        <item m="1" x="243"/>
        <item m="1" x="387"/>
        <item m="1" x="1045"/>
        <item m="1" x="228"/>
        <item x="1"/>
        <item m="1" x="895"/>
        <item m="1" x="360"/>
        <item m="1" x="223"/>
        <item m="1" x="176"/>
        <item m="1" x="193"/>
        <item m="1" x="865"/>
        <item m="1" x="86"/>
        <item x="2"/>
        <item m="1" x="959"/>
        <item x="0"/>
        <item m="1" x="699"/>
        <item m="1" x="352"/>
        <item m="1" x="707"/>
        <item m="1" x="954"/>
        <item m="1" x="678"/>
        <item m="1" x="1002"/>
        <item m="1" x="631"/>
        <item m="1" x="848"/>
        <item m="1" x="922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20"/>
  </colFields>
  <colItems count="31">
    <i>
      <x v="142"/>
    </i>
    <i>
      <x v="163"/>
    </i>
    <i>
      <x v="204"/>
    </i>
    <i>
      <x v="247"/>
    </i>
    <i>
      <x v="291"/>
    </i>
    <i>
      <x v="333"/>
    </i>
    <i>
      <x v="382"/>
    </i>
    <i>
      <x v="433"/>
    </i>
    <i>
      <x v="483"/>
    </i>
    <i>
      <x v="529"/>
    </i>
    <i>
      <x v="578"/>
    </i>
    <i>
      <x v="629"/>
    </i>
    <i>
      <x v="663"/>
    </i>
    <i>
      <x v="695"/>
    </i>
    <i>
      <x v="727"/>
    </i>
    <i>
      <x v="755"/>
    </i>
    <i>
      <x v="772"/>
    </i>
    <i>
      <x v="799"/>
    </i>
    <i>
      <x v="818"/>
    </i>
    <i>
      <x v="831"/>
    </i>
    <i>
      <x v="846"/>
    </i>
    <i>
      <x v="871"/>
    </i>
    <i>
      <x v="890"/>
    </i>
    <i>
      <x v="905"/>
    </i>
    <i>
      <x v="927"/>
    </i>
    <i>
      <x v="933"/>
    </i>
    <i>
      <x v="942"/>
    </i>
    <i>
      <x v="967"/>
    </i>
    <i>
      <x v="974"/>
    </i>
    <i>
      <x v="983"/>
    </i>
    <i>
      <x v="1019"/>
    </i>
  </colItems>
  <pageFields count="1">
    <pageField fld="2" hier="-1"/>
  </pageFields>
  <dataFields count="1">
    <dataField name="Count of Ticker" fld="4" subtotal="count" showDataAs="percentOfRow" baseField="0" baseItem="0" numFmtId="10"/>
  </dataFields>
  <formats count="1"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C89E1-2359-A546-A0B6-81BCEBEB96E2}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411" firstHeaderRow="1" firstDataRow="1" firstDataCol="1"/>
  <pivotFields count="23">
    <pivotField axis="axisRow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 sortType="descending">
      <items count="316">
        <item x="267"/>
        <item x="248"/>
        <item x="167"/>
        <item x="240"/>
        <item x="43"/>
        <item x="5"/>
        <item x="14"/>
        <item x="301"/>
        <item x="48"/>
        <item x="75"/>
        <item x="183"/>
        <item x="252"/>
        <item x="302"/>
        <item x="37"/>
        <item x="111"/>
        <item x="191"/>
        <item x="1"/>
        <item x="141"/>
        <item x="214"/>
        <item x="291"/>
        <item x="289"/>
        <item x="180"/>
        <item x="34"/>
        <item x="188"/>
        <item x="295"/>
        <item x="84"/>
        <item x="9"/>
        <item x="198"/>
        <item x="194"/>
        <item x="172"/>
        <item x="189"/>
        <item x="308"/>
        <item x="196"/>
        <item x="85"/>
        <item x="162"/>
        <item x="309"/>
        <item x="55"/>
        <item x="239"/>
        <item x="156"/>
        <item x="237"/>
        <item x="47"/>
        <item x="226"/>
        <item x="243"/>
        <item x="254"/>
        <item x="300"/>
        <item x="220"/>
        <item x="148"/>
        <item x="2"/>
        <item x="31"/>
        <item x="23"/>
        <item x="134"/>
        <item x="287"/>
        <item x="40"/>
        <item x="102"/>
        <item x="175"/>
        <item x="88"/>
        <item x="63"/>
        <item x="114"/>
        <item x="297"/>
        <item x="272"/>
        <item x="203"/>
        <item x="311"/>
        <item x="83"/>
        <item x="8"/>
        <item x="137"/>
        <item x="120"/>
        <item x="24"/>
        <item x="170"/>
        <item x="130"/>
        <item x="91"/>
        <item x="93"/>
        <item x="258"/>
        <item x="13"/>
        <item x="224"/>
        <item x="154"/>
        <item x="304"/>
        <item x="100"/>
        <item x="150"/>
        <item x="107"/>
        <item x="209"/>
        <item x="187"/>
        <item x="157"/>
        <item x="25"/>
        <item x="275"/>
        <item x="273"/>
        <item x="222"/>
        <item x="152"/>
        <item x="68"/>
        <item x="99"/>
        <item x="86"/>
        <item x="285"/>
        <item x="106"/>
        <item x="119"/>
        <item x="117"/>
        <item x="283"/>
        <item x="208"/>
        <item x="41"/>
        <item x="94"/>
        <item x="80"/>
        <item x="96"/>
        <item x="118"/>
        <item x="127"/>
        <item x="73"/>
        <item x="307"/>
        <item x="147"/>
        <item x="76"/>
        <item x="173"/>
        <item x="64"/>
        <item x="268"/>
        <item x="270"/>
        <item x="81"/>
        <item x="213"/>
        <item x="155"/>
        <item x="145"/>
        <item x="28"/>
        <item x="212"/>
        <item x="197"/>
        <item x="164"/>
        <item x="18"/>
        <item x="284"/>
        <item x="135"/>
        <item x="232"/>
        <item x="20"/>
        <item x="238"/>
        <item x="233"/>
        <item x="218"/>
        <item x="138"/>
        <item x="235"/>
        <item x="42"/>
        <item x="192"/>
        <item x="21"/>
        <item x="215"/>
        <item x="38"/>
        <item x="140"/>
        <item x="190"/>
        <item x="29"/>
        <item x="79"/>
        <item x="245"/>
        <item x="293"/>
        <item x="62"/>
        <item x="193"/>
        <item x="207"/>
        <item x="69"/>
        <item x="234"/>
        <item x="264"/>
        <item x="296"/>
        <item x="153"/>
        <item x="228"/>
        <item x="146"/>
        <item x="169"/>
        <item x="53"/>
        <item x="299"/>
        <item x="71"/>
        <item x="199"/>
        <item x="310"/>
        <item x="263"/>
        <item x="128"/>
        <item x="139"/>
        <item x="225"/>
        <item x="113"/>
        <item x="122"/>
        <item x="133"/>
        <item x="59"/>
        <item x="27"/>
        <item x="22"/>
        <item x="251"/>
        <item x="67"/>
        <item x="49"/>
        <item x="105"/>
        <item x="179"/>
        <item x="61"/>
        <item x="177"/>
        <item x="36"/>
        <item x="305"/>
        <item x="72"/>
        <item x="54"/>
        <item x="279"/>
        <item x="247"/>
        <item x="87"/>
        <item x="261"/>
        <item x="0"/>
        <item x="60"/>
        <item x="229"/>
        <item x="219"/>
        <item x="277"/>
        <item x="17"/>
        <item x="15"/>
        <item x="116"/>
        <item x="242"/>
        <item x="26"/>
        <item x="174"/>
        <item x="294"/>
        <item x="286"/>
        <item x="182"/>
        <item x="244"/>
        <item x="185"/>
        <item x="211"/>
        <item x="195"/>
        <item x="4"/>
        <item x="39"/>
        <item x="78"/>
        <item x="282"/>
        <item x="101"/>
        <item x="312"/>
        <item x="45"/>
        <item x="216"/>
        <item x="50"/>
        <item x="44"/>
        <item x="16"/>
        <item x="32"/>
        <item x="56"/>
        <item x="124"/>
        <item x="123"/>
        <item x="280"/>
        <item x="158"/>
        <item x="66"/>
        <item x="89"/>
        <item x="125"/>
        <item x="206"/>
        <item x="255"/>
        <item x="276"/>
        <item x="126"/>
        <item x="103"/>
        <item x="108"/>
        <item x="98"/>
        <item x="292"/>
        <item x="303"/>
        <item x="121"/>
        <item x="33"/>
        <item x="110"/>
        <item x="151"/>
        <item x="260"/>
        <item x="11"/>
        <item x="10"/>
        <item x="271"/>
        <item x="290"/>
        <item x="57"/>
        <item x="163"/>
        <item x="160"/>
        <item x="143"/>
        <item x="236"/>
        <item x="288"/>
        <item x="168"/>
        <item x="165"/>
        <item x="223"/>
        <item x="253"/>
        <item x="82"/>
        <item x="142"/>
        <item x="274"/>
        <item x="30"/>
        <item x="246"/>
        <item x="204"/>
        <item x="132"/>
        <item x="200"/>
        <item x="104"/>
        <item x="250"/>
        <item x="74"/>
        <item x="217"/>
        <item x="221"/>
        <item x="259"/>
        <item x="97"/>
        <item x="115"/>
        <item x="7"/>
        <item x="77"/>
        <item x="262"/>
        <item x="314"/>
        <item x="202"/>
        <item x="58"/>
        <item x="70"/>
        <item x="46"/>
        <item x="227"/>
        <item x="181"/>
        <item x="129"/>
        <item x="313"/>
        <item x="269"/>
        <item x="278"/>
        <item x="178"/>
        <item x="19"/>
        <item x="256"/>
        <item x="257"/>
        <item x="265"/>
        <item x="184"/>
        <item x="52"/>
        <item x="298"/>
        <item x="281"/>
        <item x="230"/>
        <item x="231"/>
        <item x="12"/>
        <item x="6"/>
        <item x="241"/>
        <item x="51"/>
        <item x="249"/>
        <item x="171"/>
        <item x="3"/>
        <item x="210"/>
        <item x="35"/>
        <item x="205"/>
        <item x="306"/>
        <item x="266"/>
        <item x="112"/>
        <item x="149"/>
        <item x="95"/>
        <item x="161"/>
        <item x="65"/>
        <item x="92"/>
        <item x="109"/>
        <item x="166"/>
        <item x="90"/>
        <item x="159"/>
        <item x="131"/>
        <item x="144"/>
        <item x="201"/>
        <item x="136"/>
        <item x="186"/>
        <item x="1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descending">
      <items count="299">
        <item sd="0" x="116"/>
        <item sd="0" x="265"/>
        <item sd="0" x="180"/>
        <item sd="0" x="9"/>
        <item sd="0" x="228"/>
        <item sd="0" x="13"/>
        <item sd="0" x="275"/>
        <item sd="0" x="71"/>
        <item sd="0" x="32"/>
        <item sd="0" x="172"/>
        <item sd="0" x="163"/>
        <item sd="0" x="240"/>
        <item sd="0" x="285"/>
        <item sd="0" x="135"/>
        <item sd="0" x="45"/>
        <item sd="0" x="177"/>
        <item sd="0" x="277"/>
        <item sd="0" x="1"/>
        <item sd="0" x="187"/>
        <item sd="0" x="80"/>
        <item sd="0" x="183"/>
        <item sd="0" x="5"/>
        <item sd="0" x="291"/>
        <item sd="0" x="185"/>
        <item sd="0" x="142"/>
        <item sd="0" x="284"/>
        <item sd="0" x="209"/>
        <item sd="0" x="225"/>
        <item sd="0" x="214"/>
        <item sd="0" x="81"/>
        <item sd="0" x="149"/>
        <item sd="0" x="52"/>
        <item sd="0" x="227"/>
        <item sd="0" x="292"/>
        <item sd="0" x="231"/>
        <item sd="0" x="242"/>
        <item sd="0" x="2"/>
        <item sd="0" x="44"/>
        <item sd="0" x="154"/>
        <item sd="0" x="280"/>
        <item sd="0" x="29"/>
        <item sd="0" x="128"/>
        <item sd="0" x="84"/>
        <item sd="0" x="59"/>
        <item sd="0" x="109"/>
        <item sd="0" x="246"/>
        <item sd="0" x="22"/>
        <item sd="0" x="114"/>
        <item sd="0" x="79"/>
        <item sd="0" x="102"/>
        <item sd="0" x="38"/>
        <item sd="0" x="12"/>
        <item sd="0" x="124"/>
        <item sd="0" x="165"/>
        <item sd="0" x="287"/>
        <item sd="0" x="131"/>
        <item sd="0" x="273"/>
        <item sd="0" x="95"/>
        <item sd="0" x="8"/>
        <item sd="0" x="161"/>
        <item sd="0" x="144"/>
        <item sd="0" x="147"/>
        <item sd="0" x="198"/>
        <item sd="0" x="294"/>
        <item sd="0" x="281"/>
        <item sd="0" x="87"/>
        <item sd="0" x="176"/>
        <item sd="0" x="150"/>
        <item sd="0" x="23"/>
        <item sd="0" x="260"/>
        <item sd="0" x="271"/>
        <item sd="0" x="255"/>
        <item sd="0" x="262"/>
        <item x="3"/>
        <item sd="0" x="64"/>
        <item sd="0" x="82"/>
        <item sd="0" x="174"/>
        <item sd="0" x="232"/>
        <item sd="0" x="101"/>
        <item sd="0" x="211"/>
        <item sd="0" x="269"/>
        <item sd="0" x="113"/>
        <item sd="0" x="39"/>
        <item sd="0" x="191"/>
        <item sd="0" x="111"/>
        <item sd="0" x="197"/>
        <item sd="0" x="90"/>
        <item sd="0" x="141"/>
        <item sd="0" x="76"/>
        <item sd="0" x="112"/>
        <item sd="0" x="69"/>
        <item sd="0" x="290"/>
        <item sd="0" x="92"/>
        <item sd="0" x="121"/>
        <item sd="0" x="72"/>
        <item sd="0" x="26"/>
        <item sd="0" x="89"/>
        <item sd="0" x="139"/>
        <item sd="0" x="60"/>
        <item sd="0" x="202"/>
        <item sd="0" x="106"/>
        <item sd="0" x="35"/>
        <item sd="0" x="256"/>
        <item sd="0" x="258"/>
        <item sd="0" x="148"/>
        <item sd="0" x="132"/>
        <item sd="0" x="270"/>
        <item sd="0" x="155"/>
        <item sd="0" x="16"/>
        <item sd="0" x="129"/>
        <item sd="0" x="18"/>
        <item sd="0" x="226"/>
        <item sd="0" x="220"/>
        <item sd="0" x="221"/>
        <item sd="0" x="207"/>
        <item sd="0" x="223"/>
        <item sd="0" x="204"/>
        <item sd="0" x="36"/>
        <item sd="0" x="134"/>
        <item sd="0" x="179"/>
        <item sd="0" x="40"/>
        <item sd="0" x="181"/>
        <item sd="0" x="19"/>
        <item sd="0" x="27"/>
        <item sd="0" x="279"/>
        <item sd="0" x="77"/>
        <item sd="0" x="58"/>
        <item sd="0" x="252"/>
        <item sd="0" x="196"/>
        <item sd="0" x="65"/>
        <item sd="0" x="222"/>
        <item sd="0" x="182"/>
        <item sd="0" x="146"/>
        <item sd="0" x="272"/>
        <item sd="0" x="160"/>
        <item sd="0" x="216"/>
        <item sd="0" x="97"/>
        <item sd="0" x="140"/>
        <item sd="0" x="283"/>
        <item sd="0" x="122"/>
        <item sd="0" x="293"/>
        <item sd="0" x="50"/>
        <item sd="0" x="213"/>
        <item sd="0" x="133"/>
        <item sd="0" x="67"/>
        <item sd="0" x="188"/>
        <item sd="0" x="201"/>
        <item sd="0" x="251"/>
        <item sd="0" x="156"/>
        <item sd="0" x="25"/>
        <item sd="0" x="56"/>
        <item sd="0" x="46"/>
        <item sd="0" x="57"/>
        <item sd="0" x="239"/>
        <item sd="0" x="169"/>
        <item sd="0" x="63"/>
        <item sd="0" x="108"/>
        <item sd="0" x="236"/>
        <item sd="0" x="167"/>
        <item sd="0" x="34"/>
        <item sd="0" x="127"/>
        <item sd="0" x="20"/>
        <item sd="0" x="100"/>
        <item sd="0" x="48"/>
        <item sd="0" x="288"/>
        <item sd="0" x="51"/>
        <item sd="0" x="208"/>
        <item sd="0" x="249"/>
        <item sd="0" x="68"/>
        <item sd="0" x="263"/>
        <item sd="0" x="0"/>
        <item sd="0" x="230"/>
        <item sd="0" x="24"/>
        <item sd="0" x="164"/>
        <item sd="0" x="217"/>
        <item sd="0" x="235"/>
        <item sd="0" x="200"/>
        <item sd="0" x="184"/>
        <item sd="0" x="4"/>
        <item sd="0" x="171"/>
        <item sd="0" x="83"/>
        <item sd="0" x="233"/>
        <item sd="0" x="14"/>
        <item sd="0" x="55"/>
        <item sd="0" x="74"/>
        <item sd="0" x="37"/>
        <item sd="0" x="268"/>
        <item sd="0" x="96"/>
        <item sd="0" x="295"/>
        <item sd="0" x="186"/>
        <item sd="0" x="205"/>
        <item sd="0" x="41"/>
        <item sd="0" x="42"/>
        <item sd="0" x="62"/>
        <item sd="0" x="30"/>
        <item sd="0" x="53"/>
        <item sd="0" x="117"/>
        <item sd="0" x="47"/>
        <item sd="0" x="266"/>
        <item sd="0" x="151"/>
        <item sd="0" x="118"/>
        <item sd="0" x="15"/>
        <item sd="0" x="85"/>
        <item sd="0" x="119"/>
        <item sd="0" x="286"/>
        <item sd="0" x="243"/>
        <item sd="0" x="195"/>
        <item sd="0" x="120"/>
        <item sd="0" x="98"/>
        <item sd="0" x="103"/>
        <item sd="0" x="94"/>
        <item sd="0" x="115"/>
        <item sd="0" x="278"/>
        <item sd="0" x="105"/>
        <item sd="0" x="31"/>
        <item sd="0" x="21"/>
        <item sd="0" x="28"/>
        <item sd="0" x="192"/>
        <item sd="0" x="158"/>
        <item sd="0" x="159"/>
        <item sd="0" x="248"/>
        <item sd="0" x="234"/>
        <item sd="0" x="259"/>
        <item sd="0" x="10"/>
        <item sd="0" x="11"/>
        <item sd="0" x="137"/>
        <item sd="0" x="126"/>
        <item sd="0" x="54"/>
        <item sd="0" x="145"/>
        <item sd="0" x="189"/>
        <item sd="0" x="212"/>
        <item sd="0" x="261"/>
        <item sd="0" x="241"/>
        <item sd="0" x="274"/>
        <item sd="0" x="153"/>
        <item sd="0" x="78"/>
        <item sd="0" x="136"/>
        <item sd="0" x="193"/>
        <item sd="0" x="276"/>
        <item sd="0" x="178"/>
        <item sd="0" x="66"/>
        <item sd="0" x="297"/>
        <item sd="0" x="110"/>
        <item sd="0" x="17"/>
        <item sd="0" x="206"/>
        <item sd="0" x="247"/>
        <item sd="0" x="215"/>
        <item sd="0" x="123"/>
        <item sd="0" x="257"/>
        <item sd="0" x="210"/>
        <item sd="0" x="238"/>
        <item sd="0" x="99"/>
        <item sd="0" x="93"/>
        <item sd="0" x="264"/>
        <item sd="0" x="70"/>
        <item sd="0" x="244"/>
        <item sd="0" x="245"/>
        <item sd="0" x="168"/>
        <item sd="0" x="7"/>
        <item sd="0" x="43"/>
        <item sd="0" x="253"/>
        <item sd="0" x="296"/>
        <item sd="0" x="173"/>
        <item sd="0" x="170"/>
        <item sd="0" x="73"/>
        <item sd="0" x="250"/>
        <item sd="0" x="267"/>
        <item sd="0" x="203"/>
        <item sd="0" x="49"/>
        <item sd="0" x="282"/>
        <item sd="0" x="6"/>
        <item sd="0" x="218"/>
        <item sd="0" x="219"/>
        <item sd="0" x="229"/>
        <item sd="0" x="237"/>
        <item sd="0" x="162"/>
        <item sd="0" x="75"/>
        <item sd="0" x="143"/>
        <item sd="0" x="254"/>
        <item sd="0" x="289"/>
        <item sd="0" x="194"/>
        <item sd="0" x="86"/>
        <item sd="0" x="104"/>
        <item sd="0" x="61"/>
        <item sd="0" x="157"/>
        <item sd="0" x="199"/>
        <item sd="0" x="224"/>
        <item sd="0" x="88"/>
        <item sd="0" x="33"/>
        <item sd="0" x="107"/>
        <item sd="0" x="91"/>
        <item sd="0" x="152"/>
        <item sd="0" x="125"/>
        <item sd="0" x="138"/>
        <item sd="0" x="190"/>
        <item sd="0" x="130"/>
        <item sd="0" x="166"/>
        <item sd="0" x="17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0" showAll="0"/>
    <pivotField showAll="0"/>
    <pivotField showAll="0"/>
    <pivotField showAll="0"/>
    <pivotField showAll="0"/>
    <pivotField numFmtId="10" showAll="0"/>
    <pivotField showAll="0"/>
    <pivotField showAll="0"/>
    <pivotField numFmtId="10" showAll="0"/>
    <pivotField showAll="0"/>
    <pivotField showAll="0"/>
    <pivotField numFmtId="10" showAll="0"/>
    <pivotField showAll="0"/>
    <pivotField showAll="0"/>
  </pivotFields>
  <rowFields count="2">
    <field x="0"/>
    <field x="4"/>
  </rowFields>
  <rowItems count="410">
    <i>
      <x v="1"/>
    </i>
    <i r="1">
      <x v="17"/>
    </i>
    <i r="1">
      <x v="73"/>
    </i>
    <i r="1">
      <x v="270"/>
    </i>
    <i r="1">
      <x v="21"/>
    </i>
    <i r="1">
      <x v="51"/>
    </i>
    <i r="1">
      <x v="201"/>
    </i>
    <i r="1">
      <x v="14"/>
    </i>
    <i r="1">
      <x v="152"/>
    </i>
    <i r="1">
      <x v="213"/>
    </i>
    <i r="1">
      <x v="283"/>
    </i>
    <i r="1">
      <x v="160"/>
    </i>
    <i r="1">
      <x v="263"/>
    </i>
    <i r="1">
      <x v="217"/>
    </i>
    <i r="1">
      <x v="280"/>
    </i>
    <i r="1">
      <x v="45"/>
    </i>
    <i r="1">
      <x v="245"/>
    </i>
    <i r="1">
      <x v="80"/>
    </i>
    <i>
      <x v="2"/>
    </i>
    <i r="1">
      <x v="21"/>
    </i>
    <i r="1">
      <x v="73"/>
    </i>
    <i r="1">
      <x v="182"/>
    </i>
    <i r="1">
      <x v="108"/>
    </i>
    <i r="1">
      <x v="40"/>
    </i>
    <i r="1">
      <x v="8"/>
    </i>
    <i r="1">
      <x v="141"/>
    </i>
    <i r="1">
      <x v="170"/>
    </i>
    <i r="1">
      <x v="90"/>
    </i>
    <i r="1">
      <x v="137"/>
    </i>
    <i r="1">
      <x v="66"/>
    </i>
    <i r="1">
      <x v="20"/>
    </i>
    <i r="1">
      <x v="28"/>
    </i>
    <i r="1">
      <x v="61"/>
    </i>
    <i r="1">
      <x v="255"/>
    </i>
    <i r="1">
      <x v="248"/>
    </i>
    <i r="1">
      <x v="198"/>
    </i>
    <i r="1">
      <x v="80"/>
    </i>
    <i>
      <x v="3"/>
    </i>
    <i r="1">
      <x v="170"/>
    </i>
    <i r="1">
      <x v="36"/>
    </i>
    <i r="1">
      <x v="73"/>
    </i>
    <i r="1">
      <x v="270"/>
    </i>
    <i r="1">
      <x v="98"/>
    </i>
    <i r="1">
      <x v="235"/>
    </i>
    <i r="1">
      <x v="203"/>
    </i>
    <i r="1">
      <x v="227"/>
    </i>
    <i r="1">
      <x v="225"/>
    </i>
    <i r="1">
      <x v="24"/>
    </i>
    <i r="1">
      <x v="61"/>
    </i>
    <i r="1">
      <x v="239"/>
    </i>
    <i r="1">
      <x v="206"/>
    </i>
    <i r="1">
      <x v="85"/>
    </i>
    <i r="1">
      <x v="116"/>
    </i>
    <i r="1">
      <x v="115"/>
    </i>
    <i r="1">
      <x v="260"/>
    </i>
    <i r="1">
      <x v="102"/>
    </i>
    <i r="1">
      <x v="222"/>
    </i>
    <i r="1">
      <x v="72"/>
    </i>
    <i r="1">
      <x v="127"/>
    </i>
    <i>
      <x v="4"/>
    </i>
    <i r="1">
      <x v="178"/>
    </i>
    <i r="1">
      <x v="214"/>
    </i>
    <i r="1">
      <x v="192"/>
    </i>
    <i r="1">
      <x v="195"/>
    </i>
    <i r="1">
      <x v="227"/>
    </i>
    <i r="1">
      <x v="44"/>
    </i>
    <i r="1">
      <x v="78"/>
    </i>
    <i r="1">
      <x v="182"/>
    </i>
    <i r="1">
      <x v="89"/>
    </i>
    <i r="1">
      <x v="283"/>
    </i>
    <i r="1">
      <x v="225"/>
    </i>
    <i r="1">
      <x v="218"/>
    </i>
    <i r="1">
      <x v="98"/>
    </i>
    <i r="1">
      <x v="190"/>
    </i>
    <i r="1">
      <x v="34"/>
    </i>
    <i r="1">
      <x v="27"/>
    </i>
    <i r="1">
      <x v="153"/>
    </i>
    <i r="1">
      <x v="205"/>
    </i>
    <i r="1">
      <x v="103"/>
    </i>
    <i r="1">
      <x v="80"/>
    </i>
    <i r="1">
      <x v="261"/>
    </i>
    <i>
      <x v="5"/>
    </i>
    <i r="1">
      <x v="170"/>
    </i>
    <i r="1">
      <x v="82"/>
    </i>
    <i r="1">
      <x v="216"/>
    </i>
    <i r="1">
      <x v="75"/>
    </i>
    <i r="1">
      <x v="7"/>
    </i>
    <i r="1">
      <x v="180"/>
    </i>
    <i r="1">
      <x v="187"/>
    </i>
    <i r="1">
      <x v="38"/>
    </i>
    <i r="1">
      <x v="90"/>
    </i>
    <i r="1">
      <x v="119"/>
    </i>
    <i r="1">
      <x v="2"/>
    </i>
    <i r="1">
      <x v="61"/>
    </i>
    <i r="1">
      <x v="27"/>
    </i>
    <i r="1">
      <x v="32"/>
    </i>
    <i r="1">
      <x v="217"/>
    </i>
    <i r="1">
      <x v="205"/>
    </i>
    <i r="1">
      <x v="253"/>
    </i>
    <i r="1">
      <x v="6"/>
    </i>
    <i r="1">
      <x v="64"/>
    </i>
    <i r="1">
      <x v="222"/>
    </i>
    <i>
      <x v="6"/>
    </i>
    <i r="1">
      <x v="170"/>
    </i>
    <i r="1">
      <x v="37"/>
    </i>
    <i r="1">
      <x v="162"/>
    </i>
    <i r="1">
      <x v="180"/>
    </i>
    <i r="1">
      <x v="52"/>
    </i>
    <i r="1">
      <x v="13"/>
    </i>
    <i r="1">
      <x v="97"/>
    </i>
    <i r="1">
      <x v="152"/>
    </i>
    <i r="1">
      <x v="154"/>
    </i>
    <i r="1">
      <x v="174"/>
    </i>
    <i r="1">
      <x v="274"/>
    </i>
    <i r="1">
      <x v="187"/>
    </i>
    <i r="1">
      <x v="231"/>
    </i>
    <i r="1">
      <x v="272"/>
    </i>
    <i r="1">
      <x v="70"/>
    </i>
    <i r="1">
      <x v="173"/>
    </i>
    <i r="1">
      <x v="269"/>
    </i>
    <i r="1">
      <x v="138"/>
    </i>
    <i r="1">
      <x v="204"/>
    </i>
    <i r="1">
      <x v="22"/>
    </i>
    <i r="1">
      <x v="188"/>
    </i>
    <i>
      <x v="7"/>
    </i>
    <i r="1">
      <x v="3"/>
    </i>
    <i r="1">
      <x v="58"/>
    </i>
    <i r="1">
      <x v="224"/>
    </i>
    <i r="1">
      <x v="73"/>
    </i>
    <i r="1">
      <x v="122"/>
    </i>
    <i r="1">
      <x v="159"/>
    </i>
    <i r="1">
      <x v="50"/>
    </i>
    <i r="1">
      <x v="21"/>
    </i>
    <i r="1">
      <x v="165"/>
    </i>
    <i r="1">
      <x v="283"/>
    </i>
    <i r="1">
      <x v="193"/>
    </i>
    <i r="1">
      <x v="144"/>
    </i>
    <i r="1">
      <x v="254"/>
    </i>
    <i r="1">
      <x v="86"/>
    </i>
    <i r="1">
      <x v="247"/>
    </i>
    <i r="1">
      <x v="158"/>
    </i>
    <i r="1">
      <x v="23"/>
    </i>
    <i r="1">
      <x v="237"/>
    </i>
    <i r="1">
      <x v="77"/>
    </i>
    <i r="1">
      <x v="217"/>
    </i>
    <i r="1">
      <x v="220"/>
    </i>
    <i>
      <x v="8"/>
    </i>
    <i r="1">
      <x v="178"/>
    </i>
    <i r="1">
      <x v="5"/>
    </i>
    <i r="1">
      <x v="68"/>
    </i>
    <i r="1">
      <x v="117"/>
    </i>
    <i r="1">
      <x v="37"/>
    </i>
    <i r="1">
      <x v="151"/>
    </i>
    <i r="1">
      <x v="165"/>
    </i>
    <i r="1">
      <x v="108"/>
    </i>
    <i r="1">
      <x v="31"/>
    </i>
    <i r="1">
      <x v="126"/>
    </i>
    <i r="1">
      <x v="129"/>
    </i>
    <i r="1">
      <x v="7"/>
    </i>
    <i r="1">
      <x v="276"/>
    </i>
    <i r="1">
      <x v="187"/>
    </i>
    <i r="1">
      <x v="289"/>
    </i>
    <i r="1">
      <x v="242"/>
    </i>
    <i r="1">
      <x v="84"/>
    </i>
    <i r="1">
      <x v="200"/>
    </i>
    <i r="1">
      <x v="118"/>
    </i>
    <i r="1">
      <x v="87"/>
    </i>
    <i r="1">
      <x v="60"/>
    </i>
    <i r="1">
      <x v="132"/>
    </i>
    <i r="1">
      <x v="10"/>
    </i>
    <i r="1">
      <x v="147"/>
    </i>
    <i>
      <x v="9"/>
    </i>
    <i r="1">
      <x v="17"/>
    </i>
    <i r="1">
      <x v="36"/>
    </i>
    <i r="1">
      <x v="215"/>
    </i>
    <i r="1">
      <x v="172"/>
    </i>
    <i r="1">
      <x v="95"/>
    </i>
    <i r="1">
      <x v="288"/>
    </i>
    <i r="1">
      <x v="197"/>
    </i>
    <i r="1">
      <x v="74"/>
    </i>
    <i r="1">
      <x v="240"/>
    </i>
    <i r="1">
      <x v="65"/>
    </i>
    <i r="1">
      <x v="93"/>
    </i>
    <i r="1">
      <x v="148"/>
    </i>
    <i r="1">
      <x v="234"/>
    </i>
    <i r="1">
      <x v="78"/>
    </i>
    <i r="1">
      <x v="76"/>
    </i>
    <i r="1">
      <x v="141"/>
    </i>
    <i r="1">
      <x v="177"/>
    </i>
    <i r="1">
      <x v="83"/>
    </i>
    <i r="1">
      <x v="176"/>
    </i>
    <i r="1">
      <x v="26"/>
    </i>
    <i r="1">
      <x v="111"/>
    </i>
    <i r="1">
      <x v="1"/>
    </i>
    <i r="1">
      <x v="212"/>
    </i>
    <i>
      <x v="10"/>
    </i>
    <i r="1">
      <x v="3"/>
    </i>
    <i r="1">
      <x v="46"/>
    </i>
    <i r="1">
      <x v="194"/>
    </i>
    <i r="1">
      <x v="216"/>
    </i>
    <i r="1">
      <x v="197"/>
    </i>
    <i r="1">
      <x v="29"/>
    </i>
    <i r="1">
      <x v="287"/>
    </i>
    <i r="1">
      <x v="96"/>
    </i>
    <i r="1">
      <x v="252"/>
    </i>
    <i r="1">
      <x v="49"/>
    </i>
    <i r="1">
      <x v="228"/>
    </i>
    <i r="1">
      <x v="121"/>
    </i>
    <i r="1">
      <x v="254"/>
    </i>
    <i r="1">
      <x v="244"/>
    </i>
    <i r="1">
      <x v="246"/>
    </i>
    <i r="1">
      <x v="135"/>
    </i>
    <i r="1">
      <x v="130"/>
    </i>
    <i r="1">
      <x v="242"/>
    </i>
    <i r="1">
      <x v="233"/>
    </i>
    <i r="1">
      <x v="260"/>
    </i>
    <i r="1">
      <x v="16"/>
    </i>
    <i r="1">
      <x v="279"/>
    </i>
    <i>
      <x v="11"/>
    </i>
    <i r="1">
      <x v="258"/>
    </i>
    <i r="1">
      <x v="243"/>
    </i>
    <i r="1">
      <x v="110"/>
    </i>
    <i r="1">
      <x v="123"/>
    </i>
    <i r="1">
      <x v="101"/>
    </i>
    <i r="1">
      <x v="268"/>
    </i>
    <i r="1">
      <x v="36"/>
    </i>
    <i r="1">
      <x v="208"/>
    </i>
    <i r="1">
      <x v="282"/>
    </i>
    <i r="1">
      <x v="196"/>
    </i>
    <i r="1">
      <x v="287"/>
    </i>
    <i r="1">
      <x v="143"/>
    </i>
    <i r="1">
      <x v="277"/>
    </i>
    <i r="1">
      <x v="67"/>
    </i>
    <i r="1">
      <x v="107"/>
    </i>
    <i r="1">
      <x v="9"/>
    </i>
    <i r="1">
      <x v="254"/>
    </i>
    <i r="1">
      <x v="176"/>
    </i>
    <i r="1">
      <x v="35"/>
    </i>
    <i r="1">
      <x v="134"/>
    </i>
    <i r="1">
      <x v="71"/>
    </i>
    <i>
      <x v="12"/>
    </i>
    <i r="1">
      <x v="170"/>
    </i>
    <i r="1">
      <x v="149"/>
    </i>
    <i r="1">
      <x v="163"/>
    </i>
    <i r="1">
      <x v="264"/>
    </i>
    <i r="1">
      <x v="125"/>
    </i>
    <i r="1">
      <x v="48"/>
    </i>
    <i r="1">
      <x v="202"/>
    </i>
    <i r="1">
      <x v="136"/>
    </i>
    <i r="1">
      <x v="41"/>
    </i>
    <i r="1">
      <x v="105"/>
    </i>
    <i r="1">
      <x v="104"/>
    </i>
    <i r="1">
      <x v="145"/>
    </i>
    <i r="1">
      <x v="283"/>
    </i>
    <i r="1">
      <x v="99"/>
    </i>
    <i r="1">
      <x v="273"/>
    </i>
    <i r="1">
      <x v="196"/>
    </i>
    <i r="1">
      <x v="77"/>
    </i>
    <i r="1">
      <x v="266"/>
    </i>
    <i r="1">
      <x v="56"/>
    </i>
    <i r="1">
      <x v="238"/>
    </i>
    <i r="1">
      <x v="33"/>
    </i>
    <i r="1">
      <x v="241"/>
    </i>
    <i>
      <x v="13"/>
    </i>
    <i r="1">
      <x v="120"/>
    </i>
    <i r="1">
      <x v="21"/>
    </i>
    <i r="1">
      <x v="224"/>
    </i>
    <i r="1">
      <x v="43"/>
    </i>
    <i r="1">
      <x v="155"/>
    </i>
    <i r="1">
      <x v="46"/>
    </i>
    <i r="1">
      <x v="290"/>
    </i>
    <i r="1">
      <x v="156"/>
    </i>
    <i r="1">
      <x v="117"/>
    </i>
    <i r="1">
      <x v="139"/>
    </i>
    <i r="1">
      <x v="293"/>
    </i>
    <i r="1">
      <x v="199"/>
    </i>
    <i r="1">
      <x v="282"/>
    </i>
    <i r="1">
      <x v="59"/>
    </i>
    <i r="1">
      <x v="53"/>
    </i>
    <i r="1">
      <x v="36"/>
    </i>
    <i r="1">
      <x v="62"/>
    </i>
    <i r="1">
      <x v="230"/>
    </i>
    <i r="1">
      <x v="167"/>
    </i>
    <i r="1">
      <x v="133"/>
    </i>
    <i r="1">
      <x v="54"/>
    </i>
    <i r="1">
      <x v="238"/>
    </i>
    <i r="1">
      <x v="140"/>
    </i>
    <i>
      <x v="14"/>
    </i>
    <i r="1">
      <x v="183"/>
    </i>
    <i r="1">
      <x v="168"/>
    </i>
    <i r="1">
      <x v="88"/>
    </i>
    <i r="1">
      <x v="42"/>
    </i>
    <i r="1">
      <x v="210"/>
    </i>
    <i r="1">
      <x v="57"/>
    </i>
    <i r="1">
      <x v="211"/>
    </i>
    <i r="1">
      <x/>
    </i>
    <i r="1">
      <x v="207"/>
    </i>
    <i r="1">
      <x v="292"/>
    </i>
    <i r="1">
      <x v="291"/>
    </i>
    <i r="1">
      <x v="134"/>
    </i>
    <i r="1">
      <x v="179"/>
    </i>
    <i r="1">
      <x v="48"/>
    </i>
    <i r="1">
      <x v="267"/>
    </i>
    <i r="1">
      <x v="230"/>
    </i>
    <i r="1">
      <x v="69"/>
    </i>
    <i r="1">
      <x v="256"/>
    </i>
    <i r="1">
      <x v="39"/>
    </i>
    <i r="1">
      <x v="14"/>
    </i>
    <i r="1">
      <x v="164"/>
    </i>
    <i r="1">
      <x v="91"/>
    </i>
    <i>
      <x v="15"/>
    </i>
    <i r="1">
      <x v="223"/>
    </i>
    <i r="1">
      <x v="161"/>
    </i>
    <i r="1">
      <x v="150"/>
    </i>
    <i r="1">
      <x v="149"/>
    </i>
    <i r="1">
      <x v="281"/>
    </i>
    <i r="1">
      <x v="251"/>
    </i>
    <i r="1">
      <x v="100"/>
    </i>
    <i r="1">
      <x v="122"/>
    </i>
    <i r="1">
      <x v="172"/>
    </i>
    <i r="1">
      <x v="81"/>
    </i>
    <i r="1">
      <x v="226"/>
    </i>
    <i r="1">
      <x v="264"/>
    </i>
    <i r="1">
      <x v="216"/>
    </i>
    <i r="1">
      <x v="236"/>
    </i>
    <i r="1">
      <x v="88"/>
    </i>
    <i r="1">
      <x v="37"/>
    </i>
    <i r="1">
      <x v="156"/>
    </i>
    <i r="1">
      <x v="189"/>
    </i>
    <i r="1">
      <x v="175"/>
    </i>
    <i r="1">
      <x v="256"/>
    </i>
    <i r="1">
      <x v="127"/>
    </i>
    <i r="1">
      <x v="12"/>
    </i>
    <i r="1">
      <x v="54"/>
    </i>
    <i>
      <x v="16"/>
    </i>
    <i r="1">
      <x v="191"/>
    </i>
    <i r="1">
      <x v="259"/>
    </i>
    <i r="1">
      <x v="178"/>
    </i>
    <i r="1">
      <x v="94"/>
    </i>
    <i r="1">
      <x v="184"/>
    </i>
    <i r="1">
      <x v="19"/>
    </i>
    <i r="1">
      <x v="209"/>
    </i>
    <i r="1">
      <x v="47"/>
    </i>
    <i r="1">
      <x v="109"/>
    </i>
    <i r="1">
      <x v="48"/>
    </i>
    <i r="1">
      <x v="30"/>
    </i>
    <i r="1">
      <x v="257"/>
    </i>
    <i r="1">
      <x/>
    </i>
    <i r="1">
      <x v="18"/>
    </i>
    <i r="1">
      <x v="128"/>
    </i>
    <i r="1">
      <x v="146"/>
    </i>
    <i r="1">
      <x v="163"/>
    </i>
    <i r="1">
      <x v="46"/>
    </i>
    <i r="1">
      <x v="157"/>
    </i>
    <i r="1">
      <x v="250"/>
    </i>
    <i r="1">
      <x v="265"/>
    </i>
    <i r="1">
      <x v="40"/>
    </i>
    <i r="1">
      <x v="278"/>
    </i>
    <i r="1">
      <x v="124"/>
    </i>
    <i>
      <x v="17"/>
    </i>
    <i r="1">
      <x v="185"/>
    </i>
    <i r="1">
      <x v="223"/>
    </i>
    <i r="1">
      <x v="191"/>
    </i>
    <i r="1">
      <x v="92"/>
    </i>
    <i r="1">
      <x v="55"/>
    </i>
    <i r="1">
      <x v="149"/>
    </i>
    <i r="1">
      <x v="284"/>
    </i>
    <i r="1">
      <x v="275"/>
    </i>
    <i r="1">
      <x v="297"/>
    </i>
    <i r="1">
      <x v="15"/>
    </i>
    <i r="1">
      <x v="294"/>
    </i>
    <i r="1">
      <x v="17"/>
    </i>
    <i r="1">
      <x v="156"/>
    </i>
    <i r="1">
      <x v="249"/>
    </i>
    <i r="1">
      <x v="271"/>
    </i>
    <i r="1">
      <x v="11"/>
    </i>
    <i r="1">
      <x v="232"/>
    </i>
    <i r="1">
      <x v="18"/>
    </i>
    <i r="1">
      <x v="169"/>
    </i>
    <i r="1">
      <x v="25"/>
    </i>
    <i r="1">
      <x v="221"/>
    </i>
    <i>
      <x v="18"/>
    </i>
    <i r="1">
      <x v="295"/>
    </i>
    <i r="1">
      <x v="19"/>
    </i>
    <i r="1">
      <x v="219"/>
    </i>
    <i r="1">
      <x v="296"/>
    </i>
    <i r="1">
      <x v="173"/>
    </i>
    <i r="1">
      <x v="259"/>
    </i>
    <i r="1">
      <x v="170"/>
    </i>
    <i r="1">
      <x v="131"/>
    </i>
    <i r="1">
      <x v="229"/>
    </i>
    <i r="1">
      <x v="285"/>
    </i>
    <i r="1">
      <x v="262"/>
    </i>
    <i r="1">
      <x v="114"/>
    </i>
    <i r="1">
      <x v="166"/>
    </i>
    <i r="1">
      <x v="284"/>
    </i>
    <i r="1">
      <x v="112"/>
    </i>
    <i r="1">
      <x v="113"/>
    </i>
    <i r="1">
      <x v="286"/>
    </i>
    <i r="1">
      <x v="4"/>
    </i>
    <i r="1">
      <x v="186"/>
    </i>
    <i r="1">
      <x v="106"/>
    </i>
    <i r="1">
      <x v="63"/>
    </i>
    <i>
      <x v="19"/>
    </i>
    <i r="1">
      <x v="258"/>
    </i>
    <i r="1">
      <x v="79"/>
    </i>
    <i r="1">
      <x v="142"/>
    </i>
    <i r="1">
      <x v="171"/>
    </i>
    <i r="1">
      <x v="181"/>
    </i>
    <i t="grand">
      <x/>
    </i>
  </rowItems>
  <colItems count="1">
    <i/>
  </colItems>
  <dataFields count="1">
    <dataField name="Sum of Return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406EF-08AC-3244-B17F-92C20BA75323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300" firstHeaderRow="1" firstDataRow="1" firstDataCol="1"/>
  <pivotFields count="23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 sortType="descending">
      <items count="316">
        <item x="267"/>
        <item x="248"/>
        <item x="167"/>
        <item x="240"/>
        <item x="43"/>
        <item x="5"/>
        <item x="14"/>
        <item x="301"/>
        <item x="48"/>
        <item x="75"/>
        <item x="183"/>
        <item x="252"/>
        <item x="302"/>
        <item x="37"/>
        <item x="111"/>
        <item x="191"/>
        <item x="1"/>
        <item x="141"/>
        <item x="214"/>
        <item x="291"/>
        <item x="289"/>
        <item x="180"/>
        <item x="34"/>
        <item x="188"/>
        <item x="295"/>
        <item x="84"/>
        <item x="9"/>
        <item x="198"/>
        <item x="194"/>
        <item x="172"/>
        <item x="189"/>
        <item x="308"/>
        <item x="196"/>
        <item x="85"/>
        <item x="162"/>
        <item x="309"/>
        <item x="55"/>
        <item x="239"/>
        <item x="156"/>
        <item x="237"/>
        <item x="47"/>
        <item x="226"/>
        <item x="243"/>
        <item x="254"/>
        <item x="300"/>
        <item x="220"/>
        <item x="148"/>
        <item x="2"/>
        <item x="31"/>
        <item x="23"/>
        <item x="134"/>
        <item x="287"/>
        <item x="40"/>
        <item x="102"/>
        <item x="175"/>
        <item x="88"/>
        <item x="63"/>
        <item x="114"/>
        <item x="297"/>
        <item x="272"/>
        <item x="203"/>
        <item x="311"/>
        <item x="83"/>
        <item x="8"/>
        <item x="137"/>
        <item x="120"/>
        <item x="24"/>
        <item x="170"/>
        <item x="130"/>
        <item x="91"/>
        <item x="93"/>
        <item x="258"/>
        <item x="13"/>
        <item x="224"/>
        <item x="154"/>
        <item x="304"/>
        <item x="100"/>
        <item x="150"/>
        <item x="107"/>
        <item x="209"/>
        <item x="187"/>
        <item x="157"/>
        <item x="25"/>
        <item x="275"/>
        <item x="273"/>
        <item x="222"/>
        <item x="152"/>
        <item x="68"/>
        <item x="99"/>
        <item x="86"/>
        <item x="285"/>
        <item x="106"/>
        <item x="119"/>
        <item x="117"/>
        <item x="283"/>
        <item x="208"/>
        <item x="41"/>
        <item x="94"/>
        <item x="80"/>
        <item x="96"/>
        <item x="118"/>
        <item x="127"/>
        <item x="73"/>
        <item x="307"/>
        <item x="147"/>
        <item x="76"/>
        <item x="173"/>
        <item x="64"/>
        <item x="268"/>
        <item x="270"/>
        <item x="81"/>
        <item x="213"/>
        <item x="155"/>
        <item x="145"/>
        <item x="28"/>
        <item x="212"/>
        <item x="197"/>
        <item x="164"/>
        <item x="18"/>
        <item x="284"/>
        <item x="135"/>
        <item x="232"/>
        <item x="20"/>
        <item x="238"/>
        <item x="233"/>
        <item x="218"/>
        <item x="138"/>
        <item x="235"/>
        <item x="42"/>
        <item x="192"/>
        <item x="21"/>
        <item x="215"/>
        <item x="38"/>
        <item x="140"/>
        <item x="190"/>
        <item x="29"/>
        <item x="79"/>
        <item x="245"/>
        <item x="293"/>
        <item x="62"/>
        <item x="193"/>
        <item x="207"/>
        <item x="69"/>
        <item x="234"/>
        <item x="264"/>
        <item x="296"/>
        <item x="153"/>
        <item x="228"/>
        <item x="146"/>
        <item x="169"/>
        <item x="53"/>
        <item x="299"/>
        <item x="71"/>
        <item x="199"/>
        <item x="310"/>
        <item x="263"/>
        <item x="128"/>
        <item x="139"/>
        <item x="225"/>
        <item x="113"/>
        <item x="122"/>
        <item x="133"/>
        <item x="59"/>
        <item x="27"/>
        <item x="22"/>
        <item x="251"/>
        <item x="67"/>
        <item x="49"/>
        <item x="105"/>
        <item x="179"/>
        <item x="61"/>
        <item x="177"/>
        <item x="36"/>
        <item x="305"/>
        <item x="72"/>
        <item x="54"/>
        <item x="279"/>
        <item x="247"/>
        <item x="87"/>
        <item x="261"/>
        <item x="0"/>
        <item x="60"/>
        <item x="229"/>
        <item x="219"/>
        <item x="277"/>
        <item x="17"/>
        <item x="15"/>
        <item x="116"/>
        <item x="242"/>
        <item x="26"/>
        <item x="174"/>
        <item x="294"/>
        <item x="286"/>
        <item x="182"/>
        <item x="244"/>
        <item x="185"/>
        <item x="211"/>
        <item x="195"/>
        <item x="4"/>
        <item x="39"/>
        <item x="78"/>
        <item x="282"/>
        <item x="101"/>
        <item x="312"/>
        <item x="45"/>
        <item x="216"/>
        <item x="50"/>
        <item x="44"/>
        <item x="16"/>
        <item x="32"/>
        <item x="56"/>
        <item x="124"/>
        <item x="123"/>
        <item x="280"/>
        <item x="158"/>
        <item x="66"/>
        <item x="89"/>
        <item x="125"/>
        <item x="206"/>
        <item x="255"/>
        <item x="276"/>
        <item x="126"/>
        <item x="103"/>
        <item x="108"/>
        <item x="98"/>
        <item x="292"/>
        <item x="303"/>
        <item x="121"/>
        <item x="33"/>
        <item x="110"/>
        <item x="151"/>
        <item x="260"/>
        <item x="11"/>
        <item x="10"/>
        <item x="271"/>
        <item x="290"/>
        <item x="57"/>
        <item x="163"/>
        <item x="160"/>
        <item x="143"/>
        <item x="236"/>
        <item x="288"/>
        <item x="168"/>
        <item x="165"/>
        <item x="223"/>
        <item x="253"/>
        <item x="82"/>
        <item x="142"/>
        <item x="274"/>
        <item x="30"/>
        <item x="246"/>
        <item x="204"/>
        <item x="132"/>
        <item x="200"/>
        <item x="104"/>
        <item x="250"/>
        <item x="74"/>
        <item x="217"/>
        <item x="221"/>
        <item x="259"/>
        <item x="97"/>
        <item x="115"/>
        <item x="7"/>
        <item x="77"/>
        <item x="262"/>
        <item x="314"/>
        <item x="202"/>
        <item x="58"/>
        <item x="70"/>
        <item x="46"/>
        <item x="227"/>
        <item x="181"/>
        <item x="129"/>
        <item x="313"/>
        <item x="269"/>
        <item x="278"/>
        <item x="178"/>
        <item x="19"/>
        <item x="256"/>
        <item x="257"/>
        <item x="265"/>
        <item x="184"/>
        <item x="52"/>
        <item x="298"/>
        <item x="281"/>
        <item x="230"/>
        <item x="231"/>
        <item x="12"/>
        <item x="6"/>
        <item x="241"/>
        <item x="51"/>
        <item x="249"/>
        <item x="171"/>
        <item x="3"/>
        <item x="210"/>
        <item x="35"/>
        <item x="205"/>
        <item x="306"/>
        <item x="266"/>
        <item x="112"/>
        <item x="149"/>
        <item x="95"/>
        <item x="161"/>
        <item x="65"/>
        <item x="92"/>
        <item x="109"/>
        <item x="166"/>
        <item x="90"/>
        <item x="159"/>
        <item x="131"/>
        <item x="144"/>
        <item x="201"/>
        <item x="136"/>
        <item x="186"/>
        <item x="1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descending">
      <items count="299">
        <item sd="0" x="116"/>
        <item sd="0" x="265"/>
        <item sd="0" x="180"/>
        <item sd="0" x="9"/>
        <item sd="0" x="228"/>
        <item sd="0" x="13"/>
        <item sd="0" x="275"/>
        <item sd="0" x="71"/>
        <item sd="0" x="32"/>
        <item sd="0" x="172"/>
        <item sd="0" x="163"/>
        <item sd="0" x="240"/>
        <item sd="0" x="285"/>
        <item sd="0" x="135"/>
        <item sd="0" x="45"/>
        <item sd="0" x="177"/>
        <item sd="0" x="277"/>
        <item sd="0" x="1"/>
        <item sd="0" x="187"/>
        <item sd="0" x="80"/>
        <item sd="0" x="183"/>
        <item sd="0" x="5"/>
        <item sd="0" x="291"/>
        <item sd="0" x="185"/>
        <item sd="0" x="142"/>
        <item sd="0" x="284"/>
        <item sd="0" x="209"/>
        <item sd="0" x="225"/>
        <item sd="0" x="214"/>
        <item sd="0" x="81"/>
        <item sd="0" x="149"/>
        <item sd="0" x="52"/>
        <item sd="0" x="227"/>
        <item sd="0" x="292"/>
        <item sd="0" x="231"/>
        <item sd="0" x="242"/>
        <item sd="0" x="2"/>
        <item sd="0" x="44"/>
        <item sd="0" x="154"/>
        <item sd="0" x="280"/>
        <item sd="0" x="29"/>
        <item sd="0" x="128"/>
        <item sd="0" x="84"/>
        <item sd="0" x="59"/>
        <item sd="0" x="109"/>
        <item sd="0" x="246"/>
        <item sd="0" x="22"/>
        <item sd="0" x="114"/>
        <item sd="0" x="79"/>
        <item sd="0" x="102"/>
        <item sd="0" x="38"/>
        <item sd="0" x="12"/>
        <item sd="0" x="124"/>
        <item sd="0" x="165"/>
        <item sd="0" x="287"/>
        <item sd="0" x="131"/>
        <item sd="0" x="273"/>
        <item sd="0" x="95"/>
        <item sd="0" x="8"/>
        <item sd="0" x="161"/>
        <item sd="0" x="144"/>
        <item sd="0" x="147"/>
        <item sd="0" x="198"/>
        <item sd="0" x="294"/>
        <item sd="0" x="281"/>
        <item sd="0" x="87"/>
        <item sd="0" x="176"/>
        <item sd="0" x="150"/>
        <item sd="0" x="23"/>
        <item sd="0" x="260"/>
        <item sd="0" x="271"/>
        <item sd="0" x="255"/>
        <item sd="0" x="262"/>
        <item x="3"/>
        <item sd="0" x="64"/>
        <item sd="0" x="82"/>
        <item sd="0" x="174"/>
        <item sd="0" x="232"/>
        <item sd="0" x="101"/>
        <item sd="0" x="211"/>
        <item sd="0" x="269"/>
        <item sd="0" x="113"/>
        <item sd="0" x="39"/>
        <item sd="0" x="191"/>
        <item sd="0" x="111"/>
        <item sd="0" x="197"/>
        <item sd="0" x="90"/>
        <item sd="0" x="141"/>
        <item sd="0" x="76"/>
        <item sd="0" x="112"/>
        <item sd="0" x="69"/>
        <item sd="0" x="290"/>
        <item sd="0" x="92"/>
        <item sd="0" x="121"/>
        <item sd="0" x="72"/>
        <item sd="0" x="26"/>
        <item sd="0" x="89"/>
        <item sd="0" x="139"/>
        <item sd="0" x="60"/>
        <item sd="0" x="202"/>
        <item sd="0" x="106"/>
        <item sd="0" x="35"/>
        <item sd="0" x="256"/>
        <item sd="0" x="258"/>
        <item sd="0" x="148"/>
        <item sd="0" x="132"/>
        <item sd="0" x="270"/>
        <item sd="0" x="155"/>
        <item sd="0" x="16"/>
        <item sd="0" x="129"/>
        <item sd="0" x="18"/>
        <item sd="0" x="226"/>
        <item sd="0" x="220"/>
        <item sd="0" x="221"/>
        <item sd="0" x="207"/>
        <item sd="0" x="223"/>
        <item sd="0" x="204"/>
        <item sd="0" x="36"/>
        <item sd="0" x="134"/>
        <item sd="0" x="179"/>
        <item sd="0" x="40"/>
        <item sd="0" x="181"/>
        <item sd="0" x="19"/>
        <item sd="0" x="27"/>
        <item sd="0" x="279"/>
        <item sd="0" x="77"/>
        <item sd="0" x="58"/>
        <item sd="0" x="252"/>
        <item sd="0" x="196"/>
        <item sd="0" x="65"/>
        <item sd="0" x="222"/>
        <item sd="0" x="182"/>
        <item sd="0" x="146"/>
        <item sd="0" x="272"/>
        <item sd="0" x="160"/>
        <item sd="0" x="216"/>
        <item sd="0" x="97"/>
        <item sd="0" x="140"/>
        <item sd="0" x="283"/>
        <item sd="0" x="122"/>
        <item sd="0" x="293"/>
        <item sd="0" x="50"/>
        <item sd="0" x="213"/>
        <item sd="0" x="133"/>
        <item sd="0" x="67"/>
        <item sd="0" x="188"/>
        <item sd="0" x="201"/>
        <item sd="0" x="251"/>
        <item sd="0" x="156"/>
        <item sd="0" x="25"/>
        <item sd="0" x="56"/>
        <item sd="0" x="46"/>
        <item sd="0" x="57"/>
        <item sd="0" x="239"/>
        <item sd="0" x="169"/>
        <item sd="0" x="63"/>
        <item sd="0" x="108"/>
        <item sd="0" x="236"/>
        <item sd="0" x="167"/>
        <item sd="0" x="34"/>
        <item sd="0" x="127"/>
        <item sd="0" x="20"/>
        <item sd="0" x="100"/>
        <item sd="0" x="48"/>
        <item sd="0" x="288"/>
        <item sd="0" x="51"/>
        <item sd="0" x="208"/>
        <item sd="0" x="249"/>
        <item sd="0" x="68"/>
        <item sd="0" x="263"/>
        <item sd="0" x="0"/>
        <item sd="0" x="230"/>
        <item sd="0" x="24"/>
        <item sd="0" x="164"/>
        <item sd="0" x="217"/>
        <item sd="0" x="235"/>
        <item sd="0" x="200"/>
        <item sd="0" x="184"/>
        <item sd="0" x="4"/>
        <item sd="0" x="171"/>
        <item sd="0" x="83"/>
        <item sd="0" x="233"/>
        <item sd="0" x="14"/>
        <item sd="0" x="55"/>
        <item sd="0" x="74"/>
        <item sd="0" x="37"/>
        <item sd="0" x="268"/>
        <item sd="0" x="96"/>
        <item sd="0" x="295"/>
        <item sd="0" x="186"/>
        <item sd="0" x="205"/>
        <item sd="0" x="41"/>
        <item sd="0" x="42"/>
        <item sd="0" x="62"/>
        <item sd="0" x="30"/>
        <item sd="0" x="53"/>
        <item sd="0" x="117"/>
        <item sd="0" x="47"/>
        <item sd="0" x="266"/>
        <item sd="0" x="151"/>
        <item sd="0" x="118"/>
        <item sd="0" x="15"/>
        <item sd="0" x="85"/>
        <item sd="0" x="119"/>
        <item sd="0" x="286"/>
        <item sd="0" x="243"/>
        <item sd="0" x="195"/>
        <item sd="0" x="120"/>
        <item sd="0" x="98"/>
        <item sd="0" x="103"/>
        <item sd="0" x="94"/>
        <item sd="0" x="115"/>
        <item sd="0" x="278"/>
        <item sd="0" x="105"/>
        <item sd="0" x="31"/>
        <item sd="0" x="21"/>
        <item sd="0" x="28"/>
        <item sd="0" x="192"/>
        <item sd="0" x="158"/>
        <item sd="0" x="159"/>
        <item sd="0" x="248"/>
        <item sd="0" x="234"/>
        <item sd="0" x="259"/>
        <item sd="0" x="10"/>
        <item sd="0" x="11"/>
        <item sd="0" x="137"/>
        <item sd="0" x="126"/>
        <item sd="0" x="54"/>
        <item sd="0" x="145"/>
        <item sd="0" x="189"/>
        <item sd="0" x="212"/>
        <item sd="0" x="261"/>
        <item sd="0" x="241"/>
        <item sd="0" x="274"/>
        <item sd="0" x="153"/>
        <item sd="0" x="78"/>
        <item sd="0" x="136"/>
        <item sd="0" x="193"/>
        <item sd="0" x="276"/>
        <item sd="0" x="178"/>
        <item sd="0" x="66"/>
        <item sd="0" x="297"/>
        <item sd="0" x="110"/>
        <item sd="0" x="17"/>
        <item sd="0" x="206"/>
        <item sd="0" x="247"/>
        <item sd="0" x="215"/>
        <item sd="0" x="123"/>
        <item sd="0" x="257"/>
        <item sd="0" x="210"/>
        <item sd="0" x="238"/>
        <item sd="0" x="99"/>
        <item sd="0" x="93"/>
        <item sd="0" x="264"/>
        <item sd="0" x="70"/>
        <item sd="0" x="244"/>
        <item sd="0" x="245"/>
        <item sd="0" x="168"/>
        <item sd="0" x="7"/>
        <item sd="0" x="43"/>
        <item sd="0" x="253"/>
        <item sd="0" x="296"/>
        <item sd="0" x="173"/>
        <item sd="0" x="170"/>
        <item sd="0" x="73"/>
        <item sd="0" x="250"/>
        <item sd="0" x="267"/>
        <item sd="0" x="203"/>
        <item sd="0" x="49"/>
        <item sd="0" x="282"/>
        <item sd="0" x="6"/>
        <item sd="0" x="218"/>
        <item sd="0" x="219"/>
        <item sd="0" x="229"/>
        <item sd="0" x="237"/>
        <item sd="0" x="162"/>
        <item sd="0" x="75"/>
        <item sd="0" x="143"/>
        <item sd="0" x="254"/>
        <item sd="0" x="289"/>
        <item sd="0" x="194"/>
        <item sd="0" x="86"/>
        <item sd="0" x="104"/>
        <item sd="0" x="61"/>
        <item sd="0" x="157"/>
        <item sd="0" x="199"/>
        <item sd="0" x="224"/>
        <item sd="0" x="88"/>
        <item sd="0" x="33"/>
        <item sd="0" x="107"/>
        <item sd="0" x="91"/>
        <item sd="0" x="152"/>
        <item sd="0" x="125"/>
        <item sd="0" x="138"/>
        <item sd="0" x="190"/>
        <item sd="0" x="130"/>
        <item sd="0" x="166"/>
        <item sd="0" x="17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0" showAll="0"/>
    <pivotField showAll="0"/>
    <pivotField showAll="0"/>
    <pivotField showAll="0"/>
    <pivotField showAll="0"/>
    <pivotField numFmtId="10" showAll="0"/>
    <pivotField showAll="0"/>
    <pivotField showAll="0"/>
    <pivotField numFmtId="10" showAll="0"/>
    <pivotField showAll="0"/>
    <pivotField showAll="0"/>
    <pivotField numFmtId="10" showAll="0"/>
    <pivotField showAll="0"/>
    <pivotField showAll="0"/>
  </pivotFields>
  <rowFields count="1">
    <field x="4"/>
  </rowFields>
  <rowItems count="299">
    <i>
      <x v="170"/>
    </i>
    <i>
      <x v="73"/>
    </i>
    <i>
      <x v="17"/>
    </i>
    <i>
      <x v="36"/>
    </i>
    <i>
      <x v="21"/>
    </i>
    <i>
      <x v="178"/>
    </i>
    <i>
      <x v="270"/>
    </i>
    <i>
      <x v="3"/>
    </i>
    <i>
      <x v="258"/>
    </i>
    <i>
      <x v="223"/>
    </i>
    <i>
      <x v="182"/>
    </i>
    <i>
      <x v="58"/>
    </i>
    <i>
      <x v="224"/>
    </i>
    <i>
      <x v="149"/>
    </i>
    <i>
      <x v="51"/>
    </i>
    <i>
      <x v="5"/>
    </i>
    <i>
      <x v="161"/>
    </i>
    <i>
      <x v="108"/>
    </i>
    <i>
      <x v="216"/>
    </i>
    <i>
      <x v="201"/>
    </i>
    <i>
      <x v="46"/>
    </i>
    <i>
      <x v="122"/>
    </i>
    <i>
      <x v="243"/>
    </i>
    <i>
      <x v="82"/>
    </i>
    <i>
      <x v="172"/>
    </i>
    <i>
      <x v="110"/>
    </i>
    <i>
      <x v="215"/>
    </i>
    <i>
      <x v="185"/>
    </i>
    <i>
      <x v="159"/>
    </i>
    <i>
      <x v="68"/>
    </i>
    <i>
      <x v="37"/>
    </i>
    <i>
      <x v="191"/>
    </i>
    <i>
      <x v="95"/>
    </i>
    <i>
      <x v="165"/>
    </i>
    <i>
      <x v="123"/>
    </i>
    <i>
      <x v="117"/>
    </i>
    <i>
      <x v="14"/>
    </i>
    <i>
      <x v="197"/>
    </i>
    <i>
      <x v="8"/>
    </i>
    <i>
      <x v="194"/>
    </i>
    <i>
      <x v="214"/>
    </i>
    <i>
      <x v="288"/>
    </i>
    <i>
      <x v="40"/>
    </i>
    <i>
      <x v="101"/>
    </i>
    <i>
      <x v="50"/>
    </i>
    <i>
      <x v="120"/>
    </i>
    <i>
      <x v="259"/>
    </i>
    <i>
      <x v="283"/>
    </i>
    <i>
      <x v="192"/>
    </i>
    <i>
      <x v="7"/>
    </i>
    <i>
      <x v="227"/>
    </i>
    <i>
      <x v="75"/>
    </i>
    <i>
      <x v="151"/>
    </i>
    <i>
      <x v="141"/>
    </i>
    <i>
      <x v="268"/>
    </i>
    <i>
      <x v="163"/>
    </i>
    <i>
      <x v="31"/>
    </i>
    <i>
      <x v="195"/>
    </i>
    <i>
      <x v="152"/>
    </i>
    <i>
      <x v="180"/>
    </i>
    <i>
      <x v="74"/>
    </i>
    <i>
      <x v="183"/>
    </i>
    <i>
      <x v="264"/>
    </i>
    <i>
      <x v="98"/>
    </i>
    <i>
      <x v="150"/>
    </i>
    <i>
      <x v="48"/>
    </i>
    <i>
      <x v="88"/>
    </i>
    <i>
      <x v="126"/>
    </i>
    <i>
      <x v="287"/>
    </i>
    <i>
      <x v="43"/>
    </i>
    <i>
      <x v="193"/>
    </i>
    <i>
      <x v="90"/>
    </i>
    <i>
      <x v="155"/>
    </i>
    <i>
      <x v="19"/>
    </i>
    <i>
      <x v="129"/>
    </i>
    <i>
      <x v="240"/>
    </i>
    <i>
      <x v="144"/>
    </i>
    <i>
      <x v="168"/>
    </i>
    <i>
      <x v="94"/>
    </i>
    <i>
      <x v="44"/>
    </i>
    <i>
      <x v="187"/>
    </i>
    <i>
      <x v="184"/>
    </i>
    <i>
      <x v="276"/>
    </i>
    <i>
      <x v="125"/>
    </i>
    <i>
      <x v="254"/>
    </i>
    <i>
      <x v="235"/>
    </i>
    <i>
      <x v="29"/>
    </i>
    <i>
      <x v="42"/>
    </i>
    <i>
      <x v="282"/>
    </i>
    <i>
      <x v="202"/>
    </i>
    <i>
      <x v="281"/>
    </i>
    <i>
      <x v="65"/>
    </i>
    <i>
      <x v="96"/>
    </i>
    <i>
      <x v="86"/>
    </i>
    <i>
      <x v="78"/>
    </i>
    <i>
      <x v="290"/>
    </i>
    <i>
      <x v="92"/>
    </i>
    <i>
      <x v="252"/>
    </i>
    <i>
      <x v="156"/>
    </i>
    <i>
      <x v="210"/>
    </i>
    <i>
      <x v="57"/>
    </i>
    <i>
      <x v="136"/>
    </i>
    <i>
      <x v="208"/>
    </i>
    <i>
      <x v="251"/>
    </i>
    <i>
      <x v="225"/>
    </i>
    <i>
      <x v="162"/>
    </i>
    <i>
      <x v="49"/>
    </i>
    <i>
      <x/>
    </i>
    <i>
      <x v="209"/>
    </i>
    <i>
      <x v="213"/>
    </i>
    <i>
      <x v="295"/>
    </i>
    <i>
      <x v="100"/>
    </i>
    <i>
      <x v="289"/>
    </i>
    <i>
      <x v="84"/>
    </i>
    <i>
      <x v="89"/>
    </i>
    <i>
      <x v="81"/>
    </i>
    <i>
      <x v="47"/>
    </i>
    <i>
      <x v="211"/>
    </i>
    <i>
      <x v="203"/>
    </i>
    <i>
      <x v="200"/>
    </i>
    <i>
      <x v="207"/>
    </i>
    <i>
      <x v="93"/>
    </i>
    <i>
      <x v="139"/>
    </i>
    <i>
      <x v="247"/>
    </i>
    <i>
      <x v="52"/>
    </i>
    <i>
      <x v="292"/>
    </i>
    <i>
      <x v="226"/>
    </i>
    <i>
      <x v="160"/>
    </i>
    <i>
      <x v="41"/>
    </i>
    <i>
      <x v="109"/>
    </i>
    <i>
      <x v="148"/>
    </i>
    <i>
      <x v="55"/>
    </i>
    <i>
      <x v="105"/>
    </i>
    <i>
      <x v="143"/>
    </i>
    <i>
      <x v="118"/>
    </i>
    <i>
      <x v="13"/>
    </i>
    <i>
      <x v="236"/>
    </i>
    <i>
      <x v="293"/>
    </i>
    <i>
      <x v="97"/>
    </i>
    <i>
      <x v="137"/>
    </i>
    <i>
      <x v="87"/>
    </i>
    <i>
      <x v="24"/>
    </i>
    <i>
      <x v="277"/>
    </i>
    <i>
      <x v="60"/>
    </i>
    <i>
      <x v="228"/>
    </i>
    <i>
      <x v="132"/>
    </i>
    <i>
      <x v="196"/>
    </i>
    <i>
      <x v="104"/>
    </i>
    <i>
      <x v="30"/>
    </i>
    <i>
      <x v="67"/>
    </i>
    <i>
      <x v="199"/>
    </i>
    <i>
      <x v="291"/>
    </i>
    <i>
      <x v="158"/>
    </i>
    <i>
      <x v="234"/>
    </i>
    <i>
      <x v="38"/>
    </i>
    <i>
      <x v="107"/>
    </i>
    <i>
      <x v="218"/>
    </i>
    <i>
      <x v="219"/>
    </i>
    <i>
      <x v="59"/>
    </i>
    <i>
      <x v="296"/>
    </i>
    <i>
      <x v="275"/>
    </i>
    <i>
      <x v="10"/>
    </i>
    <i>
      <x v="53"/>
    </i>
    <i>
      <x v="242"/>
    </i>
    <i>
      <x v="257"/>
    </i>
    <i>
      <x v="154"/>
    </i>
    <i>
      <x v="263"/>
    </i>
    <i>
      <x v="179"/>
    </i>
    <i>
      <x v="9"/>
    </i>
    <i>
      <x v="76"/>
    </i>
    <i>
      <x v="297"/>
    </i>
    <i>
      <x v="66"/>
    </i>
    <i>
      <x v="15"/>
    </i>
    <i>
      <x v="239"/>
    </i>
    <i>
      <x v="119"/>
    </i>
    <i>
      <x v="284"/>
    </i>
    <i>
      <x v="2"/>
    </i>
    <i>
      <x v="121"/>
    </i>
    <i>
      <x v="131"/>
    </i>
    <i>
      <x v="177"/>
    </i>
    <i>
      <x v="23"/>
    </i>
    <i>
      <x v="189"/>
    </i>
    <i>
      <x v="145"/>
    </i>
    <i>
      <x v="229"/>
    </i>
    <i>
      <x v="294"/>
    </i>
    <i>
      <x v="83"/>
    </i>
    <i>
      <x v="237"/>
    </i>
    <i>
      <x v="280"/>
    </i>
    <i>
      <x v="206"/>
    </i>
    <i>
      <x v="128"/>
    </i>
    <i>
      <x v="85"/>
    </i>
    <i>
      <x v="62"/>
    </i>
    <i>
      <x v="285"/>
    </i>
    <i>
      <x v="146"/>
    </i>
    <i>
      <x v="99"/>
    </i>
    <i>
      <x v="267"/>
    </i>
    <i>
      <x v="262"/>
    </i>
    <i>
      <x v="116"/>
    </i>
    <i>
      <x v="190"/>
    </i>
    <i>
      <x v="20"/>
    </i>
    <i>
      <x v="244"/>
    </i>
    <i>
      <x v="114"/>
    </i>
    <i>
      <x v="166"/>
    </i>
    <i>
      <x v="26"/>
    </i>
    <i>
      <x v="249"/>
    </i>
    <i>
      <x v="134"/>
    </i>
    <i>
      <x v="79"/>
    </i>
    <i>
      <x v="142"/>
    </i>
    <i>
      <x v="28"/>
    </i>
    <i>
      <x v="246"/>
    </i>
    <i>
      <x v="135"/>
    </i>
    <i>
      <x v="174"/>
    </i>
    <i>
      <x v="271"/>
    </i>
    <i>
      <x v="112"/>
    </i>
    <i>
      <x v="113"/>
    </i>
    <i>
      <x v="115"/>
    </i>
    <i>
      <x v="130"/>
    </i>
    <i>
      <x v="286"/>
    </i>
    <i>
      <x v="61"/>
    </i>
    <i>
      <x v="111"/>
    </i>
    <i>
      <x v="32"/>
    </i>
    <i>
      <x v="273"/>
    </i>
    <i>
      <x v="4"/>
    </i>
    <i>
      <x v="171"/>
    </i>
    <i>
      <x v="34"/>
    </i>
    <i>
      <x v="181"/>
    </i>
    <i>
      <x v="18"/>
    </i>
    <i>
      <x v="175"/>
    </i>
    <i>
      <x v="157"/>
    </i>
    <i>
      <x v="274"/>
    </i>
    <i>
      <x v="250"/>
    </i>
    <i>
      <x v="153"/>
    </i>
    <i>
      <x v="11"/>
    </i>
    <i>
      <x v="232"/>
    </i>
    <i>
      <x v="35"/>
    </i>
    <i>
      <x v="176"/>
    </i>
    <i>
      <x v="255"/>
    </i>
    <i>
      <x v="45"/>
    </i>
    <i>
      <x v="245"/>
    </i>
    <i>
      <x v="220"/>
    </i>
    <i>
      <x v="167"/>
    </i>
    <i>
      <x v="265"/>
    </i>
    <i>
      <x v="147"/>
    </i>
    <i>
      <x v="173"/>
    </i>
    <i>
      <x v="278"/>
    </i>
    <i>
      <x v="102"/>
    </i>
    <i>
      <x v="248"/>
    </i>
    <i>
      <x v="103"/>
    </i>
    <i>
      <x v="230"/>
    </i>
    <i>
      <x v="69"/>
    </i>
    <i>
      <x v="27"/>
    </i>
    <i>
      <x v="231"/>
    </i>
    <i>
      <x v="72"/>
    </i>
    <i>
      <x v="169"/>
    </i>
    <i>
      <x v="253"/>
    </i>
    <i>
      <x v="272"/>
    </i>
    <i>
      <x v="1"/>
    </i>
    <i>
      <x v="198"/>
    </i>
    <i>
      <x v="266"/>
    </i>
    <i>
      <x v="186"/>
    </i>
    <i>
      <x v="106"/>
    </i>
    <i>
      <x v="70"/>
    </i>
    <i>
      <x v="56"/>
    </i>
    <i>
      <x v="133"/>
    </i>
    <i>
      <x v="233"/>
    </i>
    <i>
      <x v="6"/>
    </i>
    <i>
      <x v="16"/>
    </i>
    <i>
      <x v="212"/>
    </i>
    <i>
      <x v="124"/>
    </i>
    <i>
      <x v="39"/>
    </i>
    <i>
      <x v="269"/>
    </i>
    <i>
      <x v="64"/>
    </i>
    <i>
      <x v="138"/>
    </i>
    <i>
      <x v="25"/>
    </i>
    <i>
      <x v="77"/>
    </i>
    <i>
      <x v="12"/>
    </i>
    <i>
      <x v="204"/>
    </i>
    <i>
      <x v="217"/>
    </i>
    <i>
      <x v="164"/>
    </i>
    <i>
      <x v="279"/>
    </i>
    <i>
      <x v="22"/>
    </i>
    <i>
      <x v="33"/>
    </i>
    <i>
      <x v="140"/>
    </i>
    <i>
      <x v="205"/>
    </i>
    <i>
      <x v="63"/>
    </i>
    <i>
      <x v="188"/>
    </i>
    <i>
      <x v="221"/>
    </i>
    <i>
      <x v="256"/>
    </i>
    <i>
      <x v="260"/>
    </i>
    <i>
      <x v="71"/>
    </i>
    <i>
      <x v="222"/>
    </i>
    <i>
      <x v="238"/>
    </i>
    <i>
      <x v="54"/>
    </i>
    <i>
      <x v="91"/>
    </i>
    <i>
      <x v="127"/>
    </i>
    <i>
      <x v="261"/>
    </i>
    <i>
      <x v="241"/>
    </i>
    <i>
      <x v="80"/>
    </i>
    <i t="grand">
      <x/>
    </i>
  </rowItems>
  <colItems count="1">
    <i/>
  </colItems>
  <dataFields count="1">
    <dataField name="Sum of Return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DD556B-D8CA-AA4F-B6A5-02C788460598}" name="Table1" displayName="Table1" ref="A1:W435" totalsRowShown="0" headerRowDxfId="26" dataDxfId="25" tableBorderDxfId="24">
  <autoFilter ref="A1:W435" xr:uid="{3275C7FB-96E0-4A47-A4D9-58DBFDAF005D}"/>
  <tableColumns count="23">
    <tableColumn id="1" xr3:uid="{65175634-6FBE-7148-BB20-45CAB919C57A}" name="Recommendation Date" dataDxfId="23" dataCellStyle="Hyperlink"/>
    <tableColumn id="2" xr3:uid="{EF21AED7-D36F-FE4D-B4AE-DF6D750751CD}" name="Company" dataDxfId="22"/>
    <tableColumn id="22" xr3:uid="{16E04EDB-51D8-7247-8060-F1849D34ED7D}" name="Visible?" dataDxfId="21">
      <calculatedColumnFormula>SUBTOTAL(103,Table1[[#This Row],[Recommendation Date]])</calculatedColumnFormula>
    </tableColumn>
    <tableColumn id="23" xr3:uid="{D9498868-BD11-9B44-9CDD-AAC7A6D75B27}" name="Dummy1" dataDxfId="20">
      <calculatedColumnFormula>1</calculatedColumnFormula>
    </tableColumn>
    <tableColumn id="3" xr3:uid="{FE168903-9184-1B4A-B0BF-2E188E2A813C}" name="Ticker" dataDxfId="19" dataCellStyle="Hyperlink"/>
    <tableColumn id="4" xr3:uid="{65AB13CB-29A0-1041-919B-23378A8EA4A1}" name="Market Cap" dataDxfId="18"/>
    <tableColumn id="5" xr3:uid="{6DE576EA-B5E6-7942-AE12-3CCDE0679850}" name="Team" dataDxfId="17"/>
    <tableColumn id="6" xr3:uid="{003570D7-DDA6-3840-AA88-5C4E4EE317BC}" name="Risk rating" dataDxfId="16"/>
    <tableColumn id="7" xr3:uid="{61F43D59-1310-8545-9558-BAA22160F552}" name="Adjusted Rec Price" dataDxfId="15"/>
    <tableColumn id="8" xr3:uid="{780301F8-EF36-BA4D-BF1D-CBBF1F5B1D6B}" name="Return (keep sorted by this column!)" dataDxfId="14"/>
    <tableColumn id="21" xr3:uid="{CF8C0745-7DB4-654B-A69D-62B558F10909}" name="Log return" dataDxfId="13">
      <calculatedColumnFormula>ROUND(LOG10(Table1[[#This Row],[Return (keep sorted by this column!)]]+1),2)</calculatedColumnFormula>
    </tableColumn>
    <tableColumn id="20" xr3:uid="{683AC798-DA68-5D4A-96AF-4724A58139CD}" name="Returns Ranked (0=lowest return)" dataDxfId="12">
      <calculatedColumnFormula>COUNTIF(Table1[Return (keep sorted by this column!)],"&lt;"&amp;Table1[[#This Row],[Return (keep sorted by this column!)]])</calculatedColumnFormula>
    </tableColumn>
    <tableColumn id="9" xr3:uid="{987FF6A7-D633-2242-93E0-751AA11A2E5C}" name="Return if David" dataDxfId="11">
      <calculatedColumnFormula>IF(Table1[[#This Row],[Team]]="David",Table1[[#This Row],[Return (keep sorted by this column!)]],"")</calculatedColumnFormula>
    </tableColumn>
    <tableColumn id="10" xr3:uid="{CCEE0381-6048-274B-80B2-9D27E2F8C1C3}" name="Return if Tom" dataDxfId="10">
      <calculatedColumnFormula>IF(Table1[[#This Row],[Team]]="Tom",Table1[[#This Row],[Return (keep sorted by this column!)]],"")</calculatedColumnFormula>
    </tableColumn>
    <tableColumn id="11" xr3:uid="{C61C6E96-7455-3846-8DD6-C181198F8C56}" name="S&amp;P Return, same period" dataDxfId="9"/>
    <tableColumn id="12" xr3:uid="{E64D96E8-BF8B-0B40-BB5A-7B6731599EF0}" name="S&amp;P if David" dataDxfId="8" dataCellStyle="Percent">
      <calculatedColumnFormula>IF(Table1[[#This Row],[Team]]="David",Table1[[#This Row],[S&amp;P Return, same period]],"")</calculatedColumnFormula>
    </tableColumn>
    <tableColumn id="13" xr3:uid="{7BBCA94F-2A96-4648-8784-184B725FFD89}" name="S&amp;P if Tom" dataDxfId="7" dataCellStyle="Percent">
      <calculatedColumnFormula>IF(Table1[[#This Row],[Team]]="Tom",Table1[[#This Row],[S&amp;P Return, same period]],"")</calculatedColumnFormula>
    </tableColumn>
    <tableColumn id="14" xr3:uid="{0CF169CB-393A-6A49-B449-90A024ACE819}" name="Difference Vs. S&amp;P Return" dataDxfId="6"/>
    <tableColumn id="15" xr3:uid="{8B233A6B-8199-9143-8EF1-DB39658E4542}" name="David Difference Vs. S&amp;P Return" dataDxfId="5">
      <calculatedColumnFormula>IF(Table1[[#This Row],[Team]]="David",Table1[[#This Row],[Difference Vs. S&amp;P Return]],"")</calculatedColumnFormula>
    </tableColumn>
    <tableColumn id="16" xr3:uid="{8AFC247A-1BEA-6D41-889A-3F1799E6E208}" name="Tom Difference Vs. S&amp;P Return" dataDxfId="4">
      <calculatedColumnFormula>IF(Table1[[#This Row],[Team]]="Tom",Table1[[#This Row],[Difference Vs. S&amp;P Return]],"")</calculatedColumnFormula>
    </tableColumn>
    <tableColumn id="17" xr3:uid="{55502F18-56E7-3A42-88F0-E4EAB34090A6}" name="Improvement Vs. S&amp;P Return" dataDxfId="3">
      <calculatedColumnFormula>ROUND((1+Table1[[#This Row],[Return (keep sorted by this column!)]])/(1+Table1[[#This Row],[S&amp;P Return, same period]])-1,1)</calculatedColumnFormula>
    </tableColumn>
    <tableColumn id="18" xr3:uid="{7FBC6D2C-D5C7-6449-92C9-8F6EB820F4CA}" name="David Improvement Vs. S&amp;P Return" dataDxfId="2" dataCellStyle="Percent">
      <calculatedColumnFormula>IF(Table1[[#This Row],[Team]]="David",Table1[[#This Row],[Improvement Vs. S&amp;P Return]],"")</calculatedColumnFormula>
    </tableColumn>
    <tableColumn id="19" xr3:uid="{4030B70A-8ECD-8F4B-87A4-C076EC0254BF}" name="Tom Improvement Vs. S&amp;P Return" dataDxfId="1" dataCellStyle="Percent">
      <calculatedColumnFormula>IF(Table1[[#This Row],[Team]]="Tom",Table1[[#This Row],[Improvement Vs. S&amp;P Return]],"")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file:///premium/stock-advisor/risk-rating/current/339040" TargetMode="External"/><Relationship Id="rId671" Type="http://schemas.openxmlformats.org/officeDocument/2006/relationships/hyperlink" Target="file:///premium/company/224051" TargetMode="External"/><Relationship Id="rId769" Type="http://schemas.openxmlformats.org/officeDocument/2006/relationships/hyperlink" Target="file:///premium/company/203809" TargetMode="External"/><Relationship Id="rId21" Type="http://schemas.openxmlformats.org/officeDocument/2006/relationships/hyperlink" Target="file:///premium/stock-advisor/coverage/18/coverage/updates/2019/11/07/buy-the-trade-desk.aspx" TargetMode="External"/><Relationship Id="rId324" Type="http://schemas.openxmlformats.org/officeDocument/2006/relationships/hyperlink" Target="file:///premium/stock-advisor/coverage/18/coverage/updates/2014/09/19/davids-recommendation-nordstrom.aspx" TargetMode="External"/><Relationship Id="rId531" Type="http://schemas.openxmlformats.org/officeDocument/2006/relationships/hyperlink" Target="file:///premium/company/220461" TargetMode="External"/><Relationship Id="rId629" Type="http://schemas.openxmlformats.org/officeDocument/2006/relationships/hyperlink" Target="file:///premium/company/204654" TargetMode="External"/><Relationship Id="rId170" Type="http://schemas.openxmlformats.org/officeDocument/2006/relationships/hyperlink" Target="file:///premium/stock-advisor/coverage/18/coverage/updates/2017/05/19/buy-old-dominion-freight-line.aspx" TargetMode="External"/><Relationship Id="rId268" Type="http://schemas.openxmlformats.org/officeDocument/2006/relationships/hyperlink" Target="file:///premium/company/202674" TargetMode="External"/><Relationship Id="rId475" Type="http://schemas.openxmlformats.org/officeDocument/2006/relationships/hyperlink" Target="file:///premium/company/206859" TargetMode="External"/><Relationship Id="rId682" Type="http://schemas.openxmlformats.org/officeDocument/2006/relationships/hyperlink" Target="file:///premium/stock-advisor/coverage/18/coverage/issues/2005/11/18/03.aspx" TargetMode="External"/><Relationship Id="rId32" Type="http://schemas.openxmlformats.org/officeDocument/2006/relationships/hyperlink" Target="file:///premium/company/341327" TargetMode="External"/><Relationship Id="rId128" Type="http://schemas.openxmlformats.org/officeDocument/2006/relationships/hyperlink" Target="file:///premium/stock-advisor/coverage/18/coverage/updates/2018/01/19/why-you-should-buy-paycom-software.aspx" TargetMode="External"/><Relationship Id="rId335" Type="http://schemas.openxmlformats.org/officeDocument/2006/relationships/hyperlink" Target="file:///premium/company/203996" TargetMode="External"/><Relationship Id="rId542" Type="http://schemas.openxmlformats.org/officeDocument/2006/relationships/hyperlink" Target="file:///premium/company/207962" TargetMode="External"/><Relationship Id="rId181" Type="http://schemas.openxmlformats.org/officeDocument/2006/relationships/hyperlink" Target="file:///premium/company/202933" TargetMode="External"/><Relationship Id="rId402" Type="http://schemas.openxmlformats.org/officeDocument/2006/relationships/hyperlink" Target="file:///premium/stock-advisor/risk-rating/current/203796" TargetMode="External"/><Relationship Id="rId279" Type="http://schemas.openxmlformats.org/officeDocument/2006/relationships/hyperlink" Target="file:///premium/company/203228" TargetMode="External"/><Relationship Id="rId486" Type="http://schemas.openxmlformats.org/officeDocument/2006/relationships/hyperlink" Target="file:///premium/stock-advisor/coverage/18/coverage/issues/2011/03/18/ii-vi.aspx" TargetMode="External"/><Relationship Id="rId693" Type="http://schemas.openxmlformats.org/officeDocument/2006/relationships/hyperlink" Target="file:///premium/company/204930" TargetMode="External"/><Relationship Id="rId707" Type="http://schemas.openxmlformats.org/officeDocument/2006/relationships/hyperlink" Target="file:///premium/stock-advisor/risk-rating/current/202954" TargetMode="External"/><Relationship Id="rId43" Type="http://schemas.openxmlformats.org/officeDocument/2006/relationships/hyperlink" Target="file:///premium/stock-advisor/coverage/18/coverage/updates/2019/06/20/buy-waste-management.aspx" TargetMode="External"/><Relationship Id="rId139" Type="http://schemas.openxmlformats.org/officeDocument/2006/relationships/hyperlink" Target="file:///premium/company/337109" TargetMode="External"/><Relationship Id="rId346" Type="http://schemas.openxmlformats.org/officeDocument/2006/relationships/hyperlink" Target="file:///premium/stock-advisor/coverage/18/coverage/issues/2014/04/17/davids-recommendation.aspx" TargetMode="External"/><Relationship Id="rId553" Type="http://schemas.openxmlformats.org/officeDocument/2006/relationships/hyperlink" Target="file:///premium/stock-advisor/risk-rating/current/207032" TargetMode="External"/><Relationship Id="rId760" Type="http://schemas.openxmlformats.org/officeDocument/2006/relationships/hyperlink" Target="file:///premium/company/203310" TargetMode="External"/><Relationship Id="rId192" Type="http://schemas.openxmlformats.org/officeDocument/2006/relationships/hyperlink" Target="file:///premium/stock-advisor/risk-rating/current/204770" TargetMode="External"/><Relationship Id="rId206" Type="http://schemas.openxmlformats.org/officeDocument/2006/relationships/hyperlink" Target="file:///premium/company/207859" TargetMode="External"/><Relationship Id="rId413" Type="http://schemas.openxmlformats.org/officeDocument/2006/relationships/hyperlink" Target="file:///premium/company/206031" TargetMode="External"/><Relationship Id="rId497" Type="http://schemas.openxmlformats.org/officeDocument/2006/relationships/hyperlink" Target="file:///premium/stock-advisor/coverage/18/coverage/issues/2010/12/17/davids-re-recommendation-amazoncom.aspx" TargetMode="External"/><Relationship Id="rId620" Type="http://schemas.openxmlformats.org/officeDocument/2006/relationships/hyperlink" Target="file:///premium/company/205555" TargetMode="External"/><Relationship Id="rId718" Type="http://schemas.openxmlformats.org/officeDocument/2006/relationships/hyperlink" Target="file:///premium/stock-advisor/coverage/18/coverage/issues/2004/10/01/page_04.aspx" TargetMode="External"/><Relationship Id="rId357" Type="http://schemas.openxmlformats.org/officeDocument/2006/relationships/hyperlink" Target="file:///premium/stock-advisor/coverage/18/coverage/issues/2014/01/17/toms-recommendation-leucadia-national.aspx" TargetMode="External"/><Relationship Id="rId54" Type="http://schemas.openxmlformats.org/officeDocument/2006/relationships/hyperlink" Target="file:///premium/company/270875" TargetMode="External"/><Relationship Id="rId217" Type="http://schemas.openxmlformats.org/officeDocument/2006/relationships/hyperlink" Target="file:///premium/stock-advisor/risk-rating/current/282545" TargetMode="External"/><Relationship Id="rId564" Type="http://schemas.openxmlformats.org/officeDocument/2006/relationships/hyperlink" Target="file:///premium/company/209353" TargetMode="External"/><Relationship Id="rId771" Type="http://schemas.openxmlformats.org/officeDocument/2006/relationships/hyperlink" Target="file:///premium/company/204185" TargetMode="External"/><Relationship Id="rId424" Type="http://schemas.openxmlformats.org/officeDocument/2006/relationships/hyperlink" Target="file:///premium/company/224977" TargetMode="External"/><Relationship Id="rId631" Type="http://schemas.openxmlformats.org/officeDocument/2006/relationships/hyperlink" Target="file:///premium/company/205908" TargetMode="External"/><Relationship Id="rId729" Type="http://schemas.openxmlformats.org/officeDocument/2006/relationships/hyperlink" Target="file:///premium/company/203975" TargetMode="External"/><Relationship Id="rId270" Type="http://schemas.openxmlformats.org/officeDocument/2006/relationships/hyperlink" Target="file:///premium/company/204773" TargetMode="External"/><Relationship Id="rId65" Type="http://schemas.openxmlformats.org/officeDocument/2006/relationships/hyperlink" Target="file:///premium/stock-advisor/risk-rating/current/220650" TargetMode="External"/><Relationship Id="rId130" Type="http://schemas.openxmlformats.org/officeDocument/2006/relationships/hyperlink" Target="file:///premium/stock-advisor/coverage/18/coverage/updates/why-you-should-buy-okta.aspx" TargetMode="External"/><Relationship Id="rId368" Type="http://schemas.openxmlformats.org/officeDocument/2006/relationships/hyperlink" Target="file:///premium/company/206021" TargetMode="External"/><Relationship Id="rId575" Type="http://schemas.openxmlformats.org/officeDocument/2006/relationships/hyperlink" Target="file:///premium/company/204369" TargetMode="External"/><Relationship Id="rId782" Type="http://schemas.openxmlformats.org/officeDocument/2006/relationships/hyperlink" Target="file:///premium/stock-advisor/risk-rating/current/203564" TargetMode="External"/><Relationship Id="rId228" Type="http://schemas.openxmlformats.org/officeDocument/2006/relationships/hyperlink" Target="file:///premium/stock-advisor/coverage/18/coverage/updates/2016/05/20/toms-re-recommendation-berkshire-hathaway.aspx" TargetMode="External"/><Relationship Id="rId435" Type="http://schemas.openxmlformats.org/officeDocument/2006/relationships/hyperlink" Target="file:///premium/company/205218" TargetMode="External"/><Relationship Id="rId642" Type="http://schemas.openxmlformats.org/officeDocument/2006/relationships/hyperlink" Target="file:///premium/company/205908" TargetMode="External"/><Relationship Id="rId281" Type="http://schemas.openxmlformats.org/officeDocument/2006/relationships/hyperlink" Target="file:///premium/company/207668" TargetMode="External"/><Relationship Id="rId502" Type="http://schemas.openxmlformats.org/officeDocument/2006/relationships/hyperlink" Target="file:///premium/company/206167" TargetMode="External"/><Relationship Id="rId76" Type="http://schemas.openxmlformats.org/officeDocument/2006/relationships/hyperlink" Target="file:///premium/stock-advisor/coverage/18/coverage/updates/2018/11/29/buy-mastercard.aspx" TargetMode="External"/><Relationship Id="rId141" Type="http://schemas.openxmlformats.org/officeDocument/2006/relationships/hyperlink" Target="file:///premium/company/203141" TargetMode="External"/><Relationship Id="rId379" Type="http://schemas.openxmlformats.org/officeDocument/2006/relationships/hyperlink" Target="file:///premium/stock-advisor/coverage/18/coverage/issues/2013/06/21/toms-re-recommendation-mastercard.aspx" TargetMode="External"/><Relationship Id="rId586" Type="http://schemas.openxmlformats.org/officeDocument/2006/relationships/hyperlink" Target="file:///premium/company/204611" TargetMode="External"/><Relationship Id="rId793" Type="http://schemas.openxmlformats.org/officeDocument/2006/relationships/hyperlink" Target="file:///premium/company/205358" TargetMode="External"/><Relationship Id="rId807" Type="http://schemas.openxmlformats.org/officeDocument/2006/relationships/hyperlink" Target="file:///premium/stock-advisor/risk-rating/current/203416" TargetMode="External"/><Relationship Id="rId7" Type="http://schemas.openxmlformats.org/officeDocument/2006/relationships/hyperlink" Target="file:///premium/company/334966" TargetMode="External"/><Relationship Id="rId239" Type="http://schemas.openxmlformats.org/officeDocument/2006/relationships/hyperlink" Target="file:///premium/stock-advisor/coverage/18/coverage/updates/2016/03/18/davids-recommendation-illumina.aspx" TargetMode="External"/><Relationship Id="rId446" Type="http://schemas.openxmlformats.org/officeDocument/2006/relationships/hyperlink" Target="file:///premium/company/204988" TargetMode="External"/><Relationship Id="rId653" Type="http://schemas.openxmlformats.org/officeDocument/2006/relationships/hyperlink" Target="file:///premium/company/207731" TargetMode="External"/><Relationship Id="rId292" Type="http://schemas.openxmlformats.org/officeDocument/2006/relationships/hyperlink" Target="file:///premium/stock-advisor/risk-rating/current/203042" TargetMode="External"/><Relationship Id="rId306" Type="http://schemas.openxmlformats.org/officeDocument/2006/relationships/hyperlink" Target="file:///premium/stock-advisor/risk-rating/current/205248" TargetMode="External"/><Relationship Id="rId87" Type="http://schemas.openxmlformats.org/officeDocument/2006/relationships/hyperlink" Target="file:///premium/company/335683" TargetMode="External"/><Relationship Id="rId513" Type="http://schemas.openxmlformats.org/officeDocument/2006/relationships/hyperlink" Target="file:///premium/company/216375" TargetMode="External"/><Relationship Id="rId597" Type="http://schemas.openxmlformats.org/officeDocument/2006/relationships/hyperlink" Target="file:///premium/stock-advisor/coverage/18/coverage/issues/2008/06/20/recommendation-apple-and-review.aspx" TargetMode="External"/><Relationship Id="rId720" Type="http://schemas.openxmlformats.org/officeDocument/2006/relationships/hyperlink" Target="file:///premium/stock-advisor/risk-rating/current/204654" TargetMode="External"/><Relationship Id="rId152" Type="http://schemas.openxmlformats.org/officeDocument/2006/relationships/hyperlink" Target="file:///premium/stock-advisor/risk-rating/current/204532" TargetMode="External"/><Relationship Id="rId457" Type="http://schemas.openxmlformats.org/officeDocument/2006/relationships/hyperlink" Target="file:///premium/company/204803" TargetMode="External"/><Relationship Id="rId664" Type="http://schemas.openxmlformats.org/officeDocument/2006/relationships/hyperlink" Target="file:///premium/company/202746" TargetMode="External"/><Relationship Id="rId14" Type="http://schemas.openxmlformats.org/officeDocument/2006/relationships/hyperlink" Target="file:///premium/company/202715" TargetMode="External"/><Relationship Id="rId317" Type="http://schemas.openxmlformats.org/officeDocument/2006/relationships/hyperlink" Target="file:///premium/stock-advisor/coverage/18/coverage/updates/2014/10/17/toms-recommendation-markel-corp.aspx" TargetMode="External"/><Relationship Id="rId524" Type="http://schemas.openxmlformats.org/officeDocument/2006/relationships/hyperlink" Target="file:///premium/stock-advisor/coverage/18/coverage/issues/2010/05/21/recommendation-boston-beer.aspx" TargetMode="External"/><Relationship Id="rId731" Type="http://schemas.openxmlformats.org/officeDocument/2006/relationships/hyperlink" Target="file:///premium/company/204130" TargetMode="External"/><Relationship Id="rId98" Type="http://schemas.openxmlformats.org/officeDocument/2006/relationships/hyperlink" Target="file:///premium/stock-advisor/coverage/18/coverage/updates/2018/07/19/buy-blackberry.aspx" TargetMode="External"/><Relationship Id="rId163" Type="http://schemas.openxmlformats.org/officeDocument/2006/relationships/hyperlink" Target="file:///premium/stock-advisor/coverage/18/coverage/updates/2017/06/16/buy-paycom-software.aspx" TargetMode="External"/><Relationship Id="rId370" Type="http://schemas.openxmlformats.org/officeDocument/2006/relationships/hyperlink" Target="file:///premium/stock-advisor/coverage/18/coverage/issues/2013/09/20/davids-recommendation-sierra-wireless.aspx" TargetMode="External"/><Relationship Id="rId230" Type="http://schemas.openxmlformats.org/officeDocument/2006/relationships/hyperlink" Target="file:///premium/stock-advisor/coverage/18/coverage/updates/2016/05/20/davids-recommendation-stampscom.aspx" TargetMode="External"/><Relationship Id="rId468" Type="http://schemas.openxmlformats.org/officeDocument/2006/relationships/hyperlink" Target="file:///premium/company/203143" TargetMode="External"/><Relationship Id="rId675" Type="http://schemas.openxmlformats.org/officeDocument/2006/relationships/hyperlink" Target="file:///premium/company/205374" TargetMode="External"/><Relationship Id="rId25" Type="http://schemas.openxmlformats.org/officeDocument/2006/relationships/hyperlink" Target="file:///premium/stock-advisor/risk-rating/current/204614" TargetMode="External"/><Relationship Id="rId328" Type="http://schemas.openxmlformats.org/officeDocument/2006/relationships/hyperlink" Target="file:///premium/company/204946" TargetMode="External"/><Relationship Id="rId535" Type="http://schemas.openxmlformats.org/officeDocument/2006/relationships/hyperlink" Target="file:///premium/company/222544" TargetMode="External"/><Relationship Id="rId742" Type="http://schemas.openxmlformats.org/officeDocument/2006/relationships/hyperlink" Target="file:///premium/company/203774" TargetMode="External"/><Relationship Id="rId174" Type="http://schemas.openxmlformats.org/officeDocument/2006/relationships/hyperlink" Target="file:///premium/company/202674" TargetMode="External"/><Relationship Id="rId381" Type="http://schemas.openxmlformats.org/officeDocument/2006/relationships/hyperlink" Target="file:///premium/stock-advisor/coverage/18/coverage/issues/2013/06/21/davids-re-recommendation-netflix.aspx" TargetMode="External"/><Relationship Id="rId602" Type="http://schemas.openxmlformats.org/officeDocument/2006/relationships/hyperlink" Target="file:///premium/company/203422" TargetMode="External"/><Relationship Id="rId241" Type="http://schemas.openxmlformats.org/officeDocument/2006/relationships/hyperlink" Target="file:///premium/stock-advisor/risk-rating/current/204015" TargetMode="External"/><Relationship Id="rId479" Type="http://schemas.openxmlformats.org/officeDocument/2006/relationships/hyperlink" Target="file:///premium/stock-advisor/risk-rating/current/202686" TargetMode="External"/><Relationship Id="rId686" Type="http://schemas.openxmlformats.org/officeDocument/2006/relationships/hyperlink" Target="file:///premium/company/204429" TargetMode="External"/><Relationship Id="rId36" Type="http://schemas.openxmlformats.org/officeDocument/2006/relationships/hyperlink" Target="file:///premium/stock-advisor/coverage/18/coverage/updates/2019/08/01/buy-charlottes-web-holdings.aspx" TargetMode="External"/><Relationship Id="rId339" Type="http://schemas.openxmlformats.org/officeDocument/2006/relationships/hyperlink" Target="file:///premium/stock-advisor/coverage/18/coverage/issues/2014/06/20/davids-re-recommendation-cognex.aspx" TargetMode="External"/><Relationship Id="rId546" Type="http://schemas.openxmlformats.org/officeDocument/2006/relationships/hyperlink" Target="file:///premium/stock-advisor/risk-rating/current/203490" TargetMode="External"/><Relationship Id="rId753" Type="http://schemas.openxmlformats.org/officeDocument/2006/relationships/hyperlink" Target="file:///premium/company/202846" TargetMode="External"/><Relationship Id="rId101" Type="http://schemas.openxmlformats.org/officeDocument/2006/relationships/hyperlink" Target="file:///premium/stock-advisor/coverage/18/coverage/updates/2018/07/05/buy-stitch-fix.aspx" TargetMode="External"/><Relationship Id="rId185" Type="http://schemas.openxmlformats.org/officeDocument/2006/relationships/hyperlink" Target="file:///premium/stock-advisor/coverage/18/coverage/updates/2017/02/17/buy-tractor-supply-co.aspx" TargetMode="External"/><Relationship Id="rId406" Type="http://schemas.openxmlformats.org/officeDocument/2006/relationships/hyperlink" Target="file:///premium/stock-advisor/risk-rating/current/206607" TargetMode="External"/><Relationship Id="rId392" Type="http://schemas.openxmlformats.org/officeDocument/2006/relationships/hyperlink" Target="file:///premium/stock-advisor/risk-rating/current/209182" TargetMode="External"/><Relationship Id="rId613" Type="http://schemas.openxmlformats.org/officeDocument/2006/relationships/hyperlink" Target="file:///premium/company/202686" TargetMode="External"/><Relationship Id="rId697" Type="http://schemas.openxmlformats.org/officeDocument/2006/relationships/hyperlink" Target="file:///premium/company/224046" TargetMode="External"/><Relationship Id="rId252" Type="http://schemas.openxmlformats.org/officeDocument/2006/relationships/hyperlink" Target="file:///premium/stock-advisor/coverage/18/coverage/updates/2015/12/18/toms-recommendation-kinder-morgan.aspx" TargetMode="External"/><Relationship Id="rId47" Type="http://schemas.openxmlformats.org/officeDocument/2006/relationships/hyperlink" Target="file:///premium/company/289442" TargetMode="External"/><Relationship Id="rId112" Type="http://schemas.openxmlformats.org/officeDocument/2006/relationships/hyperlink" Target="file:///premium/company/335227" TargetMode="External"/><Relationship Id="rId557" Type="http://schemas.openxmlformats.org/officeDocument/2006/relationships/hyperlink" Target="file:///premium/stock-advisor/risk-rating/current/202723" TargetMode="External"/><Relationship Id="rId764" Type="http://schemas.openxmlformats.org/officeDocument/2006/relationships/hyperlink" Target="file:///premium/company/203252" TargetMode="External"/><Relationship Id="rId196" Type="http://schemas.openxmlformats.org/officeDocument/2006/relationships/hyperlink" Target="file:///premium/company/216501" TargetMode="External"/><Relationship Id="rId417" Type="http://schemas.openxmlformats.org/officeDocument/2006/relationships/hyperlink" Target="file:///premium/stock-advisor/coverage/18/coverage/issues/2012/09/21/davids-recommendation-darling-international.aspx" TargetMode="External"/><Relationship Id="rId624" Type="http://schemas.openxmlformats.org/officeDocument/2006/relationships/hyperlink" Target="file:///premium/company/202877" TargetMode="External"/><Relationship Id="rId263" Type="http://schemas.openxmlformats.org/officeDocument/2006/relationships/hyperlink" Target="file:///premium/company/205241" TargetMode="External"/><Relationship Id="rId470" Type="http://schemas.openxmlformats.org/officeDocument/2006/relationships/hyperlink" Target="file:///premium/stock-advisor/coverage/18/coverage/issues/2011/08/19/corning.aspx" TargetMode="External"/><Relationship Id="rId58" Type="http://schemas.openxmlformats.org/officeDocument/2006/relationships/hyperlink" Target="file:///premium/stock-advisor/coverage/18/coverage/updates/2019/03/21/buy-hill-rom.aspx" TargetMode="External"/><Relationship Id="rId123" Type="http://schemas.openxmlformats.org/officeDocument/2006/relationships/hyperlink" Target="file:///premium/stock-advisor/coverage/18/coverage/updates/2018/02/16/why-you-should-buy-varonis-systems.aspx" TargetMode="External"/><Relationship Id="rId330" Type="http://schemas.openxmlformats.org/officeDocument/2006/relationships/hyperlink" Target="file:///premium/company/205614" TargetMode="External"/><Relationship Id="rId568" Type="http://schemas.openxmlformats.org/officeDocument/2006/relationships/hyperlink" Target="file:///premium/company/217376" TargetMode="External"/><Relationship Id="rId775" Type="http://schemas.openxmlformats.org/officeDocument/2006/relationships/hyperlink" Target="file:///premium/company/202876" TargetMode="External"/><Relationship Id="rId428" Type="http://schemas.openxmlformats.org/officeDocument/2006/relationships/hyperlink" Target="file:///premium/company/208367" TargetMode="External"/><Relationship Id="rId635" Type="http://schemas.openxmlformats.org/officeDocument/2006/relationships/hyperlink" Target="file:///premium/stock-advisor/coverage/18/coverage/issues/2007/04/20/recommendation-mobile-mini.aspx" TargetMode="External"/><Relationship Id="rId274" Type="http://schemas.openxmlformats.org/officeDocument/2006/relationships/hyperlink" Target="file:///premium/stock-advisor/risk-rating/current/204606" TargetMode="External"/><Relationship Id="rId481" Type="http://schemas.openxmlformats.org/officeDocument/2006/relationships/hyperlink" Target="file:///premium/company/204180" TargetMode="External"/><Relationship Id="rId702" Type="http://schemas.openxmlformats.org/officeDocument/2006/relationships/hyperlink" Target="file:///premium/company/209016" TargetMode="External"/><Relationship Id="rId69" Type="http://schemas.openxmlformats.org/officeDocument/2006/relationships/hyperlink" Target="file:///premium/company/203802" TargetMode="External"/><Relationship Id="rId134" Type="http://schemas.openxmlformats.org/officeDocument/2006/relationships/hyperlink" Target="file:///premium/company/339157" TargetMode="External"/><Relationship Id="rId579" Type="http://schemas.openxmlformats.org/officeDocument/2006/relationships/hyperlink" Target="file:///premium/stock-advisor/coverage/18/coverage/issues/2008/12/19/recommendation-cintas.aspx" TargetMode="External"/><Relationship Id="rId786" Type="http://schemas.openxmlformats.org/officeDocument/2006/relationships/hyperlink" Target="file:///premium/stock-advisor/risk-rating/current/203310" TargetMode="External"/><Relationship Id="rId341" Type="http://schemas.openxmlformats.org/officeDocument/2006/relationships/hyperlink" Target="file:///premium/stock-advisor/risk-rating/current/203093" TargetMode="External"/><Relationship Id="rId439" Type="http://schemas.openxmlformats.org/officeDocument/2006/relationships/hyperlink" Target="file:///premium/stock-advisor/coverage/18/coverage/issues/2012/04/20/toms-recommendation-heico.aspx" TargetMode="External"/><Relationship Id="rId646" Type="http://schemas.openxmlformats.org/officeDocument/2006/relationships/hyperlink" Target="file:///premium/company/203070" TargetMode="External"/><Relationship Id="rId201" Type="http://schemas.openxmlformats.org/officeDocument/2006/relationships/hyperlink" Target="file:///premium/company/204130" TargetMode="External"/><Relationship Id="rId285" Type="http://schemas.openxmlformats.org/officeDocument/2006/relationships/hyperlink" Target="file:///premium/stock-advisor/coverage/18/coverage/updates/2015/05/15/davids-recommendation-nasdaq-omx-group.aspx" TargetMode="External"/><Relationship Id="rId506" Type="http://schemas.openxmlformats.org/officeDocument/2006/relationships/hyperlink" Target="file:///premium/stock-advisor/coverage/18/coverage/issues/2010/09/17/recommendation-gilead-sciences.aspx" TargetMode="External"/><Relationship Id="rId492" Type="http://schemas.openxmlformats.org/officeDocument/2006/relationships/hyperlink" Target="file:///premium/stock-advisor/coverage/18/coverage/issues/2011/01/21/tennant.aspx" TargetMode="External"/><Relationship Id="rId713" Type="http://schemas.openxmlformats.org/officeDocument/2006/relationships/hyperlink" Target="file:///premium/stock-advisor/risk-rating/current/204654" TargetMode="External"/><Relationship Id="rId797" Type="http://schemas.openxmlformats.org/officeDocument/2006/relationships/hyperlink" Target="file:///premium/company/203447" TargetMode="External"/><Relationship Id="rId145" Type="http://schemas.openxmlformats.org/officeDocument/2006/relationships/hyperlink" Target="file:///premium/stock-advisor/coverage/18/coverage/updates/2017/10/20/why-you-should-buy-hca-healthcare.aspx" TargetMode="External"/><Relationship Id="rId352" Type="http://schemas.openxmlformats.org/officeDocument/2006/relationships/hyperlink" Target="file:///premium/company/271203" TargetMode="External"/><Relationship Id="rId212" Type="http://schemas.openxmlformats.org/officeDocument/2006/relationships/hyperlink" Target="file:///premium/stock-advisor/risk-rating/current/202783" TargetMode="External"/><Relationship Id="rId657" Type="http://schemas.openxmlformats.org/officeDocument/2006/relationships/hyperlink" Target="file:///premium/stock-advisor/risk-rating/current/204654" TargetMode="External"/><Relationship Id="rId296" Type="http://schemas.openxmlformats.org/officeDocument/2006/relationships/hyperlink" Target="file:///premium/company/270334" TargetMode="External"/><Relationship Id="rId517" Type="http://schemas.openxmlformats.org/officeDocument/2006/relationships/hyperlink" Target="file:///premium/stock-advisor/risk-rating/current/206607" TargetMode="External"/><Relationship Id="rId724" Type="http://schemas.openxmlformats.org/officeDocument/2006/relationships/hyperlink" Target="file:///premium/company/203310" TargetMode="External"/><Relationship Id="rId60" Type="http://schemas.openxmlformats.org/officeDocument/2006/relationships/hyperlink" Target="file:///premium/stock-advisor/risk-rating/current/203810" TargetMode="External"/><Relationship Id="rId156" Type="http://schemas.openxmlformats.org/officeDocument/2006/relationships/hyperlink" Target="file:///premium/company/289112" TargetMode="External"/><Relationship Id="rId363" Type="http://schemas.openxmlformats.org/officeDocument/2006/relationships/hyperlink" Target="file:///premium/company/223768" TargetMode="External"/><Relationship Id="rId570" Type="http://schemas.openxmlformats.org/officeDocument/2006/relationships/hyperlink" Target="file:///premium/company/209535" TargetMode="External"/><Relationship Id="rId223" Type="http://schemas.openxmlformats.org/officeDocument/2006/relationships/hyperlink" Target="file:///premium/stock-advisor/coverage/18/coverage/updates/2016/06/17/toms-recommendation-svb-financial-group.aspx" TargetMode="External"/><Relationship Id="rId430" Type="http://schemas.openxmlformats.org/officeDocument/2006/relationships/hyperlink" Target="file:///premium/stock-advisor/coverage/18/coverage/issues/2012/06/15/davids-re-recommendation-3d-systems.aspx" TargetMode="External"/><Relationship Id="rId668" Type="http://schemas.openxmlformats.org/officeDocument/2006/relationships/hyperlink" Target="file:///premium/company/202739" TargetMode="External"/><Relationship Id="rId18" Type="http://schemas.openxmlformats.org/officeDocument/2006/relationships/hyperlink" Target="file:///premium/stock-advisor/coverage/18/coverage/updates/2019/11/21/buy-netflix.aspx" TargetMode="External"/><Relationship Id="rId528" Type="http://schemas.openxmlformats.org/officeDocument/2006/relationships/hyperlink" Target="file:///premium/company/205572" TargetMode="External"/><Relationship Id="rId735" Type="http://schemas.openxmlformats.org/officeDocument/2006/relationships/hyperlink" Target="file:///premium/stock-advisor/coverage/18/coverage/issues/2004/05/01/page_03.aspx" TargetMode="External"/><Relationship Id="rId167" Type="http://schemas.openxmlformats.org/officeDocument/2006/relationships/hyperlink" Target="file:///premium/stock-advisor/risk-rating/current/205835" TargetMode="External"/><Relationship Id="rId374" Type="http://schemas.openxmlformats.org/officeDocument/2006/relationships/hyperlink" Target="file:///premium/company/206540" TargetMode="External"/><Relationship Id="rId581" Type="http://schemas.openxmlformats.org/officeDocument/2006/relationships/hyperlink" Target="file:///premium/company/203310" TargetMode="External"/><Relationship Id="rId71" Type="http://schemas.openxmlformats.org/officeDocument/2006/relationships/hyperlink" Target="file:///premium/stock-advisor/coverage/18/coverage/updates/2019/01/03/buy-twilio.aspx" TargetMode="External"/><Relationship Id="rId234" Type="http://schemas.openxmlformats.org/officeDocument/2006/relationships/hyperlink" Target="file:///premium/company/282545" TargetMode="External"/><Relationship Id="rId679" Type="http://schemas.openxmlformats.org/officeDocument/2006/relationships/hyperlink" Target="file:///premium/company/202935" TargetMode="External"/><Relationship Id="rId802" Type="http://schemas.openxmlformats.org/officeDocument/2006/relationships/hyperlink" Target="file:///premium/stock-advisor/risk-rating/current/335416" TargetMode="External"/><Relationship Id="rId2" Type="http://schemas.openxmlformats.org/officeDocument/2006/relationships/hyperlink" Target="file:///premium/company/341217" TargetMode="External"/><Relationship Id="rId29" Type="http://schemas.openxmlformats.org/officeDocument/2006/relationships/hyperlink" Target="file:///premium/company/335043" TargetMode="External"/><Relationship Id="rId441" Type="http://schemas.openxmlformats.org/officeDocument/2006/relationships/hyperlink" Target="file:///premium/company/203805" TargetMode="External"/><Relationship Id="rId539" Type="http://schemas.openxmlformats.org/officeDocument/2006/relationships/hyperlink" Target="file:///premium/stock-advisor/coverage/18/coverage/issues/2009/12/18/team-davids-review.aspx" TargetMode="External"/><Relationship Id="rId746" Type="http://schemas.openxmlformats.org/officeDocument/2006/relationships/hyperlink" Target="file:///premium/company/224044" TargetMode="External"/><Relationship Id="rId178" Type="http://schemas.openxmlformats.org/officeDocument/2006/relationships/hyperlink" Target="file:///premium/stock-advisor/coverage/18/coverage/updates/2017/03/17/buy-western-alliance-bancorp.aspx" TargetMode="External"/><Relationship Id="rId301" Type="http://schemas.openxmlformats.org/officeDocument/2006/relationships/hyperlink" Target="file:///premium/stock-advisor/risk-rating/current/288390" TargetMode="External"/><Relationship Id="rId82" Type="http://schemas.openxmlformats.org/officeDocument/2006/relationships/hyperlink" Target="file:///premium/company/339947" TargetMode="External"/><Relationship Id="rId385" Type="http://schemas.openxmlformats.org/officeDocument/2006/relationships/hyperlink" Target="file:///premium/company/204587" TargetMode="External"/><Relationship Id="rId592" Type="http://schemas.openxmlformats.org/officeDocument/2006/relationships/hyperlink" Target="file:///premium/company/205737" TargetMode="External"/><Relationship Id="rId606" Type="http://schemas.openxmlformats.org/officeDocument/2006/relationships/hyperlink" Target="file:///premium/company/205418" TargetMode="External"/><Relationship Id="rId245" Type="http://schemas.openxmlformats.org/officeDocument/2006/relationships/hyperlink" Target="file:///premium/company/202907" TargetMode="External"/><Relationship Id="rId452" Type="http://schemas.openxmlformats.org/officeDocument/2006/relationships/hyperlink" Target="file:///premium/company/206799" TargetMode="External"/><Relationship Id="rId105" Type="http://schemas.openxmlformats.org/officeDocument/2006/relationships/hyperlink" Target="file:///premium/stock-advisor/risk-rating/current/202804" TargetMode="External"/><Relationship Id="rId312" Type="http://schemas.openxmlformats.org/officeDocument/2006/relationships/hyperlink" Target="file:///premium/stock-advisor/coverage/18/coverage/updates/2014/11/21/toms-recommendation-zayo-group.aspx" TargetMode="External"/><Relationship Id="rId757" Type="http://schemas.openxmlformats.org/officeDocument/2006/relationships/hyperlink" Target="file:///premium/company/202752" TargetMode="External"/><Relationship Id="rId93" Type="http://schemas.openxmlformats.org/officeDocument/2006/relationships/hyperlink" Target="file:///premium/stock-advisor/coverage/18/coverage/updates/2018/08/16/buy-alaska-air-group.aspx" TargetMode="External"/><Relationship Id="rId189" Type="http://schemas.openxmlformats.org/officeDocument/2006/relationships/hyperlink" Target="file:///premium/company/205239" TargetMode="External"/><Relationship Id="rId396" Type="http://schemas.openxmlformats.org/officeDocument/2006/relationships/hyperlink" Target="file:///premium/company/204181" TargetMode="External"/><Relationship Id="rId617" Type="http://schemas.openxmlformats.org/officeDocument/2006/relationships/hyperlink" Target="file:///premium/company/209353" TargetMode="External"/><Relationship Id="rId256" Type="http://schemas.openxmlformats.org/officeDocument/2006/relationships/hyperlink" Target="file:///premium/stock-advisor/risk-rating/current/204787" TargetMode="External"/><Relationship Id="rId463" Type="http://schemas.openxmlformats.org/officeDocument/2006/relationships/hyperlink" Target="file:///premium/stock-advisor/risk-rating/current/204962" TargetMode="External"/><Relationship Id="rId670" Type="http://schemas.openxmlformats.org/officeDocument/2006/relationships/hyperlink" Target="file:///premium/company/203252" TargetMode="External"/><Relationship Id="rId116" Type="http://schemas.openxmlformats.org/officeDocument/2006/relationships/hyperlink" Target="file:///premium/company/339040" TargetMode="External"/><Relationship Id="rId323" Type="http://schemas.openxmlformats.org/officeDocument/2006/relationships/hyperlink" Target="file:///premium/company/203239" TargetMode="External"/><Relationship Id="rId530" Type="http://schemas.openxmlformats.org/officeDocument/2006/relationships/hyperlink" Target="file:///premium/stock-advisor/coverage/18/coverage/issues/2010/03/19/recommendation-scripps-networks-interactive.aspx" TargetMode="External"/><Relationship Id="rId768" Type="http://schemas.openxmlformats.org/officeDocument/2006/relationships/hyperlink" Target="file:///premium/stock-advisor/coverage/18/coverage/issues/2003/04/01/page_04.aspx" TargetMode="External"/><Relationship Id="rId20" Type="http://schemas.openxmlformats.org/officeDocument/2006/relationships/hyperlink" Target="file:///premium/stock-advisor/risk-rating/current/204654" TargetMode="External"/><Relationship Id="rId628" Type="http://schemas.openxmlformats.org/officeDocument/2006/relationships/hyperlink" Target="file:///premium/stock-advisor/coverage/18/coverage/issues/2007/06/15/recommendation-netflix.aspx" TargetMode="External"/><Relationship Id="rId267" Type="http://schemas.openxmlformats.org/officeDocument/2006/relationships/hyperlink" Target="file:///premium/stock-advisor/coverage/18/coverage/updates/2015/09/18/toms-recommendation-marriott-international.aspx" TargetMode="External"/><Relationship Id="rId474" Type="http://schemas.openxmlformats.org/officeDocument/2006/relationships/hyperlink" Target="file:///premium/stock-advisor/coverage/18/coverage/issues/2011/07/15/balchem.aspx" TargetMode="External"/><Relationship Id="rId127" Type="http://schemas.openxmlformats.org/officeDocument/2006/relationships/hyperlink" Target="file:///premium/stock-advisor/risk-rating/current/222724" TargetMode="External"/><Relationship Id="rId681" Type="http://schemas.openxmlformats.org/officeDocument/2006/relationships/hyperlink" Target="file:///premium/company/205149" TargetMode="External"/><Relationship Id="rId779" Type="http://schemas.openxmlformats.org/officeDocument/2006/relationships/hyperlink" Target="file:///premium/company/203015" TargetMode="External"/><Relationship Id="rId31" Type="http://schemas.openxmlformats.org/officeDocument/2006/relationships/hyperlink" Target="file:///premium/stock-advisor/coverage/18/coverage/updates/2019/09/05/buy-slack-technologies.aspx" TargetMode="External"/><Relationship Id="rId334" Type="http://schemas.openxmlformats.org/officeDocument/2006/relationships/hyperlink" Target="file:///premium/stock-advisor/coverage/18/coverage/updates/2014/07/18/davids-recommendation-idexx-laboratories.aspx" TargetMode="External"/><Relationship Id="rId541" Type="http://schemas.openxmlformats.org/officeDocument/2006/relationships/hyperlink" Target="file:///premium/stock-advisor/risk-rating/current/204770" TargetMode="External"/><Relationship Id="rId639" Type="http://schemas.openxmlformats.org/officeDocument/2006/relationships/hyperlink" Target="file:///premium/company/204586" TargetMode="External"/><Relationship Id="rId180" Type="http://schemas.openxmlformats.org/officeDocument/2006/relationships/hyperlink" Target="file:///premium/stock-advisor/coverage/18/coverage/updates/2017/03/17/buy-becton-dickinson.aspx" TargetMode="External"/><Relationship Id="rId278" Type="http://schemas.openxmlformats.org/officeDocument/2006/relationships/hyperlink" Target="file:///premium/stock-advisor/risk-rating/current/205856" TargetMode="External"/><Relationship Id="rId401" Type="http://schemas.openxmlformats.org/officeDocument/2006/relationships/hyperlink" Target="file:///premium/company/203796" TargetMode="External"/><Relationship Id="rId485" Type="http://schemas.openxmlformats.org/officeDocument/2006/relationships/hyperlink" Target="file:///premium/company/224375" TargetMode="External"/><Relationship Id="rId692" Type="http://schemas.openxmlformats.org/officeDocument/2006/relationships/hyperlink" Target="file:///premium/company/205200" TargetMode="External"/><Relationship Id="rId706" Type="http://schemas.openxmlformats.org/officeDocument/2006/relationships/hyperlink" Target="file:///premium/company/202954" TargetMode="External"/><Relationship Id="rId42" Type="http://schemas.openxmlformats.org/officeDocument/2006/relationships/hyperlink" Target="file:///premium/company/341090" TargetMode="External"/><Relationship Id="rId138" Type="http://schemas.openxmlformats.org/officeDocument/2006/relationships/hyperlink" Target="file:///premium/stock-advisor/coverage/18/coverage/updates/why-you-should-buy-talend.aspx" TargetMode="External"/><Relationship Id="rId345" Type="http://schemas.openxmlformats.org/officeDocument/2006/relationships/hyperlink" Target="file:///premium/company/207024" TargetMode="External"/><Relationship Id="rId552" Type="http://schemas.openxmlformats.org/officeDocument/2006/relationships/hyperlink" Target="file:///premium/company/207032" TargetMode="External"/><Relationship Id="rId191" Type="http://schemas.openxmlformats.org/officeDocument/2006/relationships/hyperlink" Target="file:///premium/company/204770" TargetMode="External"/><Relationship Id="rId205" Type="http://schemas.openxmlformats.org/officeDocument/2006/relationships/hyperlink" Target="file:///premium/stock-advisor/coverage/18/coverage/updates/2016/10/21/davids-recommendation-grupo-aeroportuario-del-paci.aspx" TargetMode="External"/><Relationship Id="rId412" Type="http://schemas.openxmlformats.org/officeDocument/2006/relationships/hyperlink" Target="file:///premium/stock-advisor/coverage/18/coverage/issues/2012/10/19/toms-recommendation.aspx" TargetMode="External"/><Relationship Id="rId289" Type="http://schemas.openxmlformats.org/officeDocument/2006/relationships/hyperlink" Target="file:///premium/stock-advisor/coverage/18/coverage/updates/2015/04/17/toms-re-recommendation-leucadia-national.aspx" TargetMode="External"/><Relationship Id="rId496" Type="http://schemas.openxmlformats.org/officeDocument/2006/relationships/hyperlink" Target="file:///premium/stock-advisor/risk-rating/current/203093" TargetMode="External"/><Relationship Id="rId717" Type="http://schemas.openxmlformats.org/officeDocument/2006/relationships/hyperlink" Target="file:///premium/company/203252" TargetMode="External"/><Relationship Id="rId53" Type="http://schemas.openxmlformats.org/officeDocument/2006/relationships/hyperlink" Target="file:///premium/stock-advisor/coverage/18/coverage/updates/2019/04/18/buy-zynga.aspx" TargetMode="External"/><Relationship Id="rId149" Type="http://schemas.openxmlformats.org/officeDocument/2006/relationships/hyperlink" Target="file:///premium/company/289181" TargetMode="External"/><Relationship Id="rId356" Type="http://schemas.openxmlformats.org/officeDocument/2006/relationships/hyperlink" Target="file:///premium/company/273737" TargetMode="External"/><Relationship Id="rId563" Type="http://schemas.openxmlformats.org/officeDocument/2006/relationships/hyperlink" Target="file:///premium/company/210157" TargetMode="External"/><Relationship Id="rId770" Type="http://schemas.openxmlformats.org/officeDocument/2006/relationships/hyperlink" Target="file:///premium/stock-advisor/risk-rating/current/203809" TargetMode="External"/><Relationship Id="rId216" Type="http://schemas.openxmlformats.org/officeDocument/2006/relationships/hyperlink" Target="file:///premium/company/282545" TargetMode="External"/><Relationship Id="rId423" Type="http://schemas.openxmlformats.org/officeDocument/2006/relationships/hyperlink" Target="file:///premium/stock-advisor/coverage/18/coverage/issues/2012/08/17/davids-recommendation-kinder-morgan.aspx" TargetMode="External"/><Relationship Id="rId630" Type="http://schemas.openxmlformats.org/officeDocument/2006/relationships/hyperlink" Target="file:///premium/company/208198" TargetMode="External"/><Relationship Id="rId728" Type="http://schemas.openxmlformats.org/officeDocument/2006/relationships/hyperlink" Target="file:///premium/stock-advisor/risk-rating/current/205424" TargetMode="External"/><Relationship Id="rId64" Type="http://schemas.openxmlformats.org/officeDocument/2006/relationships/hyperlink" Target="file:///premium/company/220650" TargetMode="External"/><Relationship Id="rId367" Type="http://schemas.openxmlformats.org/officeDocument/2006/relationships/hyperlink" Target="file:///premium/stock-advisor/risk-rating/current/223191" TargetMode="External"/><Relationship Id="rId574" Type="http://schemas.openxmlformats.org/officeDocument/2006/relationships/hyperlink" Target="file:///premium/stock-advisor/risk-rating/current/204404" TargetMode="External"/><Relationship Id="rId227" Type="http://schemas.openxmlformats.org/officeDocument/2006/relationships/hyperlink" Target="file:///premium/stock-advisor/risk-rating/current/203362" TargetMode="External"/><Relationship Id="rId781" Type="http://schemas.openxmlformats.org/officeDocument/2006/relationships/hyperlink" Target="file:///premium/company/203564" TargetMode="External"/><Relationship Id="rId434" Type="http://schemas.openxmlformats.org/officeDocument/2006/relationships/hyperlink" Target="file:///premium/stock-advisor/coverage/18/coverage/issues/2012/05/16/toms-recommendation-robert-half-international.aspx" TargetMode="External"/><Relationship Id="rId641" Type="http://schemas.openxmlformats.org/officeDocument/2006/relationships/hyperlink" Target="file:///premium/stock-advisor/risk-rating/current/204759" TargetMode="External"/><Relationship Id="rId739" Type="http://schemas.openxmlformats.org/officeDocument/2006/relationships/hyperlink" Target="file:///premium/company/215395" TargetMode="External"/><Relationship Id="rId280" Type="http://schemas.openxmlformats.org/officeDocument/2006/relationships/hyperlink" Target="file:///premium/stock-advisor/coverage/18/coverage/updates/2015/06/19/toms-re-recommendation-chipotle-mexican-grill.aspx" TargetMode="External"/><Relationship Id="rId501" Type="http://schemas.openxmlformats.org/officeDocument/2006/relationships/hyperlink" Target="file:///premium/stock-advisor/coverage/18/coverage/issues/2010/11/19/watsco.aspx" TargetMode="External"/><Relationship Id="rId75" Type="http://schemas.openxmlformats.org/officeDocument/2006/relationships/hyperlink" Target="file:///premium/stock-advisor/risk-rating/current/207430" TargetMode="External"/><Relationship Id="rId140" Type="http://schemas.openxmlformats.org/officeDocument/2006/relationships/hyperlink" Target="file:///premium/stock-advisor/coverage/18/coverage/updates/why-you-should-buy-cme-group.aspx" TargetMode="External"/><Relationship Id="rId182" Type="http://schemas.openxmlformats.org/officeDocument/2006/relationships/hyperlink" Target="file:///premium/stock-advisor/risk-rating/current/202933" TargetMode="External"/><Relationship Id="rId378" Type="http://schemas.openxmlformats.org/officeDocument/2006/relationships/hyperlink" Target="file:///premium/company/205924" TargetMode="External"/><Relationship Id="rId403" Type="http://schemas.openxmlformats.org/officeDocument/2006/relationships/hyperlink" Target="file:///premium/stock-advisor/coverage/18/coverage/issues/2012/12/21/toms-re-recommendation-williams-sonoma.aspx" TargetMode="External"/><Relationship Id="rId585" Type="http://schemas.openxmlformats.org/officeDocument/2006/relationships/hyperlink" Target="file:///premium/stock-advisor/coverage/18/coverage/issues/2008/10/17/recommendation-national-instruments.aspx" TargetMode="External"/><Relationship Id="rId750" Type="http://schemas.openxmlformats.org/officeDocument/2006/relationships/hyperlink" Target="file:///premium/company/203278" TargetMode="External"/><Relationship Id="rId792" Type="http://schemas.openxmlformats.org/officeDocument/2006/relationships/hyperlink" Target="file:///premium/stock-advisor/risk-rating/current/202816" TargetMode="External"/><Relationship Id="rId806" Type="http://schemas.openxmlformats.org/officeDocument/2006/relationships/hyperlink" Target="file:///premium/company/203416" TargetMode="External"/><Relationship Id="rId6" Type="http://schemas.openxmlformats.org/officeDocument/2006/relationships/hyperlink" Target="file:///premium/stock-advisor/coverage/18/coverage/2020/02/06/buy-invitae.aspx" TargetMode="External"/><Relationship Id="rId238" Type="http://schemas.openxmlformats.org/officeDocument/2006/relationships/hyperlink" Target="file:///premium/company/273717" TargetMode="External"/><Relationship Id="rId445" Type="http://schemas.openxmlformats.org/officeDocument/2006/relationships/hyperlink" Target="file:///premium/stock-advisor/risk-rating/current/210220" TargetMode="External"/><Relationship Id="rId487" Type="http://schemas.openxmlformats.org/officeDocument/2006/relationships/hyperlink" Target="file:///premium/company/204012" TargetMode="External"/><Relationship Id="rId610" Type="http://schemas.openxmlformats.org/officeDocument/2006/relationships/hyperlink" Target="file:///premium/company/206054" TargetMode="External"/><Relationship Id="rId652" Type="http://schemas.openxmlformats.org/officeDocument/2006/relationships/hyperlink" Target="file:///premium/company/209353" TargetMode="External"/><Relationship Id="rId694" Type="http://schemas.openxmlformats.org/officeDocument/2006/relationships/hyperlink" Target="file:///premium/company/203416" TargetMode="External"/><Relationship Id="rId708" Type="http://schemas.openxmlformats.org/officeDocument/2006/relationships/hyperlink" Target="file:///premium/stock-advisor/coverage/18/coverage/issues/2005/01/01/page_02.aspx" TargetMode="External"/><Relationship Id="rId291" Type="http://schemas.openxmlformats.org/officeDocument/2006/relationships/hyperlink" Target="file:///premium/company/203042" TargetMode="External"/><Relationship Id="rId305" Type="http://schemas.openxmlformats.org/officeDocument/2006/relationships/hyperlink" Target="file:///premium/company/205248" TargetMode="External"/><Relationship Id="rId347" Type="http://schemas.openxmlformats.org/officeDocument/2006/relationships/hyperlink" Target="file:///premium/company/203203" TargetMode="External"/><Relationship Id="rId512" Type="http://schemas.openxmlformats.org/officeDocument/2006/relationships/hyperlink" Target="file:///premium/stock-advisor/risk-rating/current/220461" TargetMode="External"/><Relationship Id="rId44" Type="http://schemas.openxmlformats.org/officeDocument/2006/relationships/hyperlink" Target="file:///premium/company/206072" TargetMode="External"/><Relationship Id="rId86" Type="http://schemas.openxmlformats.org/officeDocument/2006/relationships/hyperlink" Target="file:///premium/stock-advisor/coverage/18/coverage/updates/2018/10/04/buy-square.aspx" TargetMode="External"/><Relationship Id="rId151" Type="http://schemas.openxmlformats.org/officeDocument/2006/relationships/hyperlink" Target="file:///premium/company/204532" TargetMode="External"/><Relationship Id="rId389" Type="http://schemas.openxmlformats.org/officeDocument/2006/relationships/hyperlink" Target="file:///premium/company/209277" TargetMode="External"/><Relationship Id="rId554" Type="http://schemas.openxmlformats.org/officeDocument/2006/relationships/hyperlink" Target="file:///premium/company/203244" TargetMode="External"/><Relationship Id="rId596" Type="http://schemas.openxmlformats.org/officeDocument/2006/relationships/hyperlink" Target="file:///premium/company/204335" TargetMode="External"/><Relationship Id="rId761" Type="http://schemas.openxmlformats.org/officeDocument/2006/relationships/hyperlink" Target="file:///premium/stock-advisor/risk-rating/current/203310" TargetMode="External"/><Relationship Id="rId193" Type="http://schemas.openxmlformats.org/officeDocument/2006/relationships/hyperlink" Target="file:///premium/stock-advisor/coverage/18/coverage/updates/2016/12/16/toms-re-recommendation-mastercard.aspx" TargetMode="External"/><Relationship Id="rId207" Type="http://schemas.openxmlformats.org/officeDocument/2006/relationships/hyperlink" Target="file:///premium/stock-advisor/risk-rating/current/207859" TargetMode="External"/><Relationship Id="rId249" Type="http://schemas.openxmlformats.org/officeDocument/2006/relationships/hyperlink" Target="file:///premium/stock-advisor/coverage/18/coverage/updates/2016/01/22/davids-recommendation-texas-roadhouse.aspx" TargetMode="External"/><Relationship Id="rId414" Type="http://schemas.openxmlformats.org/officeDocument/2006/relationships/hyperlink" Target="file:///premium/stock-advisor/coverage/18/coverage/issues/2012/10/19/davids-recommendation.aspx" TargetMode="External"/><Relationship Id="rId456" Type="http://schemas.openxmlformats.org/officeDocument/2006/relationships/hyperlink" Target="file:///premium/stock-advisor/coverage/18/coverage/issues/2011/11/18/toms-recommendation-oceaneering-international.aspx" TargetMode="External"/><Relationship Id="rId498" Type="http://schemas.openxmlformats.org/officeDocument/2006/relationships/hyperlink" Target="file:///premium/company/202816" TargetMode="External"/><Relationship Id="rId621" Type="http://schemas.openxmlformats.org/officeDocument/2006/relationships/hyperlink" Target="file:///premium/company/202801" TargetMode="External"/><Relationship Id="rId663" Type="http://schemas.openxmlformats.org/officeDocument/2006/relationships/hyperlink" Target="file:///premium/stock-advisor/coverage/18/coverage/issues/2006/06/16/02.aspx" TargetMode="External"/><Relationship Id="rId13" Type="http://schemas.openxmlformats.org/officeDocument/2006/relationships/hyperlink" Target="file:///premium/stock-advisor/coverage/18/coverage/updates/2019/12/19/buy-accenture.aspx" TargetMode="External"/><Relationship Id="rId109" Type="http://schemas.openxmlformats.org/officeDocument/2006/relationships/hyperlink" Target="file:///premium/company/317506" TargetMode="External"/><Relationship Id="rId260" Type="http://schemas.openxmlformats.org/officeDocument/2006/relationships/hyperlink" Target="file:///premium/company/203011" TargetMode="External"/><Relationship Id="rId316" Type="http://schemas.openxmlformats.org/officeDocument/2006/relationships/hyperlink" Target="file:///premium/stock-advisor/risk-rating/current/204622" TargetMode="External"/><Relationship Id="rId523" Type="http://schemas.openxmlformats.org/officeDocument/2006/relationships/hyperlink" Target="file:///premium/company/202676" TargetMode="External"/><Relationship Id="rId719" Type="http://schemas.openxmlformats.org/officeDocument/2006/relationships/hyperlink" Target="file:///premium/company/204654" TargetMode="External"/><Relationship Id="rId55" Type="http://schemas.openxmlformats.org/officeDocument/2006/relationships/hyperlink" Target="file:///premium/stock-advisor/risk-rating/current/270875" TargetMode="External"/><Relationship Id="rId97" Type="http://schemas.openxmlformats.org/officeDocument/2006/relationships/hyperlink" Target="file:///premium/company/289181" TargetMode="External"/><Relationship Id="rId120" Type="http://schemas.openxmlformats.org/officeDocument/2006/relationships/hyperlink" Target="file:///premium/stock-advisor/coverage/18/coverage/updates/2018/03/15/buy-cirrus-logic.aspx" TargetMode="External"/><Relationship Id="rId358" Type="http://schemas.openxmlformats.org/officeDocument/2006/relationships/hyperlink" Target="file:///premium/stock-advisor/coverage/18/coverage/issues/2014/01/17/davids-recommendation-cboe-holdings.aspx" TargetMode="External"/><Relationship Id="rId565" Type="http://schemas.openxmlformats.org/officeDocument/2006/relationships/hyperlink" Target="file:///premium/stock-advisor/coverage/18/coverage/issues/2009/05/15/berkshire-and-team-toms-six-month-review.aspx" TargetMode="External"/><Relationship Id="rId730" Type="http://schemas.openxmlformats.org/officeDocument/2006/relationships/hyperlink" Target="file:///premium/company/203978" TargetMode="External"/><Relationship Id="rId772" Type="http://schemas.openxmlformats.org/officeDocument/2006/relationships/hyperlink" Target="file:///premium/company/203310" TargetMode="External"/><Relationship Id="rId162" Type="http://schemas.openxmlformats.org/officeDocument/2006/relationships/hyperlink" Target="file:///premium/stock-advisor/risk-rating/current/203093" TargetMode="External"/><Relationship Id="rId218" Type="http://schemas.openxmlformats.org/officeDocument/2006/relationships/hyperlink" Target="file:///premium/stock-advisor/coverage/18/coverage/updates/2016/07/15/toms-recommendation-shopify.aspx" TargetMode="External"/><Relationship Id="rId425" Type="http://schemas.openxmlformats.org/officeDocument/2006/relationships/hyperlink" Target="file:///premium/stock-advisor/risk-rating/current/224977" TargetMode="External"/><Relationship Id="rId467" Type="http://schemas.openxmlformats.org/officeDocument/2006/relationships/hyperlink" Target="file:///premium/stock-advisor/coverage/18/coverage/issues/2011/09/16/davids-recommendation-cummins.aspx" TargetMode="External"/><Relationship Id="rId632" Type="http://schemas.openxmlformats.org/officeDocument/2006/relationships/hyperlink" Target="file:///premium/company/224572" TargetMode="External"/><Relationship Id="rId271" Type="http://schemas.openxmlformats.org/officeDocument/2006/relationships/hyperlink" Target="file:///premium/stock-advisor/risk-rating/current/204773" TargetMode="External"/><Relationship Id="rId674" Type="http://schemas.openxmlformats.org/officeDocument/2006/relationships/hyperlink" Target="file:///premium/stock-advisor/coverage/18/coverage/issues/2006/02/17/02.aspx" TargetMode="External"/><Relationship Id="rId24" Type="http://schemas.openxmlformats.org/officeDocument/2006/relationships/hyperlink" Target="file:///premium/company/204614" TargetMode="External"/><Relationship Id="rId66" Type="http://schemas.openxmlformats.org/officeDocument/2006/relationships/hyperlink" Target="file:///premium/stock-advisor/coverage/18/coverage/updates/2019/02/07/buy-appian.aspx" TargetMode="External"/><Relationship Id="rId131" Type="http://schemas.openxmlformats.org/officeDocument/2006/relationships/hyperlink" Target="file:///premium/company/339040" TargetMode="External"/><Relationship Id="rId327" Type="http://schemas.openxmlformats.org/officeDocument/2006/relationships/hyperlink" Target="file:///premium/stock-advisor/coverage/18/coverage/updates/2014/08/15/toms-recommendation-the-priceline-group.aspx" TargetMode="External"/><Relationship Id="rId369" Type="http://schemas.openxmlformats.org/officeDocument/2006/relationships/hyperlink" Target="file:///premium/stock-advisor/coverage/18/coverage/issues/2013/09/20/toms-recommendation-under-armour.aspx" TargetMode="External"/><Relationship Id="rId534" Type="http://schemas.openxmlformats.org/officeDocument/2006/relationships/hyperlink" Target="file:///premium/stock-advisor/risk-rating/current/204765" TargetMode="External"/><Relationship Id="rId576" Type="http://schemas.openxmlformats.org/officeDocument/2006/relationships/hyperlink" Target="file:///premium/stock-advisor/coverage/18/coverage/issues/2009/01/16/recommendation-national-instruments.aspx" TargetMode="External"/><Relationship Id="rId741" Type="http://schemas.openxmlformats.org/officeDocument/2006/relationships/hyperlink" Target="file:///premium/company/205413" TargetMode="External"/><Relationship Id="rId783" Type="http://schemas.openxmlformats.org/officeDocument/2006/relationships/hyperlink" Target="file:///premium/company/205890" TargetMode="External"/><Relationship Id="rId173" Type="http://schemas.openxmlformats.org/officeDocument/2006/relationships/hyperlink" Target="file:///premium/stock-advisor/coverage/18/coverage/updates/2017/04/21/buy-marriott-international.aspx" TargetMode="External"/><Relationship Id="rId229" Type="http://schemas.openxmlformats.org/officeDocument/2006/relationships/hyperlink" Target="file:///premium/company/206602" TargetMode="External"/><Relationship Id="rId380" Type="http://schemas.openxmlformats.org/officeDocument/2006/relationships/hyperlink" Target="file:///premium/company/209277" TargetMode="External"/><Relationship Id="rId436" Type="http://schemas.openxmlformats.org/officeDocument/2006/relationships/hyperlink" Target="file:///premium/stock-advisor/coverage/18/coverage/issues/2012/05/16/davids-recommendation-lkq.aspx" TargetMode="External"/><Relationship Id="rId601" Type="http://schemas.openxmlformats.org/officeDocument/2006/relationships/hyperlink" Target="file:///premium/company/209112" TargetMode="External"/><Relationship Id="rId643" Type="http://schemas.openxmlformats.org/officeDocument/2006/relationships/hyperlink" Target="file:///premium/company/204228" TargetMode="External"/><Relationship Id="rId240" Type="http://schemas.openxmlformats.org/officeDocument/2006/relationships/hyperlink" Target="file:///premium/company/204015" TargetMode="External"/><Relationship Id="rId478" Type="http://schemas.openxmlformats.org/officeDocument/2006/relationships/hyperlink" Target="file:///premium/company/202686" TargetMode="External"/><Relationship Id="rId685" Type="http://schemas.openxmlformats.org/officeDocument/2006/relationships/hyperlink" Target="file:///premium/company/202916" TargetMode="External"/><Relationship Id="rId35" Type="http://schemas.openxmlformats.org/officeDocument/2006/relationships/hyperlink" Target="file:///premium/stock-advisor/risk-rating/current/204140" TargetMode="External"/><Relationship Id="rId77" Type="http://schemas.openxmlformats.org/officeDocument/2006/relationships/hyperlink" Target="file:///premium/company/209277" TargetMode="External"/><Relationship Id="rId100" Type="http://schemas.openxmlformats.org/officeDocument/2006/relationships/hyperlink" Target="file:///premium/stock-advisor/risk-rating/current/205221" TargetMode="External"/><Relationship Id="rId282" Type="http://schemas.openxmlformats.org/officeDocument/2006/relationships/hyperlink" Target="file:///premium/stock-advisor/coverage/18/coverage/updates/2015/06/19/davids-re-recommendation-fireeye.aspx" TargetMode="External"/><Relationship Id="rId338" Type="http://schemas.openxmlformats.org/officeDocument/2006/relationships/hyperlink" Target="file:///premium/company/205418" TargetMode="External"/><Relationship Id="rId503" Type="http://schemas.openxmlformats.org/officeDocument/2006/relationships/hyperlink" Target="file:///premium/company/205019" TargetMode="External"/><Relationship Id="rId545" Type="http://schemas.openxmlformats.org/officeDocument/2006/relationships/hyperlink" Target="file:///premium/company/203490" TargetMode="External"/><Relationship Id="rId587" Type="http://schemas.openxmlformats.org/officeDocument/2006/relationships/hyperlink" Target="file:///premium/company/206628" TargetMode="External"/><Relationship Id="rId710" Type="http://schemas.openxmlformats.org/officeDocument/2006/relationships/hyperlink" Target="file:///premium/company/204969" TargetMode="External"/><Relationship Id="rId752" Type="http://schemas.openxmlformats.org/officeDocument/2006/relationships/hyperlink" Target="file:///premium/company/202921" TargetMode="External"/><Relationship Id="rId808" Type="http://schemas.openxmlformats.org/officeDocument/2006/relationships/hyperlink" Target="file:///premium/company/204405" TargetMode="External"/><Relationship Id="rId8" Type="http://schemas.openxmlformats.org/officeDocument/2006/relationships/hyperlink" Target="file:///premium/stock-advisor/coverage/18/coverage/updates/2020/01/16/buy-nice.aspx" TargetMode="External"/><Relationship Id="rId142" Type="http://schemas.openxmlformats.org/officeDocument/2006/relationships/hyperlink" Target="file:///premium/stock-advisor/risk-rating/current/203141" TargetMode="External"/><Relationship Id="rId184" Type="http://schemas.openxmlformats.org/officeDocument/2006/relationships/hyperlink" Target="file:///premium/company/203015" TargetMode="External"/><Relationship Id="rId391" Type="http://schemas.openxmlformats.org/officeDocument/2006/relationships/hyperlink" Target="file:///premium/company/209182" TargetMode="External"/><Relationship Id="rId405" Type="http://schemas.openxmlformats.org/officeDocument/2006/relationships/hyperlink" Target="file:///premium/company/206607" TargetMode="External"/><Relationship Id="rId447" Type="http://schemas.openxmlformats.org/officeDocument/2006/relationships/hyperlink" Target="file:///premium/company/250030" TargetMode="External"/><Relationship Id="rId612" Type="http://schemas.openxmlformats.org/officeDocument/2006/relationships/hyperlink" Target="file:///premium/stock-advisor/coverage/18/coverage/issues/2008/01/18/recommendation-apple.aspx" TargetMode="External"/><Relationship Id="rId794" Type="http://schemas.openxmlformats.org/officeDocument/2006/relationships/hyperlink" Target="file:///premium/company/202876" TargetMode="External"/><Relationship Id="rId251" Type="http://schemas.openxmlformats.org/officeDocument/2006/relationships/hyperlink" Target="file:///premium/stock-advisor/risk-rating/current/206540" TargetMode="External"/><Relationship Id="rId489" Type="http://schemas.openxmlformats.org/officeDocument/2006/relationships/hyperlink" Target="file:///premium/company/205822" TargetMode="External"/><Relationship Id="rId654" Type="http://schemas.openxmlformats.org/officeDocument/2006/relationships/hyperlink" Target="file:///premium/company/206628" TargetMode="External"/><Relationship Id="rId696" Type="http://schemas.openxmlformats.org/officeDocument/2006/relationships/hyperlink" Target="file:///premium/company/224024" TargetMode="External"/><Relationship Id="rId46" Type="http://schemas.openxmlformats.org/officeDocument/2006/relationships/hyperlink" Target="file:///premium/stock-advisor/coverage/18/coverage/updates/2019/06/06/buy-healthequity.aspx" TargetMode="External"/><Relationship Id="rId293" Type="http://schemas.openxmlformats.org/officeDocument/2006/relationships/hyperlink" Target="file:///premium/stock-advisor/coverage/18/coverage/updates/2015/03/20/davids-recommendation-restoration-hardware-holding.aspx" TargetMode="External"/><Relationship Id="rId307" Type="http://schemas.openxmlformats.org/officeDocument/2006/relationships/hyperlink" Target="file:///premium/stock-advisor/coverage/18/coverage/updates/2014/12/19/toms-re-recommendation-interactive-brokers.aspx" TargetMode="External"/><Relationship Id="rId349" Type="http://schemas.openxmlformats.org/officeDocument/2006/relationships/hyperlink" Target="file:///premium/stock-advisor/coverage/18/coverage/issues/2014/03/21/davids-recommendation.aspx" TargetMode="External"/><Relationship Id="rId514" Type="http://schemas.openxmlformats.org/officeDocument/2006/relationships/hyperlink" Target="file:///premium/stock-advisor/coverage/18/coverage/issues/2010/07/16/recommendation-nike.aspx" TargetMode="External"/><Relationship Id="rId556" Type="http://schemas.openxmlformats.org/officeDocument/2006/relationships/hyperlink" Target="file:///premium/company/202723" TargetMode="External"/><Relationship Id="rId721" Type="http://schemas.openxmlformats.org/officeDocument/2006/relationships/hyperlink" Target="file:///premium/company/205439" TargetMode="External"/><Relationship Id="rId763" Type="http://schemas.openxmlformats.org/officeDocument/2006/relationships/hyperlink" Target="file:///premium/company/341858" TargetMode="External"/><Relationship Id="rId88" Type="http://schemas.openxmlformats.org/officeDocument/2006/relationships/hyperlink" Target="file:///premium/stock-advisor/coverage/18/coverage/updates/2018/09/20/buy-union-pacific.aspx" TargetMode="External"/><Relationship Id="rId111" Type="http://schemas.openxmlformats.org/officeDocument/2006/relationships/hyperlink" Target="file:///premium/stock-advisor/coverage/18/coverage/updates/2018/05/03/buy-shopify.aspx" TargetMode="External"/><Relationship Id="rId153" Type="http://schemas.openxmlformats.org/officeDocument/2006/relationships/hyperlink" Target="file:///premium/stock-advisor/coverage/18/coverage/updates/2017/08/18/why-you-should-buy-grand-canyon-education.aspx" TargetMode="External"/><Relationship Id="rId195" Type="http://schemas.openxmlformats.org/officeDocument/2006/relationships/hyperlink" Target="file:///premium/stock-advisor/coverage/18/coverage/updates/2016/12/16/davids-recommendation-masimo.aspx" TargetMode="External"/><Relationship Id="rId209" Type="http://schemas.openxmlformats.org/officeDocument/2006/relationships/hyperlink" Target="file:///premium/company/205374" TargetMode="External"/><Relationship Id="rId360" Type="http://schemas.openxmlformats.org/officeDocument/2006/relationships/hyperlink" Target="file:///premium/stock-advisor/risk-rating/current/224236" TargetMode="External"/><Relationship Id="rId416" Type="http://schemas.openxmlformats.org/officeDocument/2006/relationships/hyperlink" Target="file:///premium/stock-advisor/risk-rating/current/202957" TargetMode="External"/><Relationship Id="rId598" Type="http://schemas.openxmlformats.org/officeDocument/2006/relationships/hyperlink" Target="file:///premium/company/202686" TargetMode="External"/><Relationship Id="rId220" Type="http://schemas.openxmlformats.org/officeDocument/2006/relationships/hyperlink" Target="file:///premium/stock-advisor/coverage/18/coverage/updates/2016/07/15/davids-recommendation-t-mobile.aspx" TargetMode="External"/><Relationship Id="rId458" Type="http://schemas.openxmlformats.org/officeDocument/2006/relationships/hyperlink" Target="file:///premium/stock-advisor/coverage/18/coverage/issues/2011/11/18/davids-recommendation-starbucks.aspx" TargetMode="External"/><Relationship Id="rId623" Type="http://schemas.openxmlformats.org/officeDocument/2006/relationships/hyperlink" Target="file:///premium/company/224034" TargetMode="External"/><Relationship Id="rId665" Type="http://schemas.openxmlformats.org/officeDocument/2006/relationships/hyperlink" Target="file:///premium/stock-advisor/coverage/18/coverage/issues/2006/06/16/04.aspx" TargetMode="External"/><Relationship Id="rId15" Type="http://schemas.openxmlformats.org/officeDocument/2006/relationships/hyperlink" Target="file:///premium/stock-advisor/risk-rating/current/202715" TargetMode="External"/><Relationship Id="rId57" Type="http://schemas.openxmlformats.org/officeDocument/2006/relationships/hyperlink" Target="file:///premium/company/335406" TargetMode="External"/><Relationship Id="rId262" Type="http://schemas.openxmlformats.org/officeDocument/2006/relationships/hyperlink" Target="file:///premium/stock-advisor/coverage/18/coverage/updates/2015/10/16/toms-recommendation-roper-technologies.aspx" TargetMode="External"/><Relationship Id="rId318" Type="http://schemas.openxmlformats.org/officeDocument/2006/relationships/hyperlink" Target="file:///premium/company/204501" TargetMode="External"/><Relationship Id="rId525" Type="http://schemas.openxmlformats.org/officeDocument/2006/relationships/hyperlink" Target="file:///premium/company/205361" TargetMode="External"/><Relationship Id="rId567" Type="http://schemas.openxmlformats.org/officeDocument/2006/relationships/hyperlink" Target="file:///premium/company/206026" TargetMode="External"/><Relationship Id="rId732" Type="http://schemas.openxmlformats.org/officeDocument/2006/relationships/hyperlink" Target="file:///premium/stock-advisor/risk-rating/current/204130" TargetMode="External"/><Relationship Id="rId99" Type="http://schemas.openxmlformats.org/officeDocument/2006/relationships/hyperlink" Target="file:///premium/company/205221" TargetMode="External"/><Relationship Id="rId122" Type="http://schemas.openxmlformats.org/officeDocument/2006/relationships/hyperlink" Target="file:///premium/stock-advisor/risk-rating/current/203213" TargetMode="External"/><Relationship Id="rId164" Type="http://schemas.openxmlformats.org/officeDocument/2006/relationships/hyperlink" Target="file:///premium/company/289026" TargetMode="External"/><Relationship Id="rId371" Type="http://schemas.openxmlformats.org/officeDocument/2006/relationships/hyperlink" Target="file:///premium/company/205614" TargetMode="External"/><Relationship Id="rId774" Type="http://schemas.openxmlformats.org/officeDocument/2006/relationships/hyperlink" Target="file:///premium/company/205178" TargetMode="External"/><Relationship Id="rId427" Type="http://schemas.openxmlformats.org/officeDocument/2006/relationships/hyperlink" Target="file:///premium/stock-advisor/coverage/18/coverage/issues/2012/07/20/davids-recommendation-transdigm-group.aspx" TargetMode="External"/><Relationship Id="rId469" Type="http://schemas.openxmlformats.org/officeDocument/2006/relationships/hyperlink" Target="file:///premium/stock-advisor/risk-rating/current/203143" TargetMode="External"/><Relationship Id="rId634" Type="http://schemas.openxmlformats.org/officeDocument/2006/relationships/hyperlink" Target="file:///premium/company/206602" TargetMode="External"/><Relationship Id="rId676" Type="http://schemas.openxmlformats.org/officeDocument/2006/relationships/hyperlink" Target="file:///premium/stock-advisor/risk-rating/current/205374" TargetMode="External"/><Relationship Id="rId26" Type="http://schemas.openxmlformats.org/officeDocument/2006/relationships/hyperlink" Target="file:///premium/stock-advisor/coverage/18/coverage/updates/2019/10/03/buy-zoom-video-communications.aspx" TargetMode="External"/><Relationship Id="rId231" Type="http://schemas.openxmlformats.org/officeDocument/2006/relationships/hyperlink" Target="file:///premium/company/205591" TargetMode="External"/><Relationship Id="rId273" Type="http://schemas.openxmlformats.org/officeDocument/2006/relationships/hyperlink" Target="file:///premium/company/204606" TargetMode="External"/><Relationship Id="rId329" Type="http://schemas.openxmlformats.org/officeDocument/2006/relationships/hyperlink" Target="file:///premium/stock-advisor/coverage/18/coverage/updates/2014/08/15/davids-re-recommendation-sierra-wireless.aspx" TargetMode="External"/><Relationship Id="rId480" Type="http://schemas.openxmlformats.org/officeDocument/2006/relationships/hyperlink" Target="file:///premium/company/217376" TargetMode="External"/><Relationship Id="rId536" Type="http://schemas.openxmlformats.org/officeDocument/2006/relationships/hyperlink" Target="file:///premium/company/203264" TargetMode="External"/><Relationship Id="rId701" Type="http://schemas.openxmlformats.org/officeDocument/2006/relationships/hyperlink" Target="file:///premium/company/224024" TargetMode="External"/><Relationship Id="rId68" Type="http://schemas.openxmlformats.org/officeDocument/2006/relationships/hyperlink" Target="file:///premium/stock-advisor/coverage/18/coverage/updates/2019/01/17/buy-hawaiian-holdings.aspx" TargetMode="External"/><Relationship Id="rId133" Type="http://schemas.openxmlformats.org/officeDocument/2006/relationships/hyperlink" Target="file:///premium/stock-advisor/coverage/18/coverage/updates/toms-recommendation-dec17.aspx" TargetMode="External"/><Relationship Id="rId175" Type="http://schemas.openxmlformats.org/officeDocument/2006/relationships/hyperlink" Target="file:///premium/stock-advisor/coverage/18/coverage/updates/2017/04/21/buy-fortinet.aspx" TargetMode="External"/><Relationship Id="rId340" Type="http://schemas.openxmlformats.org/officeDocument/2006/relationships/hyperlink" Target="file:///premium/company/203093" TargetMode="External"/><Relationship Id="rId578" Type="http://schemas.openxmlformats.org/officeDocument/2006/relationships/hyperlink" Target="file:///premium/company/250179" TargetMode="External"/><Relationship Id="rId743" Type="http://schemas.openxmlformats.org/officeDocument/2006/relationships/hyperlink" Target="file:///premium/company/205637" TargetMode="External"/><Relationship Id="rId785" Type="http://schemas.openxmlformats.org/officeDocument/2006/relationships/hyperlink" Target="file:///premium/company/203310" TargetMode="External"/><Relationship Id="rId200" Type="http://schemas.openxmlformats.org/officeDocument/2006/relationships/hyperlink" Target="file:///premium/stock-advisor/coverage/18/coverage/updates/2016/11/18/davids-recommendation-jetblue-airways.aspx" TargetMode="External"/><Relationship Id="rId382" Type="http://schemas.openxmlformats.org/officeDocument/2006/relationships/hyperlink" Target="file:///premium/company/204654" TargetMode="External"/><Relationship Id="rId438" Type="http://schemas.openxmlformats.org/officeDocument/2006/relationships/hyperlink" Target="file:///premium/stock-advisor/risk-rating/current/204327" TargetMode="External"/><Relationship Id="rId603" Type="http://schemas.openxmlformats.org/officeDocument/2006/relationships/hyperlink" Target="file:///premium/company/204579" TargetMode="External"/><Relationship Id="rId645" Type="http://schemas.openxmlformats.org/officeDocument/2006/relationships/hyperlink" Target="file:///premium/stock-advisor/risk-rating/current/220650" TargetMode="External"/><Relationship Id="rId687" Type="http://schemas.openxmlformats.org/officeDocument/2006/relationships/hyperlink" Target="file:///premium/company/203779" TargetMode="External"/><Relationship Id="rId810" Type="http://schemas.openxmlformats.org/officeDocument/2006/relationships/table" Target="../tables/table1.xml"/><Relationship Id="rId242" Type="http://schemas.openxmlformats.org/officeDocument/2006/relationships/hyperlink" Target="file:///premium/stock-advisor/coverage/18/coverage/updates/2016/02/19/toms-re-recommendation-alphabet.aspx" TargetMode="External"/><Relationship Id="rId284" Type="http://schemas.openxmlformats.org/officeDocument/2006/relationships/hyperlink" Target="file:///premium/stock-advisor/risk-rating/current/288390" TargetMode="External"/><Relationship Id="rId491" Type="http://schemas.openxmlformats.org/officeDocument/2006/relationships/hyperlink" Target="file:///premium/company/205669" TargetMode="External"/><Relationship Id="rId505" Type="http://schemas.openxmlformats.org/officeDocument/2006/relationships/hyperlink" Target="file:///premium/company/204370" TargetMode="External"/><Relationship Id="rId712" Type="http://schemas.openxmlformats.org/officeDocument/2006/relationships/hyperlink" Target="file:///premium/company/204654" TargetMode="External"/><Relationship Id="rId37" Type="http://schemas.openxmlformats.org/officeDocument/2006/relationships/hyperlink" Target="file:///premium/company/340523" TargetMode="External"/><Relationship Id="rId79" Type="http://schemas.openxmlformats.org/officeDocument/2006/relationships/hyperlink" Target="file:///premium/company/206223" TargetMode="External"/><Relationship Id="rId102" Type="http://schemas.openxmlformats.org/officeDocument/2006/relationships/hyperlink" Target="file:///premium/company/339616" TargetMode="External"/><Relationship Id="rId144" Type="http://schemas.openxmlformats.org/officeDocument/2006/relationships/hyperlink" Target="file:///premium/company/338635" TargetMode="External"/><Relationship Id="rId547" Type="http://schemas.openxmlformats.org/officeDocument/2006/relationships/hyperlink" Target="file:///premium/stock-advisor/coverage/18/coverage/issues/2009/10/16/hasbro.aspx" TargetMode="External"/><Relationship Id="rId589" Type="http://schemas.openxmlformats.org/officeDocument/2006/relationships/hyperlink" Target="file:///premium/company/202876" TargetMode="External"/><Relationship Id="rId754" Type="http://schemas.openxmlformats.org/officeDocument/2006/relationships/hyperlink" Target="file:///premium/company/223284" TargetMode="External"/><Relationship Id="rId796" Type="http://schemas.openxmlformats.org/officeDocument/2006/relationships/hyperlink" Target="file:///premium/company/202803" TargetMode="External"/><Relationship Id="rId90" Type="http://schemas.openxmlformats.org/officeDocument/2006/relationships/hyperlink" Target="file:///premium/stock-advisor/risk-rating/current/205900" TargetMode="External"/><Relationship Id="rId186" Type="http://schemas.openxmlformats.org/officeDocument/2006/relationships/hyperlink" Target="file:///premium/company/205811" TargetMode="External"/><Relationship Id="rId351" Type="http://schemas.openxmlformats.org/officeDocument/2006/relationships/hyperlink" Target="file:///premium/stock-advisor/risk-rating/current/204290" TargetMode="External"/><Relationship Id="rId393" Type="http://schemas.openxmlformats.org/officeDocument/2006/relationships/hyperlink" Target="file:///premium/stock-advisor/coverage/18/coverage/issues/2013/03/15/toms-recommendation.aspx" TargetMode="External"/><Relationship Id="rId407" Type="http://schemas.openxmlformats.org/officeDocument/2006/relationships/hyperlink" Target="file:///premium/stock-advisor/coverage/18/coverage/issues/2012/11/16/toms-recommendation-tesla-motors.aspx" TargetMode="External"/><Relationship Id="rId449" Type="http://schemas.openxmlformats.org/officeDocument/2006/relationships/hyperlink" Target="file:///premium/stock-advisor/coverage/18/coverage/issues/2012/01/20/toms-recommendation-ulta.aspx" TargetMode="External"/><Relationship Id="rId614" Type="http://schemas.openxmlformats.org/officeDocument/2006/relationships/hyperlink" Target="file:///premium/stock-advisor/risk-rating/current/202686" TargetMode="External"/><Relationship Id="rId656" Type="http://schemas.openxmlformats.org/officeDocument/2006/relationships/hyperlink" Target="file:///premium/company/204654" TargetMode="External"/><Relationship Id="rId211" Type="http://schemas.openxmlformats.org/officeDocument/2006/relationships/hyperlink" Target="file:///premium/company/202783" TargetMode="External"/><Relationship Id="rId253" Type="http://schemas.openxmlformats.org/officeDocument/2006/relationships/hyperlink" Target="file:///premium/company/224977" TargetMode="External"/><Relationship Id="rId295" Type="http://schemas.openxmlformats.org/officeDocument/2006/relationships/hyperlink" Target="file:///premium/stock-advisor/risk-rating/current/273742" TargetMode="External"/><Relationship Id="rId309" Type="http://schemas.openxmlformats.org/officeDocument/2006/relationships/hyperlink" Target="file:///premium/stock-advisor/coverage/18/coverage/updates/2014/12/19/davids-re-recommendation-activision-blizzard.aspx" TargetMode="External"/><Relationship Id="rId460" Type="http://schemas.openxmlformats.org/officeDocument/2006/relationships/hyperlink" Target="file:///premium/stock-advisor/risk-rating/current/205374" TargetMode="External"/><Relationship Id="rId516" Type="http://schemas.openxmlformats.org/officeDocument/2006/relationships/hyperlink" Target="file:///premium/company/206607" TargetMode="External"/><Relationship Id="rId698" Type="http://schemas.openxmlformats.org/officeDocument/2006/relationships/hyperlink" Target="file:///premium/stock-advisor/coverage/18/coverage/issues/2005/04/01/page_04.aspx" TargetMode="External"/><Relationship Id="rId48" Type="http://schemas.openxmlformats.org/officeDocument/2006/relationships/hyperlink" Target="file:///premium/stock-advisor/coverage/18/coverage/updates/2019/05/16/buy-synopsys.aspx" TargetMode="External"/><Relationship Id="rId113" Type="http://schemas.openxmlformats.org/officeDocument/2006/relationships/hyperlink" Target="file:///premium/stock-advisor/coverage/18/coverage/updates/2018/04/20/buy-shopify.aspx" TargetMode="External"/><Relationship Id="rId320" Type="http://schemas.openxmlformats.org/officeDocument/2006/relationships/hyperlink" Target="file:///premium/company/204497" TargetMode="External"/><Relationship Id="rId558" Type="http://schemas.openxmlformats.org/officeDocument/2006/relationships/hyperlink" Target="file:///premium/company/335396" TargetMode="External"/><Relationship Id="rId723" Type="http://schemas.openxmlformats.org/officeDocument/2006/relationships/hyperlink" Target="file:///premium/company/203761" TargetMode="External"/><Relationship Id="rId765" Type="http://schemas.openxmlformats.org/officeDocument/2006/relationships/hyperlink" Target="file:///premium/company/203252" TargetMode="External"/><Relationship Id="rId155" Type="http://schemas.openxmlformats.org/officeDocument/2006/relationships/hyperlink" Target="file:///premium/stock-advisor/coverage/18/coverage/updates/2017/08/18/why-you-should-buy-jdcom.aspx" TargetMode="External"/><Relationship Id="rId197" Type="http://schemas.openxmlformats.org/officeDocument/2006/relationships/hyperlink" Target="file:///premium/stock-advisor/risk-rating/current/216501" TargetMode="External"/><Relationship Id="rId362" Type="http://schemas.openxmlformats.org/officeDocument/2006/relationships/hyperlink" Target="file:///premium/company/288540" TargetMode="External"/><Relationship Id="rId418" Type="http://schemas.openxmlformats.org/officeDocument/2006/relationships/hyperlink" Target="file:///premium/company/215669" TargetMode="External"/><Relationship Id="rId625" Type="http://schemas.openxmlformats.org/officeDocument/2006/relationships/hyperlink" Target="file:///premium/company/203187" TargetMode="External"/><Relationship Id="rId222" Type="http://schemas.openxmlformats.org/officeDocument/2006/relationships/hyperlink" Target="file:///premium/stock-advisor/risk-rating/current/204949" TargetMode="External"/><Relationship Id="rId264" Type="http://schemas.openxmlformats.org/officeDocument/2006/relationships/hyperlink" Target="file:///premium/stock-advisor/coverage/18/coverage/updates/2015/10/16/davids-recommendation-dsw.aspx" TargetMode="External"/><Relationship Id="rId471" Type="http://schemas.openxmlformats.org/officeDocument/2006/relationships/hyperlink" Target="file:///premium/company/203758" TargetMode="External"/><Relationship Id="rId667" Type="http://schemas.openxmlformats.org/officeDocument/2006/relationships/hyperlink" Target="file:///premium/stock-advisor/risk-rating/current/204654" TargetMode="External"/><Relationship Id="rId17" Type="http://schemas.openxmlformats.org/officeDocument/2006/relationships/hyperlink" Target="file:///premium/company/317364" TargetMode="External"/><Relationship Id="rId59" Type="http://schemas.openxmlformats.org/officeDocument/2006/relationships/hyperlink" Target="file:///premium/company/203810" TargetMode="External"/><Relationship Id="rId124" Type="http://schemas.openxmlformats.org/officeDocument/2006/relationships/hyperlink" Target="file:///premium/company/288853" TargetMode="External"/><Relationship Id="rId527" Type="http://schemas.openxmlformats.org/officeDocument/2006/relationships/hyperlink" Target="file:///premium/company/206414" TargetMode="External"/><Relationship Id="rId569" Type="http://schemas.openxmlformats.org/officeDocument/2006/relationships/hyperlink" Target="file:///premium/company/220563" TargetMode="External"/><Relationship Id="rId734" Type="http://schemas.openxmlformats.org/officeDocument/2006/relationships/hyperlink" Target="file:///premium/company/205890" TargetMode="External"/><Relationship Id="rId776" Type="http://schemas.openxmlformats.org/officeDocument/2006/relationships/hyperlink" Target="file:///premium/stock-advisor/risk-rating/current/202876" TargetMode="External"/><Relationship Id="rId70" Type="http://schemas.openxmlformats.org/officeDocument/2006/relationships/hyperlink" Target="file:///premium/stock-advisor/risk-rating/current/203802" TargetMode="External"/><Relationship Id="rId166" Type="http://schemas.openxmlformats.org/officeDocument/2006/relationships/hyperlink" Target="file:///premium/company/205835" TargetMode="External"/><Relationship Id="rId331" Type="http://schemas.openxmlformats.org/officeDocument/2006/relationships/hyperlink" Target="file:///premium/stock-advisor/risk-rating/current/205614" TargetMode="External"/><Relationship Id="rId373" Type="http://schemas.openxmlformats.org/officeDocument/2006/relationships/hyperlink" Target="file:///premium/stock-advisor/coverage/18/coverage/issues/2013/08/16/davids-recommendation.aspx" TargetMode="External"/><Relationship Id="rId429" Type="http://schemas.openxmlformats.org/officeDocument/2006/relationships/hyperlink" Target="file:///premium/stock-advisor/risk-rating/current/208367" TargetMode="External"/><Relationship Id="rId580" Type="http://schemas.openxmlformats.org/officeDocument/2006/relationships/hyperlink" Target="file:///premium/company/203230" TargetMode="External"/><Relationship Id="rId636" Type="http://schemas.openxmlformats.org/officeDocument/2006/relationships/hyperlink" Target="file:///premium/company/204487" TargetMode="External"/><Relationship Id="rId801" Type="http://schemas.openxmlformats.org/officeDocument/2006/relationships/hyperlink" Target="file:///premium/company/206054" TargetMode="External"/><Relationship Id="rId1" Type="http://schemas.openxmlformats.org/officeDocument/2006/relationships/hyperlink" Target="file:///premium/stock-advisor/coverage/18/coverage/updates/2020/03/05/buy-luckin-coffee.aspx" TargetMode="External"/><Relationship Id="rId233" Type="http://schemas.openxmlformats.org/officeDocument/2006/relationships/hyperlink" Target="file:///premium/stock-advisor/coverage/18/coverage/updates/2016/04/15/davids-recommendation-match-group.aspx" TargetMode="External"/><Relationship Id="rId440" Type="http://schemas.openxmlformats.org/officeDocument/2006/relationships/hyperlink" Target="file:///premium/company/203823" TargetMode="External"/><Relationship Id="rId678" Type="http://schemas.openxmlformats.org/officeDocument/2006/relationships/hyperlink" Target="file:///premium/company/206251" TargetMode="External"/><Relationship Id="rId28" Type="http://schemas.openxmlformats.org/officeDocument/2006/relationships/hyperlink" Target="file:///premium/stock-advisor/coverage/18/coverage/updates/2019/09/19/buy-solaredge-technologies.aspx" TargetMode="External"/><Relationship Id="rId275" Type="http://schemas.openxmlformats.org/officeDocument/2006/relationships/hyperlink" Target="file:///premium/company/317317" TargetMode="External"/><Relationship Id="rId300" Type="http://schemas.openxmlformats.org/officeDocument/2006/relationships/hyperlink" Target="file:///premium/company/288390" TargetMode="External"/><Relationship Id="rId482" Type="http://schemas.openxmlformats.org/officeDocument/2006/relationships/hyperlink" Target="file:///premium/company/207496" TargetMode="External"/><Relationship Id="rId538" Type="http://schemas.openxmlformats.org/officeDocument/2006/relationships/hyperlink" Target="file:///premium/company/215768" TargetMode="External"/><Relationship Id="rId703" Type="http://schemas.openxmlformats.org/officeDocument/2006/relationships/hyperlink" Target="file:///premium/company/204887" TargetMode="External"/><Relationship Id="rId745" Type="http://schemas.openxmlformats.org/officeDocument/2006/relationships/hyperlink" Target="file:///premium/stock-advisor/risk-rating/current/204130" TargetMode="External"/><Relationship Id="rId81" Type="http://schemas.openxmlformats.org/officeDocument/2006/relationships/hyperlink" Target="file:///premium/stock-advisor/coverage/18/coverage/updates/2018/11/01/buy-zscaler.aspx" TargetMode="External"/><Relationship Id="rId135" Type="http://schemas.openxmlformats.org/officeDocument/2006/relationships/hyperlink" Target="file:///premium/stock-advisor/coverage/18/coverage/updates/davids-recommendation-dec17.aspx" TargetMode="External"/><Relationship Id="rId177" Type="http://schemas.openxmlformats.org/officeDocument/2006/relationships/hyperlink" Target="file:///premium/stock-advisor/risk-rating/current/223521" TargetMode="External"/><Relationship Id="rId342" Type="http://schemas.openxmlformats.org/officeDocument/2006/relationships/hyperlink" Target="file:///premium/stock-advisor/risk-rating/current/338803" TargetMode="External"/><Relationship Id="rId384" Type="http://schemas.openxmlformats.org/officeDocument/2006/relationships/hyperlink" Target="file:///premium/stock-advisor/coverage/18/coverage/issues/2013/05/17/davids-recommendation.aspx" TargetMode="External"/><Relationship Id="rId591" Type="http://schemas.openxmlformats.org/officeDocument/2006/relationships/hyperlink" Target="file:///premium/company/204947" TargetMode="External"/><Relationship Id="rId605" Type="http://schemas.openxmlformats.org/officeDocument/2006/relationships/hyperlink" Target="file:///premium/stock-advisor/coverage/18/coverage/issues/2008/03/20/recommendation-sherwin-williams.aspx" TargetMode="External"/><Relationship Id="rId787" Type="http://schemas.openxmlformats.org/officeDocument/2006/relationships/hyperlink" Target="file:///premium/company/206039" TargetMode="External"/><Relationship Id="rId202" Type="http://schemas.openxmlformats.org/officeDocument/2006/relationships/hyperlink" Target="file:///premium/stock-advisor/risk-rating/current/204130" TargetMode="External"/><Relationship Id="rId244" Type="http://schemas.openxmlformats.org/officeDocument/2006/relationships/hyperlink" Target="file:///premium/stock-advisor/coverage/18/coverage/updates/2016/02/19/davids-recommendation-natus-medical.aspx" TargetMode="External"/><Relationship Id="rId647" Type="http://schemas.openxmlformats.org/officeDocument/2006/relationships/hyperlink" Target="file:///premium/stock-advisor/coverage/18/coverage/issues/2006/12/15/04.aspx" TargetMode="External"/><Relationship Id="rId689" Type="http://schemas.openxmlformats.org/officeDocument/2006/relationships/hyperlink" Target="file:///premium/company/206054" TargetMode="External"/><Relationship Id="rId39" Type="http://schemas.openxmlformats.org/officeDocument/2006/relationships/hyperlink" Target="file:///premium/company/270875" TargetMode="External"/><Relationship Id="rId286" Type="http://schemas.openxmlformats.org/officeDocument/2006/relationships/hyperlink" Target="file:///premium/company/206324" TargetMode="External"/><Relationship Id="rId451" Type="http://schemas.openxmlformats.org/officeDocument/2006/relationships/hyperlink" Target="file:///premium/stock-advisor/coverage/18/coverage/issues/2012/01/20/davids-recommendation-3d-systems.aspx" TargetMode="External"/><Relationship Id="rId493" Type="http://schemas.openxmlformats.org/officeDocument/2006/relationships/hyperlink" Target="file:///premium/company/205780" TargetMode="External"/><Relationship Id="rId507" Type="http://schemas.openxmlformats.org/officeDocument/2006/relationships/hyperlink" Target="file:///premium/company/203737" TargetMode="External"/><Relationship Id="rId549" Type="http://schemas.openxmlformats.org/officeDocument/2006/relationships/hyperlink" Target="file:///premium/stock-advisor/risk-rating/current/203809" TargetMode="External"/><Relationship Id="rId714" Type="http://schemas.openxmlformats.org/officeDocument/2006/relationships/hyperlink" Target="file:///premium/company/205822" TargetMode="External"/><Relationship Id="rId756" Type="http://schemas.openxmlformats.org/officeDocument/2006/relationships/hyperlink" Target="file:///premium/stock-advisor/risk-rating/current/203416" TargetMode="External"/><Relationship Id="rId50" Type="http://schemas.openxmlformats.org/officeDocument/2006/relationships/hyperlink" Target="file:///premium/stock-advisor/risk-rating/current/205499" TargetMode="External"/><Relationship Id="rId104" Type="http://schemas.openxmlformats.org/officeDocument/2006/relationships/hyperlink" Target="file:///premium/company/202804" TargetMode="External"/><Relationship Id="rId146" Type="http://schemas.openxmlformats.org/officeDocument/2006/relationships/hyperlink" Target="file:///premium/company/225073" TargetMode="External"/><Relationship Id="rId188" Type="http://schemas.openxmlformats.org/officeDocument/2006/relationships/hyperlink" Target="file:///premium/stock-advisor/coverage/18/coverage/updates/2017/01/20/toms-pick-rollins.aspx" TargetMode="External"/><Relationship Id="rId311" Type="http://schemas.openxmlformats.org/officeDocument/2006/relationships/hyperlink" Target="file:///premium/stock-advisor/risk-rating/current/202876" TargetMode="External"/><Relationship Id="rId353" Type="http://schemas.openxmlformats.org/officeDocument/2006/relationships/hyperlink" Target="file:///premium/stock-advisor/coverage/18/coverage/issues/2014/02/21/davids-recommendation-cvs-caremark.aspx" TargetMode="External"/><Relationship Id="rId395" Type="http://schemas.openxmlformats.org/officeDocument/2006/relationships/hyperlink" Target="file:///premium/stock-advisor/coverage/18/coverage/issues/2013/03/15/davids-recommendation.aspx" TargetMode="External"/><Relationship Id="rId409" Type="http://schemas.openxmlformats.org/officeDocument/2006/relationships/hyperlink" Target="file:///premium/stock-advisor/coverage/18/coverage/issues/2012/11/16/davids-recommendation-intuit.aspx" TargetMode="External"/><Relationship Id="rId560" Type="http://schemas.openxmlformats.org/officeDocument/2006/relationships/hyperlink" Target="file:///premium/stock-advisor/risk-rating/current/209081" TargetMode="External"/><Relationship Id="rId798" Type="http://schemas.openxmlformats.org/officeDocument/2006/relationships/hyperlink" Target="file:///premium/company/205832" TargetMode="External"/><Relationship Id="rId92" Type="http://schemas.openxmlformats.org/officeDocument/2006/relationships/hyperlink" Target="file:///premium/company/339616" TargetMode="External"/><Relationship Id="rId213" Type="http://schemas.openxmlformats.org/officeDocument/2006/relationships/hyperlink" Target="file:///premium/stock-advisor/coverage/18/coverage/updates/2016/08/19/toms-re-recommendation-facebook.aspx" TargetMode="External"/><Relationship Id="rId420" Type="http://schemas.openxmlformats.org/officeDocument/2006/relationships/hyperlink" Target="file:///premium/company/206814" TargetMode="External"/><Relationship Id="rId616" Type="http://schemas.openxmlformats.org/officeDocument/2006/relationships/hyperlink" Target="file:///premium/company/206258" TargetMode="External"/><Relationship Id="rId658" Type="http://schemas.openxmlformats.org/officeDocument/2006/relationships/hyperlink" Target="file:///premium/company/203262" TargetMode="External"/><Relationship Id="rId255" Type="http://schemas.openxmlformats.org/officeDocument/2006/relationships/hyperlink" Target="file:///premium/company/204787" TargetMode="External"/><Relationship Id="rId297" Type="http://schemas.openxmlformats.org/officeDocument/2006/relationships/hyperlink" Target="file:///premium/stock-advisor/coverage/18/coverage/updates/2015/02/20/toms-recommendation-facebook.aspx" TargetMode="External"/><Relationship Id="rId462" Type="http://schemas.openxmlformats.org/officeDocument/2006/relationships/hyperlink" Target="file:///premium/company/204962" TargetMode="External"/><Relationship Id="rId518" Type="http://schemas.openxmlformats.org/officeDocument/2006/relationships/hyperlink" Target="file:///premium/stock-advisor/coverage/18/coverage/issues/2010/06/18/toms-top-stock-national-oilwell-varco.aspx" TargetMode="External"/><Relationship Id="rId725" Type="http://schemas.openxmlformats.org/officeDocument/2006/relationships/hyperlink" Target="file:///premium/stock-advisor/risk-rating/current/203310" TargetMode="External"/><Relationship Id="rId115" Type="http://schemas.openxmlformats.org/officeDocument/2006/relationships/hyperlink" Target="file:///premium/stock-advisor/coverage/18/coverage/updates/2018/04/20/buy-okta.aspx" TargetMode="External"/><Relationship Id="rId157" Type="http://schemas.openxmlformats.org/officeDocument/2006/relationships/hyperlink" Target="file:///premium/stock-advisor/risk-rating/current/289112" TargetMode="External"/><Relationship Id="rId322" Type="http://schemas.openxmlformats.org/officeDocument/2006/relationships/hyperlink" Target="file:///premium/stock-advisor/coverage/18/coverage/updates/2014/09/19/toms-recommendation-cognizant-technology-solutions.aspx" TargetMode="External"/><Relationship Id="rId364" Type="http://schemas.openxmlformats.org/officeDocument/2006/relationships/hyperlink" Target="file:///premium/company/288540" TargetMode="External"/><Relationship Id="rId767" Type="http://schemas.openxmlformats.org/officeDocument/2006/relationships/hyperlink" Target="file:///premium/stock-advisor/risk-rating/current/204654" TargetMode="External"/><Relationship Id="rId61" Type="http://schemas.openxmlformats.org/officeDocument/2006/relationships/hyperlink" Target="file:///premium/stock-advisor/coverage/18/coverage/updates/2019/03/07/buy-twilio.aspx" TargetMode="External"/><Relationship Id="rId199" Type="http://schemas.openxmlformats.org/officeDocument/2006/relationships/hyperlink" Target="file:///premium/company/204501" TargetMode="External"/><Relationship Id="rId571" Type="http://schemas.openxmlformats.org/officeDocument/2006/relationships/hyperlink" Target="file:///premium/company/205061" TargetMode="External"/><Relationship Id="rId627" Type="http://schemas.openxmlformats.org/officeDocument/2006/relationships/hyperlink" Target="file:///premium/company/205876" TargetMode="External"/><Relationship Id="rId669" Type="http://schemas.openxmlformats.org/officeDocument/2006/relationships/hyperlink" Target="file:///premium/company/205413" TargetMode="External"/><Relationship Id="rId19" Type="http://schemas.openxmlformats.org/officeDocument/2006/relationships/hyperlink" Target="file:///premium/company/204654" TargetMode="External"/><Relationship Id="rId224" Type="http://schemas.openxmlformats.org/officeDocument/2006/relationships/hyperlink" Target="file:///premium/company/205427" TargetMode="External"/><Relationship Id="rId266" Type="http://schemas.openxmlformats.org/officeDocument/2006/relationships/hyperlink" Target="file:///premium/stock-advisor/risk-rating/current/206447" TargetMode="External"/><Relationship Id="rId431" Type="http://schemas.openxmlformats.org/officeDocument/2006/relationships/hyperlink" Target="file:///premium/company/206799" TargetMode="External"/><Relationship Id="rId473" Type="http://schemas.openxmlformats.org/officeDocument/2006/relationships/hyperlink" Target="file:///premium/company/204138" TargetMode="External"/><Relationship Id="rId529" Type="http://schemas.openxmlformats.org/officeDocument/2006/relationships/hyperlink" Target="file:///premium/company/204370" TargetMode="External"/><Relationship Id="rId680" Type="http://schemas.openxmlformats.org/officeDocument/2006/relationships/hyperlink" Target="file:///premium/company/203761" TargetMode="External"/><Relationship Id="rId736" Type="http://schemas.openxmlformats.org/officeDocument/2006/relationships/hyperlink" Target="file:///premium/company/204946" TargetMode="External"/><Relationship Id="rId30" Type="http://schemas.openxmlformats.org/officeDocument/2006/relationships/hyperlink" Target="file:///premium/stock-advisor/risk-rating/current/335043" TargetMode="External"/><Relationship Id="rId126" Type="http://schemas.openxmlformats.org/officeDocument/2006/relationships/hyperlink" Target="file:///premium/company/222724" TargetMode="External"/><Relationship Id="rId168" Type="http://schemas.openxmlformats.org/officeDocument/2006/relationships/hyperlink" Target="file:///premium/stock-advisor/coverage/18/coverage/updates/2017/05/19/buy-chipotle-mexican-grill.aspx" TargetMode="External"/><Relationship Id="rId333" Type="http://schemas.openxmlformats.org/officeDocument/2006/relationships/hyperlink" Target="file:///premium/company/288605" TargetMode="External"/><Relationship Id="rId540" Type="http://schemas.openxmlformats.org/officeDocument/2006/relationships/hyperlink" Target="file:///premium/company/204770" TargetMode="External"/><Relationship Id="rId778" Type="http://schemas.openxmlformats.org/officeDocument/2006/relationships/hyperlink" Target="file:///premium/stock-advisor/coverage/18/coverage/issues/2003/01/01/page_04.aspx" TargetMode="External"/><Relationship Id="rId72" Type="http://schemas.openxmlformats.org/officeDocument/2006/relationships/hyperlink" Target="file:///premium/company/337034" TargetMode="External"/><Relationship Id="rId375" Type="http://schemas.openxmlformats.org/officeDocument/2006/relationships/hyperlink" Target="file:///premium/stock-advisor/risk-rating/current/206540" TargetMode="External"/><Relationship Id="rId582" Type="http://schemas.openxmlformats.org/officeDocument/2006/relationships/hyperlink" Target="file:///premium/stock-advisor/risk-rating/current/203310" TargetMode="External"/><Relationship Id="rId638" Type="http://schemas.openxmlformats.org/officeDocument/2006/relationships/hyperlink" Target="file:///premium/stock-advisor/coverage/18/coverage/issues/2007/03/16/recommendation-meritage-homes.aspx" TargetMode="External"/><Relationship Id="rId803" Type="http://schemas.openxmlformats.org/officeDocument/2006/relationships/hyperlink" Target="file:///premium/company/206054" TargetMode="External"/><Relationship Id="rId3" Type="http://schemas.openxmlformats.org/officeDocument/2006/relationships/hyperlink" Target="file:///premium/stock-advisor/coverage/18/coverage/updates/2020/02/20/buy-dexcom.aspx" TargetMode="External"/><Relationship Id="rId235" Type="http://schemas.openxmlformats.org/officeDocument/2006/relationships/hyperlink" Target="file:///premium/stock-advisor/risk-rating/current/282545" TargetMode="External"/><Relationship Id="rId277" Type="http://schemas.openxmlformats.org/officeDocument/2006/relationships/hyperlink" Target="file:///premium/company/205856" TargetMode="External"/><Relationship Id="rId400" Type="http://schemas.openxmlformats.org/officeDocument/2006/relationships/hyperlink" Target="file:///premium/company/206054" TargetMode="External"/><Relationship Id="rId442" Type="http://schemas.openxmlformats.org/officeDocument/2006/relationships/hyperlink" Target="file:///premium/stock-advisor/risk-rating/current/203805" TargetMode="External"/><Relationship Id="rId484" Type="http://schemas.openxmlformats.org/officeDocument/2006/relationships/hyperlink" Target="file:///premium/stock-advisor/risk-rating/current/205424" TargetMode="External"/><Relationship Id="rId705" Type="http://schemas.openxmlformats.org/officeDocument/2006/relationships/hyperlink" Target="file:///premium/company/205359" TargetMode="External"/><Relationship Id="rId137" Type="http://schemas.openxmlformats.org/officeDocument/2006/relationships/hyperlink" Target="file:///premium/stock-advisor/risk-rating/current/204587" TargetMode="External"/><Relationship Id="rId302" Type="http://schemas.openxmlformats.org/officeDocument/2006/relationships/hyperlink" Target="file:///premium/stock-advisor/coverage/18/coverage/updates/2015/01/16/toms-recommendation-xpo-logistics.aspx" TargetMode="External"/><Relationship Id="rId344" Type="http://schemas.openxmlformats.org/officeDocument/2006/relationships/hyperlink" Target="file:///premium/stock-advisor/coverage/18/coverage/issues/2014/04/17/toms-recommendation.aspx" TargetMode="External"/><Relationship Id="rId691" Type="http://schemas.openxmlformats.org/officeDocument/2006/relationships/hyperlink" Target="file:///premium/company/206414" TargetMode="External"/><Relationship Id="rId747" Type="http://schemas.openxmlformats.org/officeDocument/2006/relationships/hyperlink" Target="file:///premium/company/203298" TargetMode="External"/><Relationship Id="rId789" Type="http://schemas.openxmlformats.org/officeDocument/2006/relationships/hyperlink" Target="file:///premium/company/204580" TargetMode="External"/><Relationship Id="rId41" Type="http://schemas.openxmlformats.org/officeDocument/2006/relationships/hyperlink" Target="file:///premium/stock-advisor/coverage/18/coverage/updates/2019/07/03/buy-zoom-video-communications.aspx" TargetMode="External"/><Relationship Id="rId83" Type="http://schemas.openxmlformats.org/officeDocument/2006/relationships/hyperlink" Target="file:///premium/stock-advisor/coverage/18/coverage/updates/2018/10/18/buy-amazon.aspx" TargetMode="External"/><Relationship Id="rId179" Type="http://schemas.openxmlformats.org/officeDocument/2006/relationships/hyperlink" Target="file:///premium/company/208450" TargetMode="External"/><Relationship Id="rId386" Type="http://schemas.openxmlformats.org/officeDocument/2006/relationships/hyperlink" Target="file:///premium/stock-advisor/risk-rating/current/204587" TargetMode="External"/><Relationship Id="rId551" Type="http://schemas.openxmlformats.org/officeDocument/2006/relationships/hyperlink" Target="file:///premium/stock-advisor/coverage/18/coverage/issues/2009/09/18/dassault-systemes.aspx" TargetMode="External"/><Relationship Id="rId593" Type="http://schemas.openxmlformats.org/officeDocument/2006/relationships/hyperlink" Target="file:///premium/stock-advisor/coverage/18/coverage/issues/2008/07/18/recommendation-illumina.aspx" TargetMode="External"/><Relationship Id="rId607" Type="http://schemas.openxmlformats.org/officeDocument/2006/relationships/hyperlink" Target="file:///premium/stock-advisor/coverage/18/coverage/issues/2008/03/20/recommendation-canadian-national-railway.aspx" TargetMode="External"/><Relationship Id="rId649" Type="http://schemas.openxmlformats.org/officeDocument/2006/relationships/hyperlink" Target="file:///premium/stock-advisor/risk-rating/current/203564" TargetMode="External"/><Relationship Id="rId190" Type="http://schemas.openxmlformats.org/officeDocument/2006/relationships/hyperlink" Target="file:///premium/stock-advisor/coverage/18/coverage/updates/2017/01/20/davids-pick-nvidia.aspx" TargetMode="External"/><Relationship Id="rId204" Type="http://schemas.openxmlformats.org/officeDocument/2006/relationships/hyperlink" Target="file:///premium/company/204702" TargetMode="External"/><Relationship Id="rId246" Type="http://schemas.openxmlformats.org/officeDocument/2006/relationships/hyperlink" Target="file:///premium/stock-advisor/risk-rating/current/202907" TargetMode="External"/><Relationship Id="rId288" Type="http://schemas.openxmlformats.org/officeDocument/2006/relationships/hyperlink" Target="file:///premium/company/284653" TargetMode="External"/><Relationship Id="rId411" Type="http://schemas.openxmlformats.org/officeDocument/2006/relationships/hyperlink" Target="file:///premium/stock-advisor/risk-rating/current/204037" TargetMode="External"/><Relationship Id="rId453" Type="http://schemas.openxmlformats.org/officeDocument/2006/relationships/hyperlink" Target="file:///premium/stock-advisor/risk-rating/current/206799" TargetMode="External"/><Relationship Id="rId509" Type="http://schemas.openxmlformats.org/officeDocument/2006/relationships/hyperlink" Target="file:///premium/company/205642" TargetMode="External"/><Relationship Id="rId660" Type="http://schemas.openxmlformats.org/officeDocument/2006/relationships/hyperlink" Target="file:///premium/company/207731" TargetMode="External"/><Relationship Id="rId106" Type="http://schemas.openxmlformats.org/officeDocument/2006/relationships/hyperlink" Target="file:///premium/stock-advisor/coverage/18/coverage/updates/2018/06/07/buy-wixcom.aspx" TargetMode="External"/><Relationship Id="rId313" Type="http://schemas.openxmlformats.org/officeDocument/2006/relationships/hyperlink" Target="file:///premium/company/317339" TargetMode="External"/><Relationship Id="rId495" Type="http://schemas.openxmlformats.org/officeDocument/2006/relationships/hyperlink" Target="file:///premium/company/203093" TargetMode="External"/><Relationship Id="rId716" Type="http://schemas.openxmlformats.org/officeDocument/2006/relationships/hyperlink" Target="file:///premium/stock-advisor/risk-rating/current/203415" TargetMode="External"/><Relationship Id="rId758" Type="http://schemas.openxmlformats.org/officeDocument/2006/relationships/hyperlink" Target="file:///premium/company/204175" TargetMode="External"/><Relationship Id="rId10" Type="http://schemas.openxmlformats.org/officeDocument/2006/relationships/hyperlink" Target="file:///premium/stock-advisor/risk-rating/current/207300" TargetMode="External"/><Relationship Id="rId52" Type="http://schemas.openxmlformats.org/officeDocument/2006/relationships/hyperlink" Target="file:///premium/company/288612" TargetMode="External"/><Relationship Id="rId94" Type="http://schemas.openxmlformats.org/officeDocument/2006/relationships/hyperlink" Target="file:///premium/company/202782" TargetMode="External"/><Relationship Id="rId148" Type="http://schemas.openxmlformats.org/officeDocument/2006/relationships/hyperlink" Target="file:///premium/stock-advisor/coverage/18/coverage/updates/2017/09/15/why-you-should-buy-arista-networks.aspx" TargetMode="External"/><Relationship Id="rId355" Type="http://schemas.openxmlformats.org/officeDocument/2006/relationships/hyperlink" Target="file:///premium/stock-advisor/risk-rating/current/203253" TargetMode="External"/><Relationship Id="rId397" Type="http://schemas.openxmlformats.org/officeDocument/2006/relationships/hyperlink" Target="file:///premium/stock-advisor/risk-rating/current/204181" TargetMode="External"/><Relationship Id="rId520" Type="http://schemas.openxmlformats.org/officeDocument/2006/relationships/hyperlink" Target="file:///premium/stock-advisor/coverage/18/coverage/issues/2010/06/18/davids-top-stock-pricelinecom.aspx" TargetMode="External"/><Relationship Id="rId562" Type="http://schemas.openxmlformats.org/officeDocument/2006/relationships/hyperlink" Target="file:///premium/stock-advisor/coverage/18/coverage/issues/2009/06/19/recommendation-interactive-brokers.aspx" TargetMode="External"/><Relationship Id="rId618" Type="http://schemas.openxmlformats.org/officeDocument/2006/relationships/hyperlink" Target="file:///premium/company/204405" TargetMode="External"/><Relationship Id="rId215" Type="http://schemas.openxmlformats.org/officeDocument/2006/relationships/hyperlink" Target="file:///premium/stock-advisor/coverage/18/coverage/updates/2016/08/19/davids-recommendation-match-group-2.aspx" TargetMode="External"/><Relationship Id="rId257" Type="http://schemas.openxmlformats.org/officeDocument/2006/relationships/hyperlink" Target="file:///premium/stock-advisor/coverage/18/coverage/updates/2015/11/20/toms-recommendation-affiliated-managers-group.aspx" TargetMode="External"/><Relationship Id="rId422" Type="http://schemas.openxmlformats.org/officeDocument/2006/relationships/hyperlink" Target="file:///premium/company/204946" TargetMode="External"/><Relationship Id="rId464" Type="http://schemas.openxmlformats.org/officeDocument/2006/relationships/hyperlink" Target="file:///premium/company/205447" TargetMode="External"/><Relationship Id="rId299" Type="http://schemas.openxmlformats.org/officeDocument/2006/relationships/hyperlink" Target="file:///premium/stock-advisor/coverage/18/coverage/updates/2015/02/20/davids-recommendation-fireeye.aspx" TargetMode="External"/><Relationship Id="rId727" Type="http://schemas.openxmlformats.org/officeDocument/2006/relationships/hyperlink" Target="file:///premium/stock-advisor/coverage/18/coverage/issues/2004/07/16/page_02.aspx" TargetMode="External"/><Relationship Id="rId63" Type="http://schemas.openxmlformats.org/officeDocument/2006/relationships/hyperlink" Target="file:///premium/stock-advisor/coverage/18/coverage/updates/2019/02/21/buy-nintendo.aspx" TargetMode="External"/><Relationship Id="rId159" Type="http://schemas.openxmlformats.org/officeDocument/2006/relationships/hyperlink" Target="file:///premium/company/206597" TargetMode="External"/><Relationship Id="rId366" Type="http://schemas.openxmlformats.org/officeDocument/2006/relationships/hyperlink" Target="file:///premium/company/223191" TargetMode="External"/><Relationship Id="rId573" Type="http://schemas.openxmlformats.org/officeDocument/2006/relationships/hyperlink" Target="file:///premium/company/204404" TargetMode="External"/><Relationship Id="rId780" Type="http://schemas.openxmlformats.org/officeDocument/2006/relationships/hyperlink" Target="file:///premium/stock-advisor/coverage/18/coverage/issues/2003/01/01/page_02.aspx" TargetMode="External"/><Relationship Id="rId226" Type="http://schemas.openxmlformats.org/officeDocument/2006/relationships/hyperlink" Target="file:///premium/company/203362" TargetMode="External"/><Relationship Id="rId433" Type="http://schemas.openxmlformats.org/officeDocument/2006/relationships/hyperlink" Target="file:///premium/company/203165" TargetMode="External"/><Relationship Id="rId640" Type="http://schemas.openxmlformats.org/officeDocument/2006/relationships/hyperlink" Target="file:///premium/stock-advisor/coverage/18/coverage/issues/2007/03/16/recommendation-netgear.aspx" TargetMode="External"/><Relationship Id="rId738" Type="http://schemas.openxmlformats.org/officeDocument/2006/relationships/hyperlink" Target="file:///premium/stock-advisor/coverage/18/coverage/issues/2004/04/01/page_04.aspx" TargetMode="External"/><Relationship Id="rId74" Type="http://schemas.openxmlformats.org/officeDocument/2006/relationships/hyperlink" Target="file:///premium/company/207430" TargetMode="External"/><Relationship Id="rId377" Type="http://schemas.openxmlformats.org/officeDocument/2006/relationships/hyperlink" Target="file:///premium/company/271973" TargetMode="External"/><Relationship Id="rId500" Type="http://schemas.openxmlformats.org/officeDocument/2006/relationships/hyperlink" Target="file:///premium/company/204302" TargetMode="External"/><Relationship Id="rId584" Type="http://schemas.openxmlformats.org/officeDocument/2006/relationships/hyperlink" Target="file:///premium/company/205594" TargetMode="External"/><Relationship Id="rId805" Type="http://schemas.openxmlformats.org/officeDocument/2006/relationships/hyperlink" Target="file:///premium/company/203178" TargetMode="External"/><Relationship Id="rId5" Type="http://schemas.openxmlformats.org/officeDocument/2006/relationships/hyperlink" Target="file:///premium/stock-advisor/risk-rating/current/208982" TargetMode="External"/><Relationship Id="rId237" Type="http://schemas.openxmlformats.org/officeDocument/2006/relationships/hyperlink" Target="file:///premium/stock-advisor/coverage/18/coverage/updates/2016/03/18/toms-recommendation-workday.aspx" TargetMode="External"/><Relationship Id="rId791" Type="http://schemas.openxmlformats.org/officeDocument/2006/relationships/hyperlink" Target="file:///premium/company/202816" TargetMode="External"/><Relationship Id="rId444" Type="http://schemas.openxmlformats.org/officeDocument/2006/relationships/hyperlink" Target="file:///premium/company/210220" TargetMode="External"/><Relationship Id="rId651" Type="http://schemas.openxmlformats.org/officeDocument/2006/relationships/hyperlink" Target="file:///premium/company/207731" TargetMode="External"/><Relationship Id="rId749" Type="http://schemas.openxmlformats.org/officeDocument/2006/relationships/hyperlink" Target="file:///premium/company/202846" TargetMode="External"/><Relationship Id="rId290" Type="http://schemas.openxmlformats.org/officeDocument/2006/relationships/hyperlink" Target="file:///premium/stock-advisor/coverage/18/coverage/updates/2015/04/17/davids-recommendation-caseys-general-stores.aspx" TargetMode="External"/><Relationship Id="rId304" Type="http://schemas.openxmlformats.org/officeDocument/2006/relationships/hyperlink" Target="file:///premium/stock-advisor/coverage/18/coverage/updates/2015/01/16/davids-recommendation-rpm-international.aspx" TargetMode="External"/><Relationship Id="rId388" Type="http://schemas.openxmlformats.org/officeDocument/2006/relationships/hyperlink" Target="file:///premium/stock-advisor/coverage/18/coverage/issues/2013/04/19/toms-recommendation.aspx" TargetMode="External"/><Relationship Id="rId511" Type="http://schemas.openxmlformats.org/officeDocument/2006/relationships/hyperlink" Target="file:///premium/company/220461" TargetMode="External"/><Relationship Id="rId609" Type="http://schemas.openxmlformats.org/officeDocument/2006/relationships/hyperlink" Target="file:///premium/stock-advisor/risk-rating/current/206909" TargetMode="External"/><Relationship Id="rId85" Type="http://schemas.openxmlformats.org/officeDocument/2006/relationships/hyperlink" Target="file:///premium/stock-advisor/risk-rating/current/202816" TargetMode="External"/><Relationship Id="rId150" Type="http://schemas.openxmlformats.org/officeDocument/2006/relationships/hyperlink" Target="file:///premium/stock-advisor/coverage/18/coverage/updates/2017/09/15/why-you-should-buy-3m.aspx" TargetMode="External"/><Relationship Id="rId595" Type="http://schemas.openxmlformats.org/officeDocument/2006/relationships/hyperlink" Target="file:///premium/stock-advisor/risk-rating/current/204015" TargetMode="External"/><Relationship Id="rId248" Type="http://schemas.openxmlformats.org/officeDocument/2006/relationships/hyperlink" Target="file:///premium/company/288605" TargetMode="External"/><Relationship Id="rId455" Type="http://schemas.openxmlformats.org/officeDocument/2006/relationships/hyperlink" Target="file:///premium/company/205019" TargetMode="External"/><Relationship Id="rId662" Type="http://schemas.openxmlformats.org/officeDocument/2006/relationships/hyperlink" Target="file:///premium/company/208198" TargetMode="External"/><Relationship Id="rId12" Type="http://schemas.openxmlformats.org/officeDocument/2006/relationships/hyperlink" Target="file:///premium/company/224257" TargetMode="External"/><Relationship Id="rId108" Type="http://schemas.openxmlformats.org/officeDocument/2006/relationships/hyperlink" Target="file:///premium/stock-advisor/coverage/18/coverage/updates/2018/05/17/buy-new-relic.aspx" TargetMode="External"/><Relationship Id="rId315" Type="http://schemas.openxmlformats.org/officeDocument/2006/relationships/hyperlink" Target="file:///premium/company/204622" TargetMode="External"/><Relationship Id="rId522" Type="http://schemas.openxmlformats.org/officeDocument/2006/relationships/hyperlink" Target="file:///premium/stock-advisor/risk-rating/current/204946" TargetMode="External"/><Relationship Id="rId96" Type="http://schemas.openxmlformats.org/officeDocument/2006/relationships/hyperlink" Target="file:///premium/stock-advisor/coverage/18/coverage/updates/2018/08/02/buy-arista-networks.aspx" TargetMode="External"/><Relationship Id="rId161" Type="http://schemas.openxmlformats.org/officeDocument/2006/relationships/hyperlink" Target="file:///premium/company/203093" TargetMode="External"/><Relationship Id="rId399" Type="http://schemas.openxmlformats.org/officeDocument/2006/relationships/hyperlink" Target="file:///premium/company/207668" TargetMode="External"/><Relationship Id="rId259" Type="http://schemas.openxmlformats.org/officeDocument/2006/relationships/hyperlink" Target="file:///premium/stock-advisor/coverage/18/coverage/updates/2015/11/20/davids-recommendation-anheuser-busch-inbev.aspx" TargetMode="External"/><Relationship Id="rId466" Type="http://schemas.openxmlformats.org/officeDocument/2006/relationships/hyperlink" Target="file:///premium/company/206165" TargetMode="External"/><Relationship Id="rId673" Type="http://schemas.openxmlformats.org/officeDocument/2006/relationships/hyperlink" Target="file:///premium/company/205200" TargetMode="External"/><Relationship Id="rId23" Type="http://schemas.openxmlformats.org/officeDocument/2006/relationships/hyperlink" Target="file:///premium/stock-advisor/coverage/18/coverage/updates/2019/10/17/buy-neurocrine-biosciences.aspx" TargetMode="External"/><Relationship Id="rId119" Type="http://schemas.openxmlformats.org/officeDocument/2006/relationships/hyperlink" Target="file:///premium/company/204501" TargetMode="External"/><Relationship Id="rId326" Type="http://schemas.openxmlformats.org/officeDocument/2006/relationships/hyperlink" Target="file:///premium/stock-advisor/risk-rating/current/204152" TargetMode="External"/><Relationship Id="rId533" Type="http://schemas.openxmlformats.org/officeDocument/2006/relationships/hyperlink" Target="file:///premium/company/204765" TargetMode="External"/><Relationship Id="rId740" Type="http://schemas.openxmlformats.org/officeDocument/2006/relationships/hyperlink" Target="file:///premium/stock-advisor/risk-rating/current/215395" TargetMode="External"/><Relationship Id="rId172" Type="http://schemas.openxmlformats.org/officeDocument/2006/relationships/hyperlink" Target="file:///premium/stock-advisor/risk-rating/current/204794" TargetMode="External"/><Relationship Id="rId477" Type="http://schemas.openxmlformats.org/officeDocument/2006/relationships/hyperlink" Target="file:///premium/stock-advisor/coverage/18/coverage/issues/2011/06/17/davids-re-recommendation-apple.aspx" TargetMode="External"/><Relationship Id="rId600" Type="http://schemas.openxmlformats.org/officeDocument/2006/relationships/hyperlink" Target="file:///premium/company/205395" TargetMode="External"/><Relationship Id="rId684" Type="http://schemas.openxmlformats.org/officeDocument/2006/relationships/hyperlink" Target="file:///premium/company/205178" TargetMode="External"/><Relationship Id="rId337" Type="http://schemas.openxmlformats.org/officeDocument/2006/relationships/hyperlink" Target="file:///premium/stock-advisor/coverage/18/coverage/issues/2014/06/20/toms-re-recommendation-sherwin-williams.aspx" TargetMode="External"/><Relationship Id="rId34" Type="http://schemas.openxmlformats.org/officeDocument/2006/relationships/hyperlink" Target="file:///premium/company/204140" TargetMode="External"/><Relationship Id="rId544" Type="http://schemas.openxmlformats.org/officeDocument/2006/relationships/hyperlink" Target="file:///premium/company/202746" TargetMode="External"/><Relationship Id="rId751" Type="http://schemas.openxmlformats.org/officeDocument/2006/relationships/hyperlink" Target="file:///premium/company/202752" TargetMode="External"/><Relationship Id="rId183" Type="http://schemas.openxmlformats.org/officeDocument/2006/relationships/hyperlink" Target="file:///premium/stock-advisor/coverage/18/coverage/updates/2017/02/17/buy-borgwarner.aspx" TargetMode="External"/><Relationship Id="rId390" Type="http://schemas.openxmlformats.org/officeDocument/2006/relationships/hyperlink" Target="file:///premium/stock-advisor/coverage/18/coverage/issues/2013/04/19/davids-recommendation.aspx" TargetMode="External"/><Relationship Id="rId404" Type="http://schemas.openxmlformats.org/officeDocument/2006/relationships/hyperlink" Target="file:///premium/company/206165" TargetMode="External"/><Relationship Id="rId611" Type="http://schemas.openxmlformats.org/officeDocument/2006/relationships/hyperlink" Target="file:///premium/company/209112" TargetMode="External"/><Relationship Id="rId250" Type="http://schemas.openxmlformats.org/officeDocument/2006/relationships/hyperlink" Target="file:///premium/company/206540" TargetMode="External"/><Relationship Id="rId488" Type="http://schemas.openxmlformats.org/officeDocument/2006/relationships/hyperlink" Target="file:///premium/stock-advisor/risk-rating/current/204012" TargetMode="External"/><Relationship Id="rId695" Type="http://schemas.openxmlformats.org/officeDocument/2006/relationships/hyperlink" Target="file:///premium/stock-advisor/risk-rating/current/203416" TargetMode="External"/><Relationship Id="rId709" Type="http://schemas.openxmlformats.org/officeDocument/2006/relationships/hyperlink" Target="file:///premium/company/205439" TargetMode="External"/><Relationship Id="rId45" Type="http://schemas.openxmlformats.org/officeDocument/2006/relationships/hyperlink" Target="file:///premium/stock-advisor/risk-rating/current/206072" TargetMode="External"/><Relationship Id="rId110" Type="http://schemas.openxmlformats.org/officeDocument/2006/relationships/hyperlink" Target="file:///premium/stock-advisor/risk-rating/current/317506" TargetMode="External"/><Relationship Id="rId348" Type="http://schemas.openxmlformats.org/officeDocument/2006/relationships/hyperlink" Target="file:///premium/stock-advisor/risk-rating/current/203203" TargetMode="External"/><Relationship Id="rId555" Type="http://schemas.openxmlformats.org/officeDocument/2006/relationships/hyperlink" Target="file:///premium/stock-advisor/coverage/18/coverage/issues/2009/08/21/adobe-systems.aspx" TargetMode="External"/><Relationship Id="rId762" Type="http://schemas.openxmlformats.org/officeDocument/2006/relationships/hyperlink" Target="file:///premium/company/204302" TargetMode="External"/><Relationship Id="rId194" Type="http://schemas.openxmlformats.org/officeDocument/2006/relationships/hyperlink" Target="file:///premium/company/209277" TargetMode="External"/><Relationship Id="rId208" Type="http://schemas.openxmlformats.org/officeDocument/2006/relationships/hyperlink" Target="file:///premium/stock-advisor/coverage/18/coverage/updates/2016/09/16/toms-recommendation-starbucks.aspx" TargetMode="External"/><Relationship Id="rId415" Type="http://schemas.openxmlformats.org/officeDocument/2006/relationships/hyperlink" Target="file:///premium/company/202957" TargetMode="External"/><Relationship Id="rId622" Type="http://schemas.openxmlformats.org/officeDocument/2006/relationships/hyperlink" Target="file:///premium/company/205192" TargetMode="External"/><Relationship Id="rId261" Type="http://schemas.openxmlformats.org/officeDocument/2006/relationships/hyperlink" Target="file:///premium/stock-advisor/risk-rating/current/203011" TargetMode="External"/><Relationship Id="rId499" Type="http://schemas.openxmlformats.org/officeDocument/2006/relationships/hyperlink" Target="file:///premium/stock-advisor/risk-rating/current/202816" TargetMode="External"/><Relationship Id="rId56" Type="http://schemas.openxmlformats.org/officeDocument/2006/relationships/hyperlink" Target="file:///premium/stock-advisor/coverage/18/coverage/updates/2019/04/04/buy-ollies-bargain-outlet-holdings.aspx" TargetMode="External"/><Relationship Id="rId359" Type="http://schemas.openxmlformats.org/officeDocument/2006/relationships/hyperlink" Target="file:///premium/company/224236" TargetMode="External"/><Relationship Id="rId566" Type="http://schemas.openxmlformats.org/officeDocument/2006/relationships/hyperlink" Target="file:///premium/company/206602" TargetMode="External"/><Relationship Id="rId773" Type="http://schemas.openxmlformats.org/officeDocument/2006/relationships/hyperlink" Target="file:///premium/stock-advisor/risk-rating/current/203310" TargetMode="External"/><Relationship Id="rId121" Type="http://schemas.openxmlformats.org/officeDocument/2006/relationships/hyperlink" Target="file:///premium/company/203213" TargetMode="External"/><Relationship Id="rId219" Type="http://schemas.openxmlformats.org/officeDocument/2006/relationships/hyperlink" Target="file:///premium/company/335227" TargetMode="External"/><Relationship Id="rId426" Type="http://schemas.openxmlformats.org/officeDocument/2006/relationships/hyperlink" Target="file:///premium/stock-advisor/coverage/18/coverage/issues/2012/07/20/toms-recommendation-google.aspx" TargetMode="External"/><Relationship Id="rId633" Type="http://schemas.openxmlformats.org/officeDocument/2006/relationships/hyperlink" Target="file:///premium/stock-advisor/coverage/18/coverage/issues/2007/04/20/recommendation-berkshire.aspx" TargetMode="External"/><Relationship Id="rId67" Type="http://schemas.openxmlformats.org/officeDocument/2006/relationships/hyperlink" Target="file:///premium/company/339157" TargetMode="External"/><Relationship Id="rId272" Type="http://schemas.openxmlformats.org/officeDocument/2006/relationships/hyperlink" Target="file:///premium/stock-advisor/coverage/18/coverage/updates/2015/08/21/davids-recommendation-mylan.aspx" TargetMode="External"/><Relationship Id="rId577" Type="http://schemas.openxmlformats.org/officeDocument/2006/relationships/hyperlink" Target="file:///premium/company/204611" TargetMode="External"/><Relationship Id="rId700" Type="http://schemas.openxmlformats.org/officeDocument/2006/relationships/hyperlink" Target="file:///premium/stock-advisor/risk-rating/current/204770" TargetMode="External"/><Relationship Id="rId132" Type="http://schemas.openxmlformats.org/officeDocument/2006/relationships/hyperlink" Target="file:///premium/stock-advisor/risk-rating/current/339040" TargetMode="External"/><Relationship Id="rId784" Type="http://schemas.openxmlformats.org/officeDocument/2006/relationships/hyperlink" Target="file:///premium/company/205712" TargetMode="External"/><Relationship Id="rId437" Type="http://schemas.openxmlformats.org/officeDocument/2006/relationships/hyperlink" Target="file:///premium/company/204327" TargetMode="External"/><Relationship Id="rId644" Type="http://schemas.openxmlformats.org/officeDocument/2006/relationships/hyperlink" Target="file:///premium/company/220650" TargetMode="External"/><Relationship Id="rId283" Type="http://schemas.openxmlformats.org/officeDocument/2006/relationships/hyperlink" Target="file:///premium/company/288390" TargetMode="External"/><Relationship Id="rId490" Type="http://schemas.openxmlformats.org/officeDocument/2006/relationships/hyperlink" Target="file:///premium/company/210735" TargetMode="External"/><Relationship Id="rId504" Type="http://schemas.openxmlformats.org/officeDocument/2006/relationships/hyperlink" Target="file:///premium/company/203581" TargetMode="External"/><Relationship Id="rId711" Type="http://schemas.openxmlformats.org/officeDocument/2006/relationships/hyperlink" Target="file:///premium/stock-advisor/coverage/18/coverage/issues/2004/12/01/page_02.aspx" TargetMode="External"/><Relationship Id="rId78" Type="http://schemas.openxmlformats.org/officeDocument/2006/relationships/hyperlink" Target="file:///premium/stock-advisor/coverage/18/coverage/updates/2018/11/15/buy-zebra-technologies.aspx" TargetMode="External"/><Relationship Id="rId143" Type="http://schemas.openxmlformats.org/officeDocument/2006/relationships/hyperlink" Target="file:///premium/stock-advisor/coverage/18/coverage/updates/2017/10/20/why-you-should-buy-the-trade-desk.aspx" TargetMode="External"/><Relationship Id="rId350" Type="http://schemas.openxmlformats.org/officeDocument/2006/relationships/hyperlink" Target="file:///premium/company/204290" TargetMode="External"/><Relationship Id="rId588" Type="http://schemas.openxmlformats.org/officeDocument/2006/relationships/hyperlink" Target="file:///premium/stock-advisor/coverage/18/coverage/issues/2008/09/19/recommendation-activision-blizzard.aspx" TargetMode="External"/><Relationship Id="rId795" Type="http://schemas.openxmlformats.org/officeDocument/2006/relationships/hyperlink" Target="file:///premium/stock-advisor/risk-rating/current/202876" TargetMode="External"/><Relationship Id="rId809" Type="http://schemas.openxmlformats.org/officeDocument/2006/relationships/hyperlink" Target="file:///premium/company/206628" TargetMode="External"/><Relationship Id="rId9" Type="http://schemas.openxmlformats.org/officeDocument/2006/relationships/hyperlink" Target="file:///premium/company/207300" TargetMode="External"/><Relationship Id="rId210" Type="http://schemas.openxmlformats.org/officeDocument/2006/relationships/hyperlink" Target="file:///premium/stock-advisor/coverage/18/coverage/updates/2016/09/16/davids-recommendation-alkermes.aspx" TargetMode="External"/><Relationship Id="rId448" Type="http://schemas.openxmlformats.org/officeDocument/2006/relationships/hyperlink" Target="file:///premium/company/224060" TargetMode="External"/><Relationship Id="rId655" Type="http://schemas.openxmlformats.org/officeDocument/2006/relationships/hyperlink" Target="file:///premium/stock-advisor/coverage/18/coverage/issues/2006/09/15/02.aspx" TargetMode="External"/><Relationship Id="rId294" Type="http://schemas.openxmlformats.org/officeDocument/2006/relationships/hyperlink" Target="file:///premium/company/273742" TargetMode="External"/><Relationship Id="rId308" Type="http://schemas.openxmlformats.org/officeDocument/2006/relationships/hyperlink" Target="file:///premium/company/210157" TargetMode="External"/><Relationship Id="rId515" Type="http://schemas.openxmlformats.org/officeDocument/2006/relationships/hyperlink" Target="file:///premium/company/204702" TargetMode="External"/><Relationship Id="rId722" Type="http://schemas.openxmlformats.org/officeDocument/2006/relationships/hyperlink" Target="file:///premium/company/273457" TargetMode="External"/><Relationship Id="rId89" Type="http://schemas.openxmlformats.org/officeDocument/2006/relationships/hyperlink" Target="file:///premium/company/205900" TargetMode="External"/><Relationship Id="rId154" Type="http://schemas.openxmlformats.org/officeDocument/2006/relationships/hyperlink" Target="file:///premium/company/221899" TargetMode="External"/><Relationship Id="rId361" Type="http://schemas.openxmlformats.org/officeDocument/2006/relationships/hyperlink" Target="file:///premium/company/204988" TargetMode="External"/><Relationship Id="rId599" Type="http://schemas.openxmlformats.org/officeDocument/2006/relationships/hyperlink" Target="file:///premium/stock-advisor/risk-rating/current/202686" TargetMode="External"/><Relationship Id="rId459" Type="http://schemas.openxmlformats.org/officeDocument/2006/relationships/hyperlink" Target="file:///premium/company/205374" TargetMode="External"/><Relationship Id="rId666" Type="http://schemas.openxmlformats.org/officeDocument/2006/relationships/hyperlink" Target="file:///premium/company/204654" TargetMode="External"/><Relationship Id="rId16" Type="http://schemas.openxmlformats.org/officeDocument/2006/relationships/hyperlink" Target="file:///premium/stock-advisor/coverage/18/coverage/updates/2019/12/05/buy-hubspot.aspx" TargetMode="External"/><Relationship Id="rId221" Type="http://schemas.openxmlformats.org/officeDocument/2006/relationships/hyperlink" Target="file:///premium/company/204949" TargetMode="External"/><Relationship Id="rId319" Type="http://schemas.openxmlformats.org/officeDocument/2006/relationships/hyperlink" Target="file:///premium/stock-advisor/coverage/18/coverage/updates/2014/10/17/davids-recommendation-mccormick-co.aspx" TargetMode="External"/><Relationship Id="rId526" Type="http://schemas.openxmlformats.org/officeDocument/2006/relationships/hyperlink" Target="file:///premium/stock-advisor/risk-rating/current/205361" TargetMode="External"/><Relationship Id="rId733" Type="http://schemas.openxmlformats.org/officeDocument/2006/relationships/hyperlink" Target="file:///premium/stock-advisor/coverage/18/coverage/issues/2004/05/21/page_02.aspx" TargetMode="External"/><Relationship Id="rId165" Type="http://schemas.openxmlformats.org/officeDocument/2006/relationships/hyperlink" Target="file:///premium/stock-advisor/coverage/18/coverage/updates/2017/06/16/buy-textron.aspx" TargetMode="External"/><Relationship Id="rId372" Type="http://schemas.openxmlformats.org/officeDocument/2006/relationships/hyperlink" Target="file:///premium/stock-advisor/risk-rating/current/205614" TargetMode="External"/><Relationship Id="rId677" Type="http://schemas.openxmlformats.org/officeDocument/2006/relationships/hyperlink" Target="file:///premium/company/202916" TargetMode="External"/><Relationship Id="rId800" Type="http://schemas.openxmlformats.org/officeDocument/2006/relationships/hyperlink" Target="file:///premium/stock-advisor/risk-rating/current/203310" TargetMode="External"/><Relationship Id="rId232" Type="http://schemas.openxmlformats.org/officeDocument/2006/relationships/hyperlink" Target="file:///premium/stock-advisor/risk-rating/current/205591" TargetMode="External"/><Relationship Id="rId27" Type="http://schemas.openxmlformats.org/officeDocument/2006/relationships/hyperlink" Target="file:///premium/company/341090" TargetMode="External"/><Relationship Id="rId537" Type="http://schemas.openxmlformats.org/officeDocument/2006/relationships/hyperlink" Target="file:///premium/company/202915" TargetMode="External"/><Relationship Id="rId744" Type="http://schemas.openxmlformats.org/officeDocument/2006/relationships/hyperlink" Target="file:///premium/company/204130" TargetMode="External"/><Relationship Id="rId80" Type="http://schemas.openxmlformats.org/officeDocument/2006/relationships/hyperlink" Target="file:///premium/stock-advisor/risk-rating/current/206223" TargetMode="External"/><Relationship Id="rId176" Type="http://schemas.openxmlformats.org/officeDocument/2006/relationships/hyperlink" Target="file:///premium/company/223521" TargetMode="External"/><Relationship Id="rId383" Type="http://schemas.openxmlformats.org/officeDocument/2006/relationships/hyperlink" Target="file:///premium/stock-advisor/risk-rating/current/204654" TargetMode="External"/><Relationship Id="rId590" Type="http://schemas.openxmlformats.org/officeDocument/2006/relationships/hyperlink" Target="file:///premium/stock-advisor/risk-rating/current/202876" TargetMode="External"/><Relationship Id="rId604" Type="http://schemas.openxmlformats.org/officeDocument/2006/relationships/hyperlink" Target="file:///premium/company/206855" TargetMode="External"/><Relationship Id="rId243" Type="http://schemas.openxmlformats.org/officeDocument/2006/relationships/hyperlink" Target="file:///premium/company/288965" TargetMode="External"/><Relationship Id="rId450" Type="http://schemas.openxmlformats.org/officeDocument/2006/relationships/hyperlink" Target="file:///premium/company/217246" TargetMode="External"/><Relationship Id="rId688" Type="http://schemas.openxmlformats.org/officeDocument/2006/relationships/hyperlink" Target="file:///premium/company/203560" TargetMode="External"/><Relationship Id="rId38" Type="http://schemas.openxmlformats.org/officeDocument/2006/relationships/hyperlink" Target="file:///premium/stock-advisor/coverage/18/coverage/updates/2019/07/18/buy-zynga.aspx" TargetMode="External"/><Relationship Id="rId103" Type="http://schemas.openxmlformats.org/officeDocument/2006/relationships/hyperlink" Target="file:///premium/stock-advisor/coverage/18/coverage/updates/2018/06/21/buy-amgen.aspx" TargetMode="External"/><Relationship Id="rId310" Type="http://schemas.openxmlformats.org/officeDocument/2006/relationships/hyperlink" Target="file:///premium/company/202876" TargetMode="External"/><Relationship Id="rId548" Type="http://schemas.openxmlformats.org/officeDocument/2006/relationships/hyperlink" Target="file:///premium/company/203809" TargetMode="External"/><Relationship Id="rId755" Type="http://schemas.openxmlformats.org/officeDocument/2006/relationships/hyperlink" Target="file:///premium/company/203416" TargetMode="External"/><Relationship Id="rId91" Type="http://schemas.openxmlformats.org/officeDocument/2006/relationships/hyperlink" Target="file:///premium/stock-advisor/coverage/18/coverage/updates/2018/09/06/buy-stitch-fix.aspx" TargetMode="External"/><Relationship Id="rId187" Type="http://schemas.openxmlformats.org/officeDocument/2006/relationships/hyperlink" Target="file:///premium/stock-advisor/risk-rating/current/205811" TargetMode="External"/><Relationship Id="rId394" Type="http://schemas.openxmlformats.org/officeDocument/2006/relationships/hyperlink" Target="file:///premium/company/204070" TargetMode="External"/><Relationship Id="rId408" Type="http://schemas.openxmlformats.org/officeDocument/2006/relationships/hyperlink" Target="file:///premium/company/224257" TargetMode="External"/><Relationship Id="rId615" Type="http://schemas.openxmlformats.org/officeDocument/2006/relationships/hyperlink" Target="file:///premium/company/203165" TargetMode="External"/><Relationship Id="rId254" Type="http://schemas.openxmlformats.org/officeDocument/2006/relationships/hyperlink" Target="file:///premium/stock-advisor/coverage/18/coverage/updates/2015/12/18/davids-recommendation-new-york-times-company.aspx" TargetMode="External"/><Relationship Id="rId699" Type="http://schemas.openxmlformats.org/officeDocument/2006/relationships/hyperlink" Target="file:///premium/company/204770" TargetMode="External"/><Relationship Id="rId49" Type="http://schemas.openxmlformats.org/officeDocument/2006/relationships/hyperlink" Target="file:///premium/company/205499" TargetMode="External"/><Relationship Id="rId114" Type="http://schemas.openxmlformats.org/officeDocument/2006/relationships/hyperlink" Target="file:///premium/company/335227" TargetMode="External"/><Relationship Id="rId461" Type="http://schemas.openxmlformats.org/officeDocument/2006/relationships/hyperlink" Target="file:///premium/stock-advisor/coverage/18/coverage/issues/2011/10/21/davids-recommendation-pegasystems.aspx" TargetMode="External"/><Relationship Id="rId559" Type="http://schemas.openxmlformats.org/officeDocument/2006/relationships/hyperlink" Target="file:///premium/company/209081" TargetMode="External"/><Relationship Id="rId766" Type="http://schemas.openxmlformats.org/officeDocument/2006/relationships/hyperlink" Target="file:///premium/company/204654" TargetMode="External"/><Relationship Id="rId198" Type="http://schemas.openxmlformats.org/officeDocument/2006/relationships/hyperlink" Target="file:///premium/stock-advisor/coverage/18/coverage/updates/2016/11/18/toms-re-recommendation-markel.aspx" TargetMode="External"/><Relationship Id="rId321" Type="http://schemas.openxmlformats.org/officeDocument/2006/relationships/hyperlink" Target="file:///premium/stock-advisor/risk-rating/current/204497" TargetMode="External"/><Relationship Id="rId419" Type="http://schemas.openxmlformats.org/officeDocument/2006/relationships/hyperlink" Target="file:///premium/stock-advisor/risk-rating/current/215669" TargetMode="External"/><Relationship Id="rId626" Type="http://schemas.openxmlformats.org/officeDocument/2006/relationships/hyperlink" Target="file:///premium/company/205988" TargetMode="External"/><Relationship Id="rId265" Type="http://schemas.openxmlformats.org/officeDocument/2006/relationships/hyperlink" Target="file:///premium/company/206447" TargetMode="External"/><Relationship Id="rId472" Type="http://schemas.openxmlformats.org/officeDocument/2006/relationships/hyperlink" Target="file:///premium/stock-advisor/risk-rating/current/203758" TargetMode="External"/><Relationship Id="rId125" Type="http://schemas.openxmlformats.org/officeDocument/2006/relationships/hyperlink" Target="file:///premium/stock-advisor/coverage/18/coverage/updates/2018/02/16/why-you-should-buy-fair-isaac-corp.aspx" TargetMode="External"/><Relationship Id="rId332" Type="http://schemas.openxmlformats.org/officeDocument/2006/relationships/hyperlink" Target="file:///premium/stock-advisor/coverage/18/coverage/updates/2014/07/18/toms-recommendation-criteo.aspx" TargetMode="External"/><Relationship Id="rId777" Type="http://schemas.openxmlformats.org/officeDocument/2006/relationships/hyperlink" Target="file:///premium/company/205178" TargetMode="External"/><Relationship Id="rId637" Type="http://schemas.openxmlformats.org/officeDocument/2006/relationships/hyperlink" Target="file:///premium/stock-advisor/risk-rating/current/204487" TargetMode="External"/><Relationship Id="rId276" Type="http://schemas.openxmlformats.org/officeDocument/2006/relationships/hyperlink" Target="file:///premium/stock-advisor/coverage/18/coverage/updates/2015/07/17/davids-recommendation-amerco.aspx" TargetMode="External"/><Relationship Id="rId483" Type="http://schemas.openxmlformats.org/officeDocument/2006/relationships/hyperlink" Target="file:///premium/stock-advisor/coverage/18/coverage/issues/2011/04/15/sina.aspx" TargetMode="External"/><Relationship Id="rId690" Type="http://schemas.openxmlformats.org/officeDocument/2006/relationships/hyperlink" Target="file:///premium/company/209016" TargetMode="External"/><Relationship Id="rId704" Type="http://schemas.openxmlformats.org/officeDocument/2006/relationships/hyperlink" Target="file:///premium/stock-advisor/coverage/18/coverage/issues/2005/02/01/page_02.aspx" TargetMode="External"/><Relationship Id="rId40" Type="http://schemas.openxmlformats.org/officeDocument/2006/relationships/hyperlink" Target="file:///premium/stock-advisor/risk-rating/current/270875" TargetMode="External"/><Relationship Id="rId136" Type="http://schemas.openxmlformats.org/officeDocument/2006/relationships/hyperlink" Target="file:///premium/company/204587" TargetMode="External"/><Relationship Id="rId343" Type="http://schemas.openxmlformats.org/officeDocument/2006/relationships/hyperlink" Target="file:///premium/company/250030" TargetMode="External"/><Relationship Id="rId550" Type="http://schemas.openxmlformats.org/officeDocument/2006/relationships/hyperlink" Target="file:///premium/company/202768" TargetMode="External"/><Relationship Id="rId788" Type="http://schemas.openxmlformats.org/officeDocument/2006/relationships/hyperlink" Target="file:///premium/company/202803" TargetMode="External"/><Relationship Id="rId203" Type="http://schemas.openxmlformats.org/officeDocument/2006/relationships/hyperlink" Target="file:///premium/stock-advisor/coverage/18/coverage/updates/2016/10/21/toms-recommendation-nike.aspx" TargetMode="External"/><Relationship Id="rId648" Type="http://schemas.openxmlformats.org/officeDocument/2006/relationships/hyperlink" Target="file:///premium/company/203564" TargetMode="External"/><Relationship Id="rId287" Type="http://schemas.openxmlformats.org/officeDocument/2006/relationships/hyperlink" Target="file:///premium/stock-advisor/risk-rating/current/206324" TargetMode="External"/><Relationship Id="rId410" Type="http://schemas.openxmlformats.org/officeDocument/2006/relationships/hyperlink" Target="file:///premium/company/204037" TargetMode="External"/><Relationship Id="rId494" Type="http://schemas.openxmlformats.org/officeDocument/2006/relationships/hyperlink" Target="file:///premium/stock-advisor/coverage/18/coverage/issues/2011/01/21/cognex.aspx" TargetMode="External"/><Relationship Id="rId508" Type="http://schemas.openxmlformats.org/officeDocument/2006/relationships/hyperlink" Target="file:///premium/stock-advisor/risk-rating/current/203737" TargetMode="External"/><Relationship Id="rId715" Type="http://schemas.openxmlformats.org/officeDocument/2006/relationships/hyperlink" Target="file:///premium/company/203415" TargetMode="External"/><Relationship Id="rId147" Type="http://schemas.openxmlformats.org/officeDocument/2006/relationships/hyperlink" Target="file:///premium/stock-advisor/risk-rating/current/225073" TargetMode="External"/><Relationship Id="rId354" Type="http://schemas.openxmlformats.org/officeDocument/2006/relationships/hyperlink" Target="file:///premium/company/203253" TargetMode="External"/><Relationship Id="rId799" Type="http://schemas.openxmlformats.org/officeDocument/2006/relationships/hyperlink" Target="file:///premium/company/203310" TargetMode="External"/><Relationship Id="rId51" Type="http://schemas.openxmlformats.org/officeDocument/2006/relationships/hyperlink" Target="file:///premium/stock-advisor/coverage/18/coverage/updates/2019/05/02/buy-wixcom.aspx" TargetMode="External"/><Relationship Id="rId561" Type="http://schemas.openxmlformats.org/officeDocument/2006/relationships/hyperlink" Target="file:///premium/company/203991" TargetMode="External"/><Relationship Id="rId659" Type="http://schemas.openxmlformats.org/officeDocument/2006/relationships/hyperlink" Target="file:///premium/company/206251" TargetMode="External"/><Relationship Id="rId214" Type="http://schemas.openxmlformats.org/officeDocument/2006/relationships/hyperlink" Target="file:///premium/company/273426" TargetMode="External"/><Relationship Id="rId298" Type="http://schemas.openxmlformats.org/officeDocument/2006/relationships/hyperlink" Target="file:///premium/company/273426" TargetMode="External"/><Relationship Id="rId421" Type="http://schemas.openxmlformats.org/officeDocument/2006/relationships/hyperlink" Target="file:///premium/stock-advisor/coverage/18/coverage/issues/2012/08/17/toms-recommendation-pricelinecom.aspx" TargetMode="External"/><Relationship Id="rId519" Type="http://schemas.openxmlformats.org/officeDocument/2006/relationships/hyperlink" Target="file:///premium/company/289148" TargetMode="External"/><Relationship Id="rId158" Type="http://schemas.openxmlformats.org/officeDocument/2006/relationships/hyperlink" Target="file:///premium/stock-advisor/coverage/18/coverage/updates/2017/07/21/buy-irobot.aspx" TargetMode="External"/><Relationship Id="rId726" Type="http://schemas.openxmlformats.org/officeDocument/2006/relationships/hyperlink" Target="file:///premium/company/205439" TargetMode="External"/><Relationship Id="rId62" Type="http://schemas.openxmlformats.org/officeDocument/2006/relationships/hyperlink" Target="file:///premium/company/337034" TargetMode="External"/><Relationship Id="rId365" Type="http://schemas.openxmlformats.org/officeDocument/2006/relationships/hyperlink" Target="file:///premium/stock-advisor/coverage/18/coverage/issues/2013/10/18/davids-recommendation-hyatt-hotels-2.aspx" TargetMode="External"/><Relationship Id="rId572" Type="http://schemas.openxmlformats.org/officeDocument/2006/relationships/hyperlink" Target="file:///premium/stock-advisor/coverage/18/coverage/issues/2009/02/20/recommendation-mckesson.aspx" TargetMode="External"/><Relationship Id="rId225" Type="http://schemas.openxmlformats.org/officeDocument/2006/relationships/hyperlink" Target="file:///premium/stock-advisor/coverage/18/coverage/updates/2016/06/17/davids-recommendation-ecolab.aspx" TargetMode="External"/><Relationship Id="rId432" Type="http://schemas.openxmlformats.org/officeDocument/2006/relationships/hyperlink" Target="file:///premium/stock-advisor/risk-rating/current/206799" TargetMode="External"/><Relationship Id="rId737" Type="http://schemas.openxmlformats.org/officeDocument/2006/relationships/hyperlink" Target="file:///premium/stock-advisor/risk-rating/current/204946" TargetMode="External"/><Relationship Id="rId73" Type="http://schemas.openxmlformats.org/officeDocument/2006/relationships/hyperlink" Target="file:///premium/stock-advisor/coverage/18/coverage/updates/2018/12/13/buy-telkom-indonesia.aspx" TargetMode="External"/><Relationship Id="rId169" Type="http://schemas.openxmlformats.org/officeDocument/2006/relationships/hyperlink" Target="file:///premium/company/207668" TargetMode="External"/><Relationship Id="rId376" Type="http://schemas.openxmlformats.org/officeDocument/2006/relationships/hyperlink" Target="file:///premium/company/203017" TargetMode="External"/><Relationship Id="rId583" Type="http://schemas.openxmlformats.org/officeDocument/2006/relationships/hyperlink" Target="file:///premium/company/204579" TargetMode="External"/><Relationship Id="rId790" Type="http://schemas.openxmlformats.org/officeDocument/2006/relationships/hyperlink" Target="file:///premium/stock-advisor/coverage/18/coverage/issues/2002/09/01/page_02.aspx" TargetMode="External"/><Relationship Id="rId804" Type="http://schemas.openxmlformats.org/officeDocument/2006/relationships/hyperlink" Target="file:///premium/stock-advisor/coverage/18/coverage/issues/2002/04/12/page_04.aspx" TargetMode="External"/><Relationship Id="rId4" Type="http://schemas.openxmlformats.org/officeDocument/2006/relationships/hyperlink" Target="file:///premium/company/208982" TargetMode="External"/><Relationship Id="rId236" Type="http://schemas.openxmlformats.org/officeDocument/2006/relationships/hyperlink" Target="file:///premium/company/270334" TargetMode="External"/><Relationship Id="rId443" Type="http://schemas.openxmlformats.org/officeDocument/2006/relationships/hyperlink" Target="file:///premium/stock-advisor/coverage/18/coverage/issues/2012/03/16/davids-recommendation-clean-energy-fuels.aspx" TargetMode="External"/><Relationship Id="rId650" Type="http://schemas.openxmlformats.org/officeDocument/2006/relationships/hyperlink" Target="file:///premium/company/202999" TargetMode="External"/><Relationship Id="rId303" Type="http://schemas.openxmlformats.org/officeDocument/2006/relationships/hyperlink" Target="file:///premium/company/216714" TargetMode="External"/><Relationship Id="rId748" Type="http://schemas.openxmlformats.org/officeDocument/2006/relationships/hyperlink" Target="file:///premium/company/205214" TargetMode="External"/><Relationship Id="rId84" Type="http://schemas.openxmlformats.org/officeDocument/2006/relationships/hyperlink" Target="file:///premium/company/202816" TargetMode="External"/><Relationship Id="rId387" Type="http://schemas.openxmlformats.org/officeDocument/2006/relationships/hyperlink" Target="file:///premium/company/225346" TargetMode="External"/><Relationship Id="rId510" Type="http://schemas.openxmlformats.org/officeDocument/2006/relationships/hyperlink" Target="file:///premium/stock-advisor/coverage/18/coverage/issues/2010/08/20/recommendation-discovery-communications.aspx" TargetMode="External"/><Relationship Id="rId594" Type="http://schemas.openxmlformats.org/officeDocument/2006/relationships/hyperlink" Target="file:///premium/company/204015" TargetMode="External"/><Relationship Id="rId608" Type="http://schemas.openxmlformats.org/officeDocument/2006/relationships/hyperlink" Target="file:///premium/company/206909" TargetMode="External"/><Relationship Id="rId247" Type="http://schemas.openxmlformats.org/officeDocument/2006/relationships/hyperlink" Target="file:///premium/stock-advisor/coverage/18/coverage/updates/2016/01/22/toms-recommendation-criteo.aspx" TargetMode="External"/><Relationship Id="rId107" Type="http://schemas.openxmlformats.org/officeDocument/2006/relationships/hyperlink" Target="file:///premium/company/288612" TargetMode="External"/><Relationship Id="rId454" Type="http://schemas.openxmlformats.org/officeDocument/2006/relationships/hyperlink" Target="file:///premium/company/203165" TargetMode="External"/><Relationship Id="rId661" Type="http://schemas.openxmlformats.org/officeDocument/2006/relationships/hyperlink" Target="file:///premium/company/339235" TargetMode="External"/><Relationship Id="rId759" Type="http://schemas.openxmlformats.org/officeDocument/2006/relationships/hyperlink" Target="file:///premium/company/224042" TargetMode="External"/><Relationship Id="rId11" Type="http://schemas.openxmlformats.org/officeDocument/2006/relationships/hyperlink" Target="file:///premium/stock-advisor/coverage/18/coverage/updates/2020/01/02/buy-tesla.aspx" TargetMode="External"/><Relationship Id="rId314" Type="http://schemas.openxmlformats.org/officeDocument/2006/relationships/hyperlink" Target="file:///premium/stock-advisor/coverage/18/coverage/updates/2014/11/21/davids-recommendation-ncr-corp.aspx" TargetMode="External"/><Relationship Id="rId398" Type="http://schemas.openxmlformats.org/officeDocument/2006/relationships/hyperlink" Target="file:///premium/stock-advisor/coverage/18/coverage/issues/2013/02/15/toms-recommendation.aspx" TargetMode="External"/><Relationship Id="rId521" Type="http://schemas.openxmlformats.org/officeDocument/2006/relationships/hyperlink" Target="file:///premium/company/204946" TargetMode="External"/><Relationship Id="rId619" Type="http://schemas.openxmlformats.org/officeDocument/2006/relationships/hyperlink" Target="file:///premium/company/209711" TargetMode="External"/><Relationship Id="rId95" Type="http://schemas.openxmlformats.org/officeDocument/2006/relationships/hyperlink" Target="file:///premium/stock-advisor/risk-rating/current/202782" TargetMode="External"/><Relationship Id="rId160" Type="http://schemas.openxmlformats.org/officeDocument/2006/relationships/hyperlink" Target="file:///premium/stock-advisor/coverage/18/coverage/updates/2017/07/21/buy-cognex-2.aspx" TargetMode="External"/><Relationship Id="rId258" Type="http://schemas.openxmlformats.org/officeDocument/2006/relationships/hyperlink" Target="file:///premium/company/202803" TargetMode="External"/><Relationship Id="rId465" Type="http://schemas.openxmlformats.org/officeDocument/2006/relationships/hyperlink" Target="file:///premium/stock-advisor/coverage/18/coverage/issues/2011/09/16/toms-recommendation-williams-sonoma.aspx" TargetMode="External"/><Relationship Id="rId672" Type="http://schemas.openxmlformats.org/officeDocument/2006/relationships/hyperlink" Target="file:///premium/company/203992" TargetMode="External"/><Relationship Id="rId22" Type="http://schemas.openxmlformats.org/officeDocument/2006/relationships/hyperlink" Target="file:///premium/company/338635" TargetMode="External"/><Relationship Id="rId118" Type="http://schemas.openxmlformats.org/officeDocument/2006/relationships/hyperlink" Target="file:///premium/stock-advisor/coverage/18/coverage/updates/2018/03/15/buy-markel.aspx" TargetMode="External"/><Relationship Id="rId325" Type="http://schemas.openxmlformats.org/officeDocument/2006/relationships/hyperlink" Target="file:///premium/company/204152" TargetMode="External"/><Relationship Id="rId532" Type="http://schemas.openxmlformats.org/officeDocument/2006/relationships/hyperlink" Target="file:///premium/stock-advisor/coverage/18/coverage/issues/2010/03/19/recommendation-nucor.aspx" TargetMode="External"/><Relationship Id="rId171" Type="http://schemas.openxmlformats.org/officeDocument/2006/relationships/hyperlink" Target="file:///premium/company/204794" TargetMode="External"/><Relationship Id="rId269" Type="http://schemas.openxmlformats.org/officeDocument/2006/relationships/hyperlink" Target="file:///premium/stock-advisor/coverage/18/coverage/updates/2015/09/18/davids-recommendation-novo-nordisk.aspx" TargetMode="External"/><Relationship Id="rId476" Type="http://schemas.openxmlformats.org/officeDocument/2006/relationships/hyperlink" Target="file:///premium/company/205734" TargetMode="External"/><Relationship Id="rId683" Type="http://schemas.openxmlformats.org/officeDocument/2006/relationships/hyperlink" Target="file:///premium/stock-advisor/risk-rating/current/205424" TargetMode="External"/><Relationship Id="rId33" Type="http://schemas.openxmlformats.org/officeDocument/2006/relationships/hyperlink" Target="file:///premium/stock-advisor/coverage/18/coverage/updates/2019/08/15/buy-jack-henry-associates.aspx" TargetMode="External"/><Relationship Id="rId129" Type="http://schemas.openxmlformats.org/officeDocument/2006/relationships/hyperlink" Target="file:///premium/company/289026" TargetMode="External"/><Relationship Id="rId336" Type="http://schemas.openxmlformats.org/officeDocument/2006/relationships/hyperlink" Target="file:///premium/stock-advisor/risk-rating/current/203996" TargetMode="External"/><Relationship Id="rId543" Type="http://schemas.openxmlformats.org/officeDocument/2006/relationships/hyperlink" Target="file:///premium/stock-advisor/coverage/18/coverage/issues/2009/11/20/team-toms-review.asp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96F77-81CD-354B-8336-EC46C711758F}">
  <dimension ref="A1:CX91"/>
  <sheetViews>
    <sheetView tabSelected="1" zoomScale="91" zoomScaleNormal="100" workbookViewId="0">
      <selection activeCell="H10" sqref="H10"/>
    </sheetView>
  </sheetViews>
  <sheetFormatPr baseColWidth="10" defaultRowHeight="16" x14ac:dyDescent="0.2"/>
  <cols>
    <col min="1" max="1" width="27.5" customWidth="1"/>
    <col min="2" max="4" width="11" bestFit="1" customWidth="1"/>
    <col min="5" max="5" width="8.1640625" customWidth="1"/>
    <col min="6" max="6" width="36.6640625" customWidth="1"/>
    <col min="7" max="7" width="17.1640625" customWidth="1"/>
    <col min="8" max="8" width="60" customWidth="1"/>
    <col min="9" max="9" width="13.83203125" bestFit="1" customWidth="1"/>
    <col min="10" max="10" width="16.33203125" bestFit="1" customWidth="1"/>
    <col min="11" max="19" width="8.1640625" bestFit="1" customWidth="1"/>
    <col min="20" max="20" width="6.5" bestFit="1" customWidth="1"/>
    <col min="21" max="29" width="7.6640625" bestFit="1" customWidth="1"/>
    <col min="30" max="40" width="8.83203125" bestFit="1" customWidth="1"/>
    <col min="41" max="47" width="8.6640625" bestFit="1" customWidth="1"/>
    <col min="48" max="49" width="9.83203125" bestFit="1" customWidth="1"/>
    <col min="50" max="51" width="8.6640625" bestFit="1" customWidth="1"/>
    <col min="52" max="57" width="9.83203125" bestFit="1" customWidth="1"/>
    <col min="58" max="64" width="9.1640625" bestFit="1" customWidth="1"/>
    <col min="65" max="69" width="8.1640625" bestFit="1" customWidth="1"/>
    <col min="70" max="82" width="7.1640625" bestFit="1" customWidth="1"/>
    <col min="83" max="89" width="8.1640625" bestFit="1" customWidth="1"/>
    <col min="90" max="90" width="13.5" bestFit="1" customWidth="1"/>
    <col min="91" max="91" width="14" bestFit="1" customWidth="1"/>
    <col min="92" max="92" width="13.5" bestFit="1" customWidth="1"/>
    <col min="93" max="93" width="14" bestFit="1" customWidth="1"/>
    <col min="94" max="94" width="13.5" bestFit="1" customWidth="1"/>
    <col min="95" max="95" width="14" bestFit="1" customWidth="1"/>
    <col min="96" max="96" width="13.5" bestFit="1" customWidth="1"/>
    <col min="97" max="97" width="14" bestFit="1" customWidth="1"/>
    <col min="98" max="98" width="13.5" bestFit="1" customWidth="1"/>
    <col min="99" max="99" width="14" bestFit="1" customWidth="1"/>
    <col min="100" max="100" width="13.5" bestFit="1" customWidth="1"/>
    <col min="101" max="101" width="14" bestFit="1" customWidth="1"/>
    <col min="102" max="102" width="13.5" bestFit="1" customWidth="1"/>
    <col min="103" max="103" width="14" bestFit="1" customWidth="1"/>
    <col min="104" max="104" width="13.5" bestFit="1" customWidth="1"/>
    <col min="105" max="105" width="14" bestFit="1" customWidth="1"/>
    <col min="106" max="106" width="13.5" bestFit="1" customWidth="1"/>
    <col min="107" max="107" width="14" bestFit="1" customWidth="1"/>
    <col min="108" max="108" width="13.5" bestFit="1" customWidth="1"/>
    <col min="109" max="109" width="14" bestFit="1" customWidth="1"/>
    <col min="110" max="110" width="13.5" bestFit="1" customWidth="1"/>
    <col min="111" max="111" width="14" bestFit="1" customWidth="1"/>
    <col min="112" max="112" width="13.5" bestFit="1" customWidth="1"/>
    <col min="113" max="113" width="14" bestFit="1" customWidth="1"/>
    <col min="114" max="114" width="13.5" bestFit="1" customWidth="1"/>
    <col min="115" max="115" width="14" bestFit="1" customWidth="1"/>
    <col min="116" max="116" width="13.5" bestFit="1" customWidth="1"/>
    <col min="117" max="117" width="14" bestFit="1" customWidth="1"/>
    <col min="118" max="118" width="13.5" bestFit="1" customWidth="1"/>
    <col min="119" max="119" width="14" bestFit="1" customWidth="1"/>
    <col min="120" max="120" width="13.5" bestFit="1" customWidth="1"/>
    <col min="121" max="121" width="14" bestFit="1" customWidth="1"/>
    <col min="122" max="122" width="13.5" bestFit="1" customWidth="1"/>
    <col min="123" max="123" width="14" bestFit="1" customWidth="1"/>
    <col min="124" max="124" width="13.5" bestFit="1" customWidth="1"/>
    <col min="125" max="125" width="14" bestFit="1" customWidth="1"/>
    <col min="126" max="126" width="13.5" bestFit="1" customWidth="1"/>
    <col min="127" max="127" width="14" bestFit="1" customWidth="1"/>
    <col min="128" max="128" width="13.5" bestFit="1" customWidth="1"/>
    <col min="129" max="129" width="14" bestFit="1" customWidth="1"/>
    <col min="130" max="130" width="13.5" bestFit="1" customWidth="1"/>
    <col min="131" max="131" width="14" bestFit="1" customWidth="1"/>
    <col min="132" max="132" width="13.5" bestFit="1" customWidth="1"/>
    <col min="133" max="133" width="14" bestFit="1" customWidth="1"/>
    <col min="134" max="134" width="13.5" bestFit="1" customWidth="1"/>
    <col min="135" max="135" width="14" bestFit="1" customWidth="1"/>
    <col min="136" max="136" width="13.5" bestFit="1" customWidth="1"/>
    <col min="137" max="137" width="14" bestFit="1" customWidth="1"/>
    <col min="138" max="138" width="13.5" bestFit="1" customWidth="1"/>
    <col min="139" max="139" width="14" bestFit="1" customWidth="1"/>
    <col min="140" max="140" width="13.5" bestFit="1" customWidth="1"/>
    <col min="141" max="141" width="14" bestFit="1" customWidth="1"/>
    <col min="142" max="142" width="13.5" bestFit="1" customWidth="1"/>
    <col min="143" max="143" width="14" bestFit="1" customWidth="1"/>
    <col min="144" max="144" width="13.5" bestFit="1" customWidth="1"/>
    <col min="145" max="145" width="14" bestFit="1" customWidth="1"/>
    <col min="146" max="146" width="13.5" bestFit="1" customWidth="1"/>
    <col min="147" max="147" width="14" bestFit="1" customWidth="1"/>
    <col min="148" max="148" width="13.5" bestFit="1" customWidth="1"/>
    <col min="149" max="149" width="14" bestFit="1" customWidth="1"/>
    <col min="150" max="150" width="13.5" bestFit="1" customWidth="1"/>
    <col min="151" max="151" width="14" bestFit="1" customWidth="1"/>
    <col min="152" max="152" width="13.5" bestFit="1" customWidth="1"/>
    <col min="153" max="153" width="14" bestFit="1" customWidth="1"/>
    <col min="154" max="154" width="13.5" bestFit="1" customWidth="1"/>
    <col min="155" max="155" width="14" bestFit="1" customWidth="1"/>
    <col min="156" max="156" width="13.5" bestFit="1" customWidth="1"/>
    <col min="157" max="157" width="14" bestFit="1" customWidth="1"/>
    <col min="158" max="158" width="13.5" bestFit="1" customWidth="1"/>
    <col min="159" max="159" width="14" bestFit="1" customWidth="1"/>
    <col min="160" max="160" width="13.5" bestFit="1" customWidth="1"/>
    <col min="161" max="161" width="14" bestFit="1" customWidth="1"/>
    <col min="162" max="162" width="13.5" bestFit="1" customWidth="1"/>
    <col min="163" max="163" width="14" bestFit="1" customWidth="1"/>
    <col min="164" max="164" width="13.5" bestFit="1" customWidth="1"/>
    <col min="165" max="165" width="14" bestFit="1" customWidth="1"/>
    <col min="166" max="166" width="13.5" bestFit="1" customWidth="1"/>
    <col min="167" max="167" width="14" bestFit="1" customWidth="1"/>
    <col min="168" max="168" width="13.5" bestFit="1" customWidth="1"/>
    <col min="169" max="169" width="14" bestFit="1" customWidth="1"/>
    <col min="170" max="170" width="13.5" bestFit="1" customWidth="1"/>
    <col min="171" max="171" width="14" bestFit="1" customWidth="1"/>
    <col min="172" max="172" width="13.5" bestFit="1" customWidth="1"/>
    <col min="173" max="173" width="14" bestFit="1" customWidth="1"/>
    <col min="174" max="174" width="13.5" bestFit="1" customWidth="1"/>
    <col min="175" max="175" width="14" bestFit="1" customWidth="1"/>
    <col min="176" max="176" width="13.5" bestFit="1" customWidth="1"/>
    <col min="177" max="177" width="14" bestFit="1" customWidth="1"/>
    <col min="178" max="178" width="13.5" bestFit="1" customWidth="1"/>
    <col min="179" max="179" width="14" bestFit="1" customWidth="1"/>
    <col min="180" max="180" width="13.5" bestFit="1" customWidth="1"/>
    <col min="181" max="181" width="14" bestFit="1" customWidth="1"/>
    <col min="182" max="182" width="12.1640625" bestFit="1" customWidth="1"/>
    <col min="183" max="183" width="10.1640625" bestFit="1" customWidth="1"/>
    <col min="184" max="186" width="12.1640625" bestFit="1" customWidth="1"/>
    <col min="187" max="187" width="11.1640625" bestFit="1" customWidth="1"/>
    <col min="188" max="195" width="12.1640625" bestFit="1" customWidth="1"/>
    <col min="196" max="196" width="11.1640625" bestFit="1" customWidth="1"/>
    <col min="197" max="212" width="12.1640625" bestFit="1" customWidth="1"/>
    <col min="213" max="213" width="11.1640625" bestFit="1" customWidth="1"/>
    <col min="214" max="215" width="12.1640625" bestFit="1" customWidth="1"/>
    <col min="216" max="216" width="11.1640625" bestFit="1" customWidth="1"/>
    <col min="217" max="224" width="12.1640625" bestFit="1" customWidth="1"/>
    <col min="225" max="225" width="11.1640625" bestFit="1" customWidth="1"/>
    <col min="226" max="228" width="12.1640625" bestFit="1" customWidth="1"/>
    <col min="229" max="229" width="11.1640625" bestFit="1" customWidth="1"/>
    <col min="230" max="232" width="12.1640625" bestFit="1" customWidth="1"/>
    <col min="233" max="234" width="11.1640625" bestFit="1" customWidth="1"/>
    <col min="235" max="241" width="12.1640625" bestFit="1" customWidth="1"/>
    <col min="242" max="242" width="11.1640625" bestFit="1" customWidth="1"/>
    <col min="243" max="253" width="12.1640625" bestFit="1" customWidth="1"/>
    <col min="254" max="255" width="11.1640625" bestFit="1" customWidth="1"/>
    <col min="256" max="264" width="12.1640625" bestFit="1" customWidth="1"/>
    <col min="265" max="265" width="11.1640625" bestFit="1" customWidth="1"/>
    <col min="266" max="269" width="12.1640625" bestFit="1" customWidth="1"/>
    <col min="270" max="270" width="11.1640625" bestFit="1" customWidth="1"/>
    <col min="271" max="280" width="12.1640625" bestFit="1" customWidth="1"/>
    <col min="281" max="281" width="11.1640625" bestFit="1" customWidth="1"/>
    <col min="282" max="307" width="12.1640625" bestFit="1" customWidth="1"/>
    <col min="308" max="308" width="11.1640625" bestFit="1" customWidth="1"/>
    <col min="309" max="313" width="12.1640625" bestFit="1" customWidth="1"/>
    <col min="314" max="314" width="11.1640625" bestFit="1" customWidth="1"/>
    <col min="315" max="319" width="12.1640625" bestFit="1" customWidth="1"/>
    <col min="320" max="321" width="11.1640625" bestFit="1" customWidth="1"/>
    <col min="322" max="330" width="12.1640625" bestFit="1" customWidth="1"/>
    <col min="331" max="331" width="11.1640625" bestFit="1" customWidth="1"/>
    <col min="332" max="335" width="12.1640625" bestFit="1" customWidth="1"/>
    <col min="336" max="336" width="11.1640625" bestFit="1" customWidth="1"/>
    <col min="337" max="345" width="12.1640625" bestFit="1" customWidth="1"/>
    <col min="346" max="348" width="11.1640625" bestFit="1" customWidth="1"/>
    <col min="349" max="366" width="12.1640625" bestFit="1" customWidth="1"/>
    <col min="367" max="367" width="11.1640625" bestFit="1" customWidth="1"/>
    <col min="368" max="368" width="12.1640625" bestFit="1" customWidth="1"/>
    <col min="369" max="369" width="11.1640625" bestFit="1" customWidth="1"/>
    <col min="370" max="390" width="12.1640625" bestFit="1" customWidth="1"/>
    <col min="391" max="391" width="11.1640625" bestFit="1" customWidth="1"/>
    <col min="392" max="420" width="12.1640625" bestFit="1" customWidth="1"/>
    <col min="421" max="421" width="11.1640625" bestFit="1" customWidth="1"/>
    <col min="422" max="423" width="12.1640625" bestFit="1" customWidth="1"/>
    <col min="424" max="424" width="11.1640625" bestFit="1" customWidth="1"/>
  </cols>
  <sheetData>
    <row r="1" spans="1:102" x14ac:dyDescent="0.2">
      <c r="A1" s="79" t="s">
        <v>821</v>
      </c>
      <c r="B1" s="64"/>
      <c r="C1" s="64"/>
      <c r="D1" s="64"/>
      <c r="E1" s="64"/>
      <c r="F1" s="64"/>
      <c r="G1" s="65"/>
      <c r="H1" s="85" t="s">
        <v>823</v>
      </c>
      <c r="I1" t="s">
        <v>804</v>
      </c>
    </row>
    <row r="2" spans="1:102" ht="60" x14ac:dyDescent="0.2">
      <c r="A2" s="55"/>
      <c r="B2" s="32" t="s">
        <v>741</v>
      </c>
      <c r="C2" s="32" t="s">
        <v>809</v>
      </c>
      <c r="D2" s="77" t="s">
        <v>811</v>
      </c>
      <c r="E2" s="70" t="s">
        <v>810</v>
      </c>
      <c r="F2" s="56" t="s">
        <v>819</v>
      </c>
      <c r="G2" s="57"/>
      <c r="H2" s="85"/>
      <c r="I2" s="43" t="s">
        <v>765</v>
      </c>
      <c r="J2" s="45">
        <v>1</v>
      </c>
    </row>
    <row r="3" spans="1:102" x14ac:dyDescent="0.2">
      <c r="A3" s="55" t="s">
        <v>12</v>
      </c>
      <c r="B3" s="58">
        <f>_xlfn.AGGREGATE(12,5,Table1[Return if David])</f>
        <v>0.253</v>
      </c>
      <c r="C3" s="58">
        <f>_xlfn.AGGREGATE(1,5,Table1[Return if David])</f>
        <v>5.1644675925926</v>
      </c>
      <c r="D3" s="71">
        <f>_xlfn.AGGREGATE(9,5,Table1[Return if David])</f>
        <v>1115.5250000000017</v>
      </c>
      <c r="E3" s="72">
        <f>D3/C3</f>
        <v>216.00000000000003</v>
      </c>
      <c r="F3" s="59">
        <f>(C3/C4)-1</f>
        <v>4.9578553269670467</v>
      </c>
      <c r="G3" s="78"/>
      <c r="H3" s="25"/>
    </row>
    <row r="4" spans="1:102" x14ac:dyDescent="0.2">
      <c r="A4" s="55" t="s">
        <v>816</v>
      </c>
      <c r="B4" s="60">
        <f>_xlfn.AGGREGATE(12,5,Table1[S&amp;P if David])</f>
        <v>0.52849999999999997</v>
      </c>
      <c r="C4" s="60">
        <f>_xlfn.AGGREGATE(1,5,Table1[S&amp;P if David])</f>
        <v>0.86683333333333301</v>
      </c>
      <c r="D4" s="73">
        <f>_xlfn.AGGREGATE(9,5,Table1[S&amp;P if David])</f>
        <v>187.23599999999993</v>
      </c>
      <c r="E4" s="72">
        <f t="shared" ref="E4:E8" si="0">D4/C4</f>
        <v>216</v>
      </c>
      <c r="F4" s="59"/>
      <c r="G4" s="57"/>
      <c r="H4" s="26"/>
      <c r="J4" s="43" t="s">
        <v>761</v>
      </c>
    </row>
    <row r="5" spans="1:102" x14ac:dyDescent="0.2">
      <c r="A5" s="55" t="s">
        <v>8</v>
      </c>
      <c r="B5" s="58">
        <f>_xlfn.AGGREGATE(12,5,Table1[Return if Tom])</f>
        <v>0.28599999999999998</v>
      </c>
      <c r="C5" s="58">
        <f>_xlfn.AGGREGATE(1,5,Table1[Return if Tom])</f>
        <v>1.5358853211009158</v>
      </c>
      <c r="D5" s="71">
        <f>_xlfn.AGGREGATE(9,5,Table1[Return if Tom])</f>
        <v>334.82299999999964</v>
      </c>
      <c r="E5" s="72">
        <f t="shared" si="0"/>
        <v>218</v>
      </c>
      <c r="F5" s="59">
        <f>(C5/C6)-1</f>
        <v>1.1765780406942712</v>
      </c>
      <c r="G5" s="57"/>
      <c r="H5" s="25"/>
      <c r="J5" s="6">
        <v>-1</v>
      </c>
      <c r="K5" s="6">
        <v>-0.9</v>
      </c>
      <c r="L5" s="6">
        <v>-0.8</v>
      </c>
      <c r="M5" s="6">
        <v>-0.7</v>
      </c>
      <c r="N5" s="6">
        <v>-0.6</v>
      </c>
      <c r="O5" s="6">
        <v>-0.5</v>
      </c>
      <c r="P5" s="6">
        <v>-0.4</v>
      </c>
      <c r="Q5" s="6">
        <v>-0.3</v>
      </c>
      <c r="R5" s="6">
        <v>-0.2</v>
      </c>
      <c r="S5" s="6">
        <v>-0.1</v>
      </c>
      <c r="T5" s="6">
        <v>0</v>
      </c>
      <c r="U5" s="6">
        <v>0.1</v>
      </c>
      <c r="V5" s="6">
        <v>0.2</v>
      </c>
      <c r="W5" s="6">
        <v>0.3</v>
      </c>
      <c r="X5" s="6">
        <v>0.4</v>
      </c>
      <c r="Y5" s="6">
        <v>0.5</v>
      </c>
      <c r="Z5" s="6">
        <v>0.6</v>
      </c>
      <c r="AA5" s="6">
        <v>0.7</v>
      </c>
      <c r="AB5" s="6">
        <v>0.8</v>
      </c>
      <c r="AC5" s="6">
        <v>0.9</v>
      </c>
      <c r="AD5" s="6">
        <v>1</v>
      </c>
      <c r="AE5" s="6">
        <v>1.2</v>
      </c>
      <c r="AF5" s="6">
        <v>1.4</v>
      </c>
      <c r="AG5" s="6">
        <v>1.6</v>
      </c>
      <c r="AH5" s="6">
        <v>1.9</v>
      </c>
      <c r="AI5" s="6">
        <v>2</v>
      </c>
      <c r="AJ5" s="6">
        <v>2.1</v>
      </c>
      <c r="AK5" s="6">
        <v>2.8</v>
      </c>
      <c r="AL5" s="6">
        <v>2.9</v>
      </c>
      <c r="AM5" s="6">
        <v>3.2</v>
      </c>
      <c r="AN5" s="6">
        <v>4.7</v>
      </c>
    </row>
    <row r="6" spans="1:102" x14ac:dyDescent="0.2">
      <c r="A6" s="55" t="s">
        <v>817</v>
      </c>
      <c r="B6" s="60">
        <f>_xlfn.AGGREGATE(12,5,Table1[S&amp;P if Tom])</f>
        <v>0.48049999999999998</v>
      </c>
      <c r="C6" s="60">
        <f>_xlfn.AGGREGATE(1,5,Table1[S&amp;P if Tom])</f>
        <v>0.70564220183486226</v>
      </c>
      <c r="D6" s="73">
        <f>_xlfn.AGGREGATE(9,5,Table1[S&amp;P if Tom])</f>
        <v>153.82999999999998</v>
      </c>
      <c r="E6" s="72">
        <f t="shared" si="0"/>
        <v>218.00000000000003</v>
      </c>
      <c r="F6" s="59"/>
      <c r="G6" s="57"/>
      <c r="H6" s="26"/>
      <c r="I6" t="s">
        <v>762</v>
      </c>
      <c r="J6" s="6">
        <v>1.6393442622950821E-2</v>
      </c>
      <c r="K6" s="6">
        <v>2.8688524590163935E-2</v>
      </c>
      <c r="L6" s="6">
        <v>4.0983606557377046E-2</v>
      </c>
      <c r="M6" s="6">
        <v>6.1475409836065573E-2</v>
      </c>
      <c r="N6" s="6">
        <v>6.1475409836065573E-2</v>
      </c>
      <c r="O6" s="6">
        <v>4.5081967213114756E-2</v>
      </c>
      <c r="P6" s="6">
        <v>7.3770491803278687E-2</v>
      </c>
      <c r="Q6" s="6">
        <v>6.9672131147540978E-2</v>
      </c>
      <c r="R6" s="6">
        <v>8.6065573770491802E-2</v>
      </c>
      <c r="S6" s="6">
        <v>7.7868852459016397E-2</v>
      </c>
      <c r="T6" s="6">
        <v>7.3770491803278687E-2</v>
      </c>
      <c r="U6" s="6">
        <v>6.9672131147540978E-2</v>
      </c>
      <c r="V6" s="6">
        <v>3.2786885245901641E-2</v>
      </c>
      <c r="W6" s="6">
        <v>3.2786885245901641E-2</v>
      </c>
      <c r="X6" s="6">
        <v>4.9180327868852458E-2</v>
      </c>
      <c r="Y6" s="6">
        <v>1.6393442622950821E-2</v>
      </c>
      <c r="Z6" s="6">
        <v>1.2295081967213115E-2</v>
      </c>
      <c r="AA6" s="6">
        <v>2.4590163934426229E-2</v>
      </c>
      <c r="AB6" s="6">
        <v>1.6393442622950821E-2</v>
      </c>
      <c r="AC6" s="6">
        <v>1.2295081967213115E-2</v>
      </c>
      <c r="AD6" s="6">
        <v>1.6393442622950821E-2</v>
      </c>
      <c r="AE6" s="6">
        <v>8.1967213114754103E-3</v>
      </c>
      <c r="AF6" s="6">
        <v>8.1967213114754103E-3</v>
      </c>
      <c r="AG6" s="6">
        <v>2.4590163934426229E-2</v>
      </c>
      <c r="AH6" s="6">
        <v>1.2295081967213115E-2</v>
      </c>
      <c r="AI6" s="6">
        <v>4.0983606557377051E-3</v>
      </c>
      <c r="AJ6" s="6">
        <v>8.1967213114754103E-3</v>
      </c>
      <c r="AK6" s="6">
        <v>4.0983606557377051E-3</v>
      </c>
      <c r="AL6" s="6">
        <v>4.0983606557377051E-3</v>
      </c>
      <c r="AM6" s="6">
        <v>4.0983606557377051E-3</v>
      </c>
      <c r="AN6" s="6">
        <v>4.0983606557377051E-3</v>
      </c>
    </row>
    <row r="7" spans="1:102" x14ac:dyDescent="0.2">
      <c r="A7" s="55" t="s">
        <v>744</v>
      </c>
      <c r="B7" s="58">
        <f>_xlfn.AGGREGATE(12,5,Table1[Return (keep sorted by this column!)])</f>
        <v>0.28100000000000003</v>
      </c>
      <c r="C7" s="58">
        <f>_xlfn.AGGREGATE(1,5,Table1[Return (keep sorted by this column!)])</f>
        <v>3.341815668202774</v>
      </c>
      <c r="D7" s="71">
        <f>_xlfn.AGGREGATE(9,5,Table1[Return (keep sorted by this column!)])</f>
        <v>1450.3480000000038</v>
      </c>
      <c r="E7" s="72">
        <f t="shared" si="0"/>
        <v>434</v>
      </c>
      <c r="F7" s="59">
        <f>(C7/C8)-1</f>
        <v>3.2523968967883174</v>
      </c>
      <c r="G7" s="57"/>
      <c r="H7" s="25"/>
      <c r="I7" t="s">
        <v>769</v>
      </c>
      <c r="J7" s="26">
        <f>IF(J6&gt;0,SUM($J6:J6),"")</f>
        <v>1.6393442622950821E-2</v>
      </c>
      <c r="K7" s="26">
        <f>IF(K6&gt;0,SUM($J6:K6),"")</f>
        <v>4.5081967213114756E-2</v>
      </c>
      <c r="L7" s="26">
        <f>IF(L6&gt;0,SUM($J6:L6),"")</f>
        <v>8.6065573770491802E-2</v>
      </c>
      <c r="M7" s="26">
        <f>IF(M6&gt;0,SUM($J6:M6),"")</f>
        <v>0.14754098360655737</v>
      </c>
      <c r="N7" s="26">
        <f>IF(N6&gt;0,SUM($J6:N6),"")</f>
        <v>0.20901639344262296</v>
      </c>
      <c r="O7" s="26">
        <f>IF(O6&gt;0,SUM($J6:O6),"")</f>
        <v>0.25409836065573771</v>
      </c>
      <c r="P7" s="26">
        <f>IF(P6&gt;0,SUM($J6:P6),"")</f>
        <v>0.32786885245901642</v>
      </c>
      <c r="Q7" s="26">
        <f>IF(Q6&gt;0,SUM($J6:Q6),"")</f>
        <v>0.39754098360655743</v>
      </c>
      <c r="R7" s="26">
        <f>IF(R6&gt;0,SUM($J6:R6),"")</f>
        <v>0.48360655737704922</v>
      </c>
      <c r="S7" s="26">
        <f>IF(S6&gt;0,SUM($J6:S6),"")</f>
        <v>0.56147540983606559</v>
      </c>
      <c r="T7" s="26">
        <f>IF(T6&gt;0,SUM($J6:T6),"")</f>
        <v>0.63524590163934425</v>
      </c>
      <c r="U7" s="26">
        <f>IF(U6&gt;0,SUM($J6:U6),"")</f>
        <v>0.70491803278688525</v>
      </c>
      <c r="V7" s="26">
        <f>IF(V6&gt;0,SUM($J6:V6),"")</f>
        <v>0.73770491803278693</v>
      </c>
      <c r="W7" s="26">
        <f>IF(W6&gt;0,SUM($J6:W6),"")</f>
        <v>0.7704918032786886</v>
      </c>
      <c r="X7" s="26">
        <f>IF(X6&gt;0,SUM($J6:X6),"")</f>
        <v>0.81967213114754101</v>
      </c>
      <c r="Y7" s="26">
        <f>IF(Y6&gt;0,SUM($J6:Y6),"")</f>
        <v>0.83606557377049184</v>
      </c>
      <c r="Z7" s="26">
        <f>IF(Z6&gt;0,SUM($J6:Z6),"")</f>
        <v>0.84836065573770492</v>
      </c>
      <c r="AA7" s="26">
        <f>IF(AA6&gt;0,SUM($J6:AA6),"")</f>
        <v>0.87295081967213117</v>
      </c>
      <c r="AB7" s="26">
        <f>IF(AB6&gt;0,SUM($J6:AB6),"")</f>
        <v>0.88934426229508201</v>
      </c>
      <c r="AC7" s="26">
        <f>IF(AC6&gt;0,SUM($J6:AC6),"")</f>
        <v>0.90163934426229508</v>
      </c>
      <c r="AD7" s="26">
        <f>IF(AD6&gt;0,SUM($J6:AD6),"")</f>
        <v>0.91803278688524592</v>
      </c>
      <c r="AE7" s="26">
        <f>IF(AE6&gt;0,SUM($J6:AE6),"")</f>
        <v>0.92622950819672134</v>
      </c>
      <c r="AF7" s="26">
        <f>IF(AF6&gt;0,SUM($J6:AF6),"")</f>
        <v>0.93442622950819676</v>
      </c>
      <c r="AG7" s="26">
        <f>IF(AG6&gt;0,SUM($J6:AG6),"")</f>
        <v>0.95901639344262302</v>
      </c>
      <c r="AH7" s="26">
        <f>IF(AH6&gt;0,SUM($J6:AH6),"")</f>
        <v>0.97131147540983609</v>
      </c>
      <c r="AI7" s="26">
        <f>IF(AI6&gt;0,SUM($J6:AI6),"")</f>
        <v>0.97540983606557374</v>
      </c>
      <c r="AJ7" s="26">
        <f>IF(AJ6&gt;0,SUM($J6:AJ6),"")</f>
        <v>0.98360655737704916</v>
      </c>
      <c r="AK7" s="26">
        <f>IF(AK6&gt;0,SUM($J6:AK6),"")</f>
        <v>0.98770491803278682</v>
      </c>
      <c r="AL7" s="26">
        <f>IF(AL6&gt;0,SUM($J6:AL6),"")</f>
        <v>0.99180327868852447</v>
      </c>
      <c r="AM7" s="26">
        <f>IF(AM6&gt;0,SUM($J6:AM6),"")</f>
        <v>0.99590163934426212</v>
      </c>
      <c r="AN7" s="26">
        <f>IF(AN6&gt;0,SUM($J6:AN6),"")</f>
        <v>0.99999999999999978</v>
      </c>
      <c r="AO7" s="26" t="str">
        <f>IF(AO6&gt;0,SUM($J6:AO6),"")</f>
        <v/>
      </c>
      <c r="AP7" s="26" t="str">
        <f>IF(AP6&gt;0,SUM($J6:AP6),"")</f>
        <v/>
      </c>
      <c r="AQ7" s="26" t="str">
        <f>IF(AQ6&gt;0,SUM($J6:AQ6),"")</f>
        <v/>
      </c>
      <c r="AR7" s="26" t="str">
        <f>IF(AR6&gt;0,SUM($J6:AR6),"")</f>
        <v/>
      </c>
      <c r="AS7" s="26" t="str">
        <f>IF(AS6&gt;0,SUM($J6:AS6),"")</f>
        <v/>
      </c>
      <c r="AT7" s="26" t="str">
        <f>IF(AT6&gt;0,SUM($J6:AT6),"")</f>
        <v/>
      </c>
      <c r="AU7" s="26" t="str">
        <f>IF(AU6&gt;0,SUM($J6:AU6),"")</f>
        <v/>
      </c>
      <c r="AV7" s="26" t="str">
        <f>IF(AV6&gt;0,SUM($J6:AV6),"")</f>
        <v/>
      </c>
      <c r="AW7" s="26" t="str">
        <f>IF(AW6&gt;0,SUM($J6:AW6),"")</f>
        <v/>
      </c>
      <c r="AX7" s="26" t="str">
        <f>IF(AX6&gt;0,SUM($J6:AX6),"")</f>
        <v/>
      </c>
      <c r="AY7" s="26" t="str">
        <f>IF(AY6&gt;0,SUM($J6:AY6),"")</f>
        <v/>
      </c>
      <c r="AZ7" s="26" t="str">
        <f>IF(AZ6&gt;0,SUM($J6:AZ6),"")</f>
        <v/>
      </c>
      <c r="BA7" s="26" t="str">
        <f>IF(BA6&gt;0,SUM($J6:BA6),"")</f>
        <v/>
      </c>
      <c r="BB7" s="26" t="str">
        <f>IF(BB6&gt;0,SUM($J6:BB6),"")</f>
        <v/>
      </c>
      <c r="BC7" s="26" t="str">
        <f>IF(BC6&gt;0,SUM($J6:BC6),"")</f>
        <v/>
      </c>
      <c r="BD7" s="26" t="str">
        <f>IF(BD6&gt;0,SUM($J6:BD6),"")</f>
        <v/>
      </c>
      <c r="BE7" s="26" t="str">
        <f>IF(BE6&gt;0,SUM($J6:BE6),"")</f>
        <v/>
      </c>
      <c r="BF7" s="26" t="str">
        <f>IF(BF6&gt;0,SUM($J6:BF6),"")</f>
        <v/>
      </c>
      <c r="BG7" s="26" t="str">
        <f>IF(BG6&gt;0,SUM($J6:BG6),"")</f>
        <v/>
      </c>
      <c r="BH7" s="26" t="str">
        <f>IF(BH6&gt;0,SUM($J6:BH6),"")</f>
        <v/>
      </c>
      <c r="BI7" s="26" t="str">
        <f>IF(BI6&gt;0,SUM($J6:BI6),"")</f>
        <v/>
      </c>
      <c r="BJ7" s="26" t="str">
        <f>IF(BJ6&gt;0,SUM($J6:BJ6),"")</f>
        <v/>
      </c>
      <c r="BK7" s="26" t="str">
        <f>IF(BK6&gt;0,SUM($J6:BK6),"")</f>
        <v/>
      </c>
      <c r="BL7" s="26" t="str">
        <f>IF(BL6&gt;0,SUM($J6:BL6),"")</f>
        <v/>
      </c>
      <c r="BM7" s="26" t="str">
        <f>IF(BM6&gt;0,SUM($J6:BM6),"")</f>
        <v/>
      </c>
      <c r="BN7" s="26" t="str">
        <f>IF(BN6&gt;0,SUM($J6:BN6),"")</f>
        <v/>
      </c>
      <c r="BO7" s="26" t="str">
        <f>IF(BO6&gt;0,SUM($J6:BO6),"")</f>
        <v/>
      </c>
      <c r="BP7" s="26" t="str">
        <f>IF(BP6&gt;0,SUM($J6:BP6),"")</f>
        <v/>
      </c>
      <c r="BQ7" s="26" t="str">
        <f>IF(BQ6&gt;0,SUM($J6:BQ6),"")</f>
        <v/>
      </c>
      <c r="BR7" s="26" t="str">
        <f>IF(BR6&gt;0,SUM($J6:BR6),"")</f>
        <v/>
      </c>
      <c r="BS7" s="26" t="str">
        <f>IF(BS6&gt;0,SUM($J6:BS6),"")</f>
        <v/>
      </c>
      <c r="BT7" s="26" t="str">
        <f>IF(BT6&gt;0,SUM($J6:BT6),"")</f>
        <v/>
      </c>
      <c r="BU7" s="26" t="str">
        <f>IF(BU6&gt;0,SUM($J6:BU6),"")</f>
        <v/>
      </c>
      <c r="BV7" s="26" t="str">
        <f>IF(BV6&gt;0,SUM($J6:BV6),"")</f>
        <v/>
      </c>
      <c r="BW7" s="26" t="str">
        <f>IF(BW6&gt;0,SUM($J6:BW6),"")</f>
        <v/>
      </c>
      <c r="BX7" s="26" t="str">
        <f>IF(BX6&gt;0,SUM($J6:BX6),"")</f>
        <v/>
      </c>
      <c r="BY7" s="26" t="str">
        <f>IF(BY6&gt;0,SUM($J6:BY6),"")</f>
        <v/>
      </c>
      <c r="BZ7" s="26" t="str">
        <f>IF(BZ6&gt;0,SUM($J6:BZ6),"")</f>
        <v/>
      </c>
      <c r="CA7" s="26" t="str">
        <f>IF(CA6&gt;0,SUM($J6:CA6),"")</f>
        <v/>
      </c>
      <c r="CB7" s="26" t="str">
        <f>IF(CB6&gt;0,SUM($J6:CB6),"")</f>
        <v/>
      </c>
      <c r="CC7" s="26" t="str">
        <f>IF(CC6&gt;0,SUM($J6:CC6),"")</f>
        <v/>
      </c>
      <c r="CD7" s="26" t="str">
        <f>IF(CD6&gt;0,SUM($J6:CD6),"")</f>
        <v/>
      </c>
      <c r="CE7" s="26" t="str">
        <f>IF(CE6&gt;0,SUM($J6:CE6),"")</f>
        <v/>
      </c>
      <c r="CF7" s="26" t="str">
        <f>IF(CF6&gt;0,SUM($J6:CF6),"")</f>
        <v/>
      </c>
      <c r="CG7" s="26" t="str">
        <f>IF(CG6&gt;0,SUM($J6:CG6),"")</f>
        <v/>
      </c>
      <c r="CH7" s="26" t="str">
        <f>IF(CH6&gt;0,SUM($J6:CH6),"")</f>
        <v/>
      </c>
      <c r="CI7" s="26" t="str">
        <f>IF(CI6&gt;0,SUM($J6:CI6),"")</f>
        <v/>
      </c>
      <c r="CJ7" s="26" t="str">
        <f>IF(CJ6&gt;0,SUM($J6:CJ6),"")</f>
        <v/>
      </c>
      <c r="CK7" s="26" t="str">
        <f>IF(CK6&gt;0,SUM($J6:CK6),"")</f>
        <v/>
      </c>
      <c r="CL7" s="26" t="str">
        <f>IF(CL6&gt;0,SUM($J6:CL6),"")</f>
        <v/>
      </c>
      <c r="CM7" s="26" t="str">
        <f>IF(CM6&gt;0,SUM($J6:CM6),"")</f>
        <v/>
      </c>
      <c r="CN7" s="26" t="str">
        <f>IF(CN6&gt;0,SUM($J6:CN6),"")</f>
        <v/>
      </c>
      <c r="CO7" s="26" t="str">
        <f>IF(CO6&gt;0,SUM($J6:CO6),"")</f>
        <v/>
      </c>
      <c r="CP7" s="26" t="str">
        <f>IF(CP6&gt;0,SUM($J6:CP6),"")</f>
        <v/>
      </c>
      <c r="CQ7" s="26" t="str">
        <f>IF(CQ6&gt;0,SUM($J6:CQ6),"")</f>
        <v/>
      </c>
      <c r="CR7" s="26" t="str">
        <f>IF(CR6&gt;0,SUM($J6:CR6),"")</f>
        <v/>
      </c>
      <c r="CS7" s="26" t="str">
        <f>IF(CS6&gt;0,SUM($J6:CS6),"")</f>
        <v/>
      </c>
      <c r="CT7" s="26" t="str">
        <f>IF(CT6&gt;0,SUM($J6:CT6),"")</f>
        <v/>
      </c>
      <c r="CU7" s="26" t="str">
        <f>IF(CU6&gt;0,SUM($J6:CU6),"")</f>
        <v/>
      </c>
      <c r="CV7" s="26" t="str">
        <f>IF(CV6&gt;0,SUM($J6:CV6),"")</f>
        <v/>
      </c>
      <c r="CW7" s="26" t="str">
        <f>IF(CW6&gt;0,SUM($J6:CW6),"")</f>
        <v/>
      </c>
      <c r="CX7" s="26" t="str">
        <f>IF(CX6&gt;0,SUM($J6:CX6),"")</f>
        <v/>
      </c>
    </row>
    <row r="8" spans="1:102" ht="17" thickBot="1" x14ac:dyDescent="0.25">
      <c r="A8" s="80" t="s">
        <v>818</v>
      </c>
      <c r="B8" s="61">
        <f>_xlfn.AGGREGATE(12,5,Table1[S&amp;P Return, same period])</f>
        <v>0.495</v>
      </c>
      <c r="C8" s="61">
        <f>_xlfn.AGGREGATE(1,5,Table1[S&amp;P Return, same period])</f>
        <v>0.78586635944700434</v>
      </c>
      <c r="D8" s="74">
        <f>_xlfn.AGGREGATE(9,5,Table1[S&amp;P Return, same period])</f>
        <v>341.06599999999986</v>
      </c>
      <c r="E8" s="75">
        <f t="shared" si="0"/>
        <v>434</v>
      </c>
      <c r="F8" s="62"/>
      <c r="G8" s="63"/>
      <c r="H8" s="26"/>
      <c r="I8" t="s">
        <v>768</v>
      </c>
      <c r="J8" s="50">
        <f>IF(J6&gt;0,SUM(J6:$CX6),"")</f>
        <v>0.99999999999999978</v>
      </c>
      <c r="K8" s="50">
        <f>IF(K6&gt;0,SUM(K6:$CX6),"")</f>
        <v>0.98360655737704894</v>
      </c>
      <c r="L8" s="50">
        <f>IF(L6&gt;0,SUM(L6:$CX6),"")</f>
        <v>0.95491803278688514</v>
      </c>
      <c r="M8" s="50">
        <f>IF(M6&gt;0,SUM(M6:$CX6),"")</f>
        <v>0.91393442622950793</v>
      </c>
      <c r="N8" s="50">
        <f>IF(N6&gt;0,SUM(N6:$CX6),"")</f>
        <v>0.85245901639344246</v>
      </c>
      <c r="O8" s="50">
        <f>IF(O6&gt;0,SUM(O6:$CX6),"")</f>
        <v>0.79098360655737676</v>
      </c>
      <c r="P8" s="50">
        <f>IF(P6&gt;0,SUM(P6:$CX6),"")</f>
        <v>0.7459016393442619</v>
      </c>
      <c r="Q8" s="50">
        <f>IF(Q6&gt;0,SUM(Q6:$CX6),"")</f>
        <v>0.67213114754098324</v>
      </c>
      <c r="R8" s="50">
        <f>IF(R6&gt;0,SUM(R6:$CX6),"")</f>
        <v>0.60245901639344235</v>
      </c>
      <c r="S8" s="50">
        <f>IF(S6&gt;0,SUM(S6:$CX6),"")</f>
        <v>0.51639344262295073</v>
      </c>
      <c r="T8" s="50">
        <f>IF(T6&gt;0,SUM(T6:$CX6),"")</f>
        <v>0.43852459016393452</v>
      </c>
      <c r="U8" s="50">
        <f>IF(U6&gt;0,SUM(U6:$CX6),"")</f>
        <v>0.36475409836065587</v>
      </c>
      <c r="V8" s="50">
        <f>IF(V6&gt;0,SUM(V6:$CX6),"")</f>
        <v>0.2950819672131148</v>
      </c>
      <c r="W8" s="50">
        <f>IF(W6&gt;0,SUM(W6:$CX6),"")</f>
        <v>0.26229508196721318</v>
      </c>
      <c r="X8" s="50">
        <f>IF(X6&gt;0,SUM(X6:$CX6),"")</f>
        <v>0.22950819672131151</v>
      </c>
      <c r="Y8" s="50">
        <f>IF(Y6&gt;0,SUM(Y6:$CX6),"")</f>
        <v>0.18032786885245905</v>
      </c>
      <c r="Z8" s="50">
        <f>IF(Z6&gt;0,SUM(Z6:$CX6),"")</f>
        <v>0.16393442622950821</v>
      </c>
      <c r="AA8" s="50">
        <f>IF(AA6&gt;0,SUM(AA6:$CX6),"")</f>
        <v>0.15163934426229511</v>
      </c>
      <c r="AB8" s="50">
        <f>IF(AB6&gt;0,SUM(AB6:$CX6),"")</f>
        <v>0.12704918032786888</v>
      </c>
      <c r="AC8" s="50">
        <f>IF(AC6&gt;0,SUM(AC6:$CX6),"")</f>
        <v>0.11065573770491804</v>
      </c>
      <c r="AD8" s="50">
        <f>IF(AD6&gt;0,SUM(AD6:$CX6),"")</f>
        <v>9.836065573770493E-2</v>
      </c>
      <c r="AE8" s="50">
        <f>IF(AE6&gt;0,SUM(AE6:$CX6),"")</f>
        <v>8.196721311475412E-2</v>
      </c>
      <c r="AF8" s="50">
        <f>IF(AF6&gt;0,SUM(AF6:$CX6),"")</f>
        <v>7.3770491803278701E-2</v>
      </c>
      <c r="AG8" s="50">
        <f>IF(AG6&gt;0,SUM(AG6:$CX6),"")</f>
        <v>6.5573770491803268E-2</v>
      </c>
      <c r="AH8" s="50">
        <f>IF(AH6&gt;0,SUM(AH6:$CX6),"")</f>
        <v>4.0983606557377046E-2</v>
      </c>
      <c r="AI8" s="50">
        <f>IF(AI6&gt;0,SUM(AI6:$CX6),"")</f>
        <v>2.8688524590163939E-2</v>
      </c>
      <c r="AJ8" s="50">
        <f>IF(AJ6&gt;0,SUM(AJ6:$CX6),"")</f>
        <v>2.4590163934426233E-2</v>
      </c>
      <c r="AK8" s="50">
        <f>IF(AK6&gt;0,SUM(AK6:$CX6),"")</f>
        <v>1.6393442622950821E-2</v>
      </c>
      <c r="AL8" s="50">
        <f>IF(AL6&gt;0,SUM(AL6:$CX6),"")</f>
        <v>1.2295081967213115E-2</v>
      </c>
      <c r="AM8" s="50">
        <f>IF(AM6&gt;0,SUM(AM6:$CX6),"")</f>
        <v>8.1967213114754103E-3</v>
      </c>
      <c r="AN8" s="50">
        <f>IF(AN6&gt;0,SUM(AN6:$CX6),"")</f>
        <v>4.0983606557377051E-3</v>
      </c>
      <c r="AO8" s="50" t="str">
        <f>IF(AO6&gt;0,SUM(AO6:$CX6),"")</f>
        <v/>
      </c>
      <c r="AP8" s="50" t="str">
        <f>IF(AP6&gt;0,SUM(AP6:$CX6),"")</f>
        <v/>
      </c>
      <c r="AQ8" s="50" t="str">
        <f>IF(AQ6&gt;0,SUM(AQ6:$CX6),"")</f>
        <v/>
      </c>
      <c r="AR8" s="50" t="str">
        <f>IF(AR6&gt;0,SUM(AR6:$CX6),"")</f>
        <v/>
      </c>
      <c r="AS8" s="50" t="str">
        <f>IF(AS6&gt;0,SUM(AS6:$CX6),"")</f>
        <v/>
      </c>
      <c r="AT8" s="50" t="str">
        <f>IF(AT6&gt;0,SUM(AT6:$CX6),"")</f>
        <v/>
      </c>
      <c r="AU8" s="50" t="str">
        <f>IF(AU6&gt;0,SUM(AU6:$CX6),"")</f>
        <v/>
      </c>
      <c r="AV8" s="50" t="str">
        <f>IF(AV6&gt;0,SUM(AV6:$CX6),"")</f>
        <v/>
      </c>
      <c r="AW8" s="50" t="str">
        <f>IF(AW6&gt;0,SUM(AW6:$CX6),"")</f>
        <v/>
      </c>
      <c r="AX8" s="50" t="str">
        <f>IF(AX6&gt;0,SUM(AX6:$CX6),"")</f>
        <v/>
      </c>
      <c r="AY8" s="50" t="str">
        <f>IF(AY6&gt;0,SUM(AY6:$CX6),"")</f>
        <v/>
      </c>
      <c r="AZ8" s="50" t="str">
        <f>IF(AZ6&gt;0,SUM(AZ6:$CX6),"")</f>
        <v/>
      </c>
      <c r="BA8" s="50" t="str">
        <f>IF(BA6&gt;0,SUM(BA6:$CX6),"")</f>
        <v/>
      </c>
      <c r="BB8" s="50" t="str">
        <f>IF(BB6&gt;0,SUM(BB6:$CX6),"")</f>
        <v/>
      </c>
      <c r="BC8" s="50" t="str">
        <f>IF(BC6&gt;0,SUM(BC6:$CX6),"")</f>
        <v/>
      </c>
      <c r="BD8" s="50" t="str">
        <f>IF(BD6&gt;0,SUM(BD6:$CX6),"")</f>
        <v/>
      </c>
      <c r="BE8" s="50" t="str">
        <f>IF(BE6&gt;0,SUM(BE6:$CX6),"")</f>
        <v/>
      </c>
      <c r="BF8" s="50" t="str">
        <f>IF(BF6&gt;0,SUM(BF6:$CX6),"")</f>
        <v/>
      </c>
      <c r="BG8" s="50" t="str">
        <f>IF(BG6&gt;0,SUM(BG6:$CX6),"")</f>
        <v/>
      </c>
      <c r="BH8" s="50" t="str">
        <f>IF(BH6&gt;0,SUM(BH6:$CX6),"")</f>
        <v/>
      </c>
      <c r="BI8" s="50" t="str">
        <f>IF(BI6&gt;0,SUM(BI6:$CX6),"")</f>
        <v/>
      </c>
      <c r="BJ8" s="50" t="str">
        <f>IF(BJ6&gt;0,SUM(BJ6:$CX6),"")</f>
        <v/>
      </c>
      <c r="BK8" s="50" t="str">
        <f>IF(BK6&gt;0,SUM(BK6:$CX6),"")</f>
        <v/>
      </c>
      <c r="BL8" s="50" t="str">
        <f>IF(BL6&gt;0,SUM(BL6:$CX6),"")</f>
        <v/>
      </c>
      <c r="BM8" s="50" t="str">
        <f>IF(BM6&gt;0,SUM(BM6:$CX6),"")</f>
        <v/>
      </c>
      <c r="BN8" s="50" t="str">
        <f>IF(BN6&gt;0,SUM(BN6:$CX6),"")</f>
        <v/>
      </c>
      <c r="BO8" s="50" t="str">
        <f>IF(BO6&gt;0,SUM(BO6:$CX6),"")</f>
        <v/>
      </c>
      <c r="BP8" s="50" t="str">
        <f>IF(BP6&gt;0,SUM(BP6:$CX6),"")</f>
        <v/>
      </c>
      <c r="BQ8" s="50" t="str">
        <f>IF(BQ6&gt;0,SUM(BQ6:$CX6),"")</f>
        <v/>
      </c>
      <c r="BR8" s="50" t="str">
        <f>IF(BR6&gt;0,SUM(BR6:$CX6),"")</f>
        <v/>
      </c>
      <c r="BS8" s="50" t="str">
        <f>IF(BS6&gt;0,SUM(BS6:$CX6),"")</f>
        <v/>
      </c>
      <c r="BT8" s="50" t="str">
        <f>IF(BT6&gt;0,SUM(BT6:$CX6),"")</f>
        <v/>
      </c>
      <c r="BU8" s="50" t="str">
        <f>IF(BU6&gt;0,SUM(BU6:$CX6),"")</f>
        <v/>
      </c>
      <c r="BV8" s="50" t="str">
        <f>IF(BV6&gt;0,SUM(BV6:$CX6),"")</f>
        <v/>
      </c>
      <c r="BW8" s="50" t="str">
        <f>IF(BW6&gt;0,SUM(BW6:$CX6),"")</f>
        <v/>
      </c>
      <c r="BX8" s="50" t="str">
        <f>IF(BX6&gt;0,SUM(BX6:$CX6),"")</f>
        <v/>
      </c>
      <c r="BY8" s="50" t="str">
        <f>IF(BY6&gt;0,SUM(BY6:$CX6),"")</f>
        <v/>
      </c>
      <c r="BZ8" s="50" t="str">
        <f>IF(BZ6&gt;0,SUM(BZ6:$CX6),"")</f>
        <v/>
      </c>
      <c r="CA8" s="50" t="str">
        <f>IF(CA6&gt;0,SUM(CA6:$CX6),"")</f>
        <v/>
      </c>
      <c r="CB8" s="50" t="str">
        <f>IF(CB6&gt;0,SUM(CB6:$CX6),"")</f>
        <v/>
      </c>
      <c r="CC8" s="50" t="str">
        <f>IF(CC6&gt;0,SUM(CC6:$CX6),"")</f>
        <v/>
      </c>
      <c r="CD8" s="50" t="str">
        <f>IF(CD6&gt;0,SUM(CD6:$CX6),"")</f>
        <v/>
      </c>
      <c r="CE8" s="50" t="str">
        <f>IF(CE6&gt;0,SUM(CE6:$CX6),"")</f>
        <v/>
      </c>
      <c r="CF8" s="50" t="str">
        <f>IF(CF6&gt;0,SUM(CF6:$CX6),"")</f>
        <v/>
      </c>
      <c r="CG8" s="50" t="str">
        <f>IF(CG6&gt;0,SUM(CG6:$CX6),"")</f>
        <v/>
      </c>
      <c r="CH8" s="50" t="str">
        <f>IF(CH6&gt;0,SUM(CH6:$CX6),"")</f>
        <v/>
      </c>
      <c r="CI8" s="50" t="str">
        <f>IF(CI6&gt;0,SUM(CI6:$CX6),"")</f>
        <v/>
      </c>
      <c r="CJ8" s="50" t="str">
        <f>IF(CJ6&gt;0,SUM(CJ6:$CX6),"")</f>
        <v/>
      </c>
      <c r="CK8" s="50" t="str">
        <f>IF(CK6&gt;0,SUM(CK6:$CX6),"")</f>
        <v/>
      </c>
      <c r="CL8" s="50" t="str">
        <f>IF(CL6&gt;0,SUM(CL6:$CX6),"")</f>
        <v/>
      </c>
      <c r="CM8" s="50" t="str">
        <f>IF(CM6&gt;0,SUM(CM6:$CX6),"")</f>
        <v/>
      </c>
      <c r="CN8" s="50" t="str">
        <f>IF(CN6&gt;0,SUM(CN6:$CX6),"")</f>
        <v/>
      </c>
      <c r="CO8" s="50" t="str">
        <f>IF(CO6&gt;0,SUM(CO6:$CX6),"")</f>
        <v/>
      </c>
      <c r="CP8" s="50" t="str">
        <f>IF(CP6&gt;0,SUM(CP6:$CX6),"")</f>
        <v/>
      </c>
      <c r="CQ8" s="50" t="str">
        <f>IF(CQ6&gt;0,SUM(CQ6:$CX6),"")</f>
        <v/>
      </c>
      <c r="CR8" s="50" t="str">
        <f>IF(CR6&gt;0,SUM(CR6:$CX6),"")</f>
        <v/>
      </c>
      <c r="CS8" s="50" t="str">
        <f>IF(CS6&gt;0,SUM(CS6:$CX6),"")</f>
        <v/>
      </c>
      <c r="CT8" s="50" t="str">
        <f>IF(CT6&gt;0,SUM(CT6:$CX6),"")</f>
        <v/>
      </c>
      <c r="CU8" s="50" t="str">
        <f>IF(CU6&gt;0,SUM(CU6:$CX6),"")</f>
        <v/>
      </c>
      <c r="CV8" s="50" t="str">
        <f>IF(CV6&gt;0,SUM(CV6:$CX6),"")</f>
        <v/>
      </c>
      <c r="CW8" s="50" t="str">
        <f>IF(CW6&gt;0,SUM(CW6:$CX6),"")</f>
        <v/>
      </c>
      <c r="CX8" s="50" t="str">
        <f>IF(CX6&gt;0,SUM(CX6:$CX6),"")</f>
        <v/>
      </c>
    </row>
    <row r="9" spans="1:102" x14ac:dyDescent="0.2">
      <c r="B9" s="9"/>
      <c r="C9" s="9"/>
      <c r="D9" s="9"/>
    </row>
    <row r="10" spans="1:102" s="66" customFormat="1" x14ac:dyDescent="0.2">
      <c r="A10" s="66" t="s">
        <v>822</v>
      </c>
    </row>
    <row r="11" spans="1:102" ht="17" thickBot="1" x14ac:dyDescent="0.25"/>
    <row r="12" spans="1:102" x14ac:dyDescent="0.2">
      <c r="A12" s="81" t="s">
        <v>748</v>
      </c>
      <c r="B12" s="82"/>
      <c r="C12" s="82"/>
      <c r="D12" s="82"/>
      <c r="E12" s="82"/>
      <c r="F12" s="82"/>
      <c r="G12" s="83"/>
    </row>
    <row r="13" spans="1:102" ht="60" x14ac:dyDescent="0.2">
      <c r="A13" s="55"/>
      <c r="B13" s="32" t="s">
        <v>741</v>
      </c>
      <c r="C13" s="32" t="s">
        <v>809</v>
      </c>
      <c r="D13" s="77" t="s">
        <v>811</v>
      </c>
      <c r="E13" s="70" t="s">
        <v>810</v>
      </c>
      <c r="F13" s="56" t="s">
        <v>805</v>
      </c>
      <c r="G13" s="57"/>
      <c r="H13" s="2"/>
      <c r="I13" s="43" t="s">
        <v>765</v>
      </c>
      <c r="J13" s="45">
        <v>1</v>
      </c>
    </row>
    <row r="14" spans="1:102" x14ac:dyDescent="0.2">
      <c r="A14" s="55" t="s">
        <v>12</v>
      </c>
      <c r="B14" s="58">
        <v>0.253</v>
      </c>
      <c r="C14" s="58">
        <v>5.1644675925926</v>
      </c>
      <c r="D14" s="71">
        <v>1115.5250000000017</v>
      </c>
      <c r="E14" s="72">
        <v>216.00000000000003</v>
      </c>
      <c r="F14" s="59">
        <v>4.9578553269670467</v>
      </c>
      <c r="G14" s="57"/>
      <c r="H14" s="25"/>
    </row>
    <row r="15" spans="1:102" x14ac:dyDescent="0.2">
      <c r="A15" s="55" t="s">
        <v>816</v>
      </c>
      <c r="B15" s="60">
        <v>0.52849999999999997</v>
      </c>
      <c r="C15" s="60">
        <v>0.86683333333333301</v>
      </c>
      <c r="D15" s="73">
        <v>187.23599999999993</v>
      </c>
      <c r="E15" s="72">
        <v>216</v>
      </c>
      <c r="F15" s="59"/>
      <c r="G15" s="57"/>
      <c r="H15" s="26"/>
      <c r="I15" s="43"/>
      <c r="J15" t="s">
        <v>761</v>
      </c>
    </row>
    <row r="16" spans="1:102" x14ac:dyDescent="0.2">
      <c r="A16" s="55" t="s">
        <v>8</v>
      </c>
      <c r="B16" s="58">
        <v>0.28599999999999998</v>
      </c>
      <c r="C16" s="58">
        <v>1.5358853211009158</v>
      </c>
      <c r="D16" s="71">
        <v>334.82299999999964</v>
      </c>
      <c r="E16" s="72">
        <v>218</v>
      </c>
      <c r="F16" s="59">
        <v>1.1765780406942712</v>
      </c>
      <c r="G16" s="57"/>
      <c r="H16" s="25"/>
      <c r="J16" s="6">
        <v>-1</v>
      </c>
      <c r="K16" s="6">
        <v>-0.9</v>
      </c>
      <c r="L16" s="6">
        <v>-0.8</v>
      </c>
      <c r="M16" s="6">
        <v>-0.7</v>
      </c>
      <c r="N16" s="6">
        <v>-0.6</v>
      </c>
      <c r="O16" s="6">
        <v>-0.5</v>
      </c>
      <c r="P16" s="6">
        <v>-0.4</v>
      </c>
      <c r="Q16" s="6">
        <v>-0.3</v>
      </c>
      <c r="R16" s="6">
        <v>-0.2</v>
      </c>
      <c r="S16" s="6">
        <v>-0.1</v>
      </c>
      <c r="T16" s="6">
        <v>0</v>
      </c>
      <c r="U16" s="6">
        <v>0.1</v>
      </c>
      <c r="V16" s="6">
        <v>0.2</v>
      </c>
      <c r="W16" s="6">
        <v>0.3</v>
      </c>
      <c r="X16" s="6">
        <v>0.4</v>
      </c>
      <c r="Y16" s="6">
        <v>0.5</v>
      </c>
      <c r="Z16" s="6">
        <v>0.6</v>
      </c>
      <c r="AA16" s="6">
        <v>0.7</v>
      </c>
      <c r="AB16" s="6">
        <v>0.8</v>
      </c>
      <c r="AC16" s="6">
        <v>0.9</v>
      </c>
      <c r="AD16" s="6">
        <v>1</v>
      </c>
      <c r="AE16" s="6">
        <v>1.1000000000000001</v>
      </c>
      <c r="AF16" s="6">
        <v>1.2</v>
      </c>
      <c r="AG16" s="6">
        <v>1.3</v>
      </c>
      <c r="AH16" s="6">
        <v>1.4</v>
      </c>
      <c r="AI16" s="6">
        <v>1.6</v>
      </c>
      <c r="AJ16" s="6">
        <v>1.8</v>
      </c>
      <c r="AK16" s="6">
        <v>1.9</v>
      </c>
      <c r="AL16" s="6">
        <v>2</v>
      </c>
      <c r="AM16" s="6">
        <v>2.1</v>
      </c>
      <c r="AN16" s="6">
        <v>2.4</v>
      </c>
      <c r="AO16" s="6">
        <v>2.8</v>
      </c>
      <c r="AP16" s="6">
        <v>2.9</v>
      </c>
      <c r="AQ16" s="6">
        <v>3.2</v>
      </c>
      <c r="AR16" s="6">
        <v>3.4</v>
      </c>
      <c r="AS16" s="6">
        <v>3.6</v>
      </c>
      <c r="AT16" s="6">
        <v>4</v>
      </c>
      <c r="AU16" s="6">
        <v>4.0999999999999996</v>
      </c>
      <c r="AV16" s="6">
        <v>4.7</v>
      </c>
      <c r="AW16" s="6">
        <v>6.6</v>
      </c>
      <c r="AX16" s="6">
        <v>7.1</v>
      </c>
      <c r="AY16" s="6">
        <v>7.2</v>
      </c>
      <c r="AZ16" s="6">
        <v>8.5</v>
      </c>
      <c r="BA16" s="6">
        <v>10.4</v>
      </c>
      <c r="BB16" s="6">
        <v>14.1</v>
      </c>
      <c r="BC16" s="6">
        <v>17.5</v>
      </c>
      <c r="BD16" s="6">
        <v>25.8</v>
      </c>
      <c r="BE16" s="6">
        <v>29.5</v>
      </c>
      <c r="BF16" s="6">
        <v>37.6</v>
      </c>
      <c r="BG16" s="6">
        <v>43.4</v>
      </c>
      <c r="BH16" s="6">
        <v>51.5</v>
      </c>
      <c r="BI16" s="6">
        <v>58.2</v>
      </c>
    </row>
    <row r="17" spans="1:102" x14ac:dyDescent="0.2">
      <c r="A17" s="55" t="s">
        <v>817</v>
      </c>
      <c r="B17" s="60">
        <v>0.48049999999999998</v>
      </c>
      <c r="C17" s="60">
        <v>0.70564220183486226</v>
      </c>
      <c r="D17" s="73">
        <v>153.82999999999998</v>
      </c>
      <c r="E17" s="72">
        <v>218.00000000000003</v>
      </c>
      <c r="F17" s="59"/>
      <c r="G17" s="57"/>
      <c r="H17" s="26"/>
      <c r="I17" t="s">
        <v>762</v>
      </c>
      <c r="J17" s="6">
        <v>9.2165898617511521E-3</v>
      </c>
      <c r="K17" s="6">
        <v>2.7649769585253458E-2</v>
      </c>
      <c r="L17" s="6">
        <v>3.6866359447004608E-2</v>
      </c>
      <c r="M17" s="6">
        <v>5.5299539170506916E-2</v>
      </c>
      <c r="N17" s="6">
        <v>5.9907834101382486E-2</v>
      </c>
      <c r="O17" s="6">
        <v>5.0691244239631339E-2</v>
      </c>
      <c r="P17" s="6">
        <v>7.8341013824884786E-2</v>
      </c>
      <c r="Q17" s="6">
        <v>7.3732718894009217E-2</v>
      </c>
      <c r="R17" s="6">
        <v>6.2211981566820278E-2</v>
      </c>
      <c r="S17" s="6">
        <v>8.0645161290322578E-2</v>
      </c>
      <c r="T17" s="6">
        <v>5.7603686635944701E-2</v>
      </c>
      <c r="U17" s="6">
        <v>6.9124423963133647E-2</v>
      </c>
      <c r="V17" s="6">
        <v>3.2258064516129031E-2</v>
      </c>
      <c r="W17" s="6">
        <v>3.4562211981566823E-2</v>
      </c>
      <c r="X17" s="6">
        <v>4.6082949308755762E-2</v>
      </c>
      <c r="Y17" s="6">
        <v>1.8433179723502304E-2</v>
      </c>
      <c r="Z17" s="6">
        <v>1.6129032258064516E-2</v>
      </c>
      <c r="AA17" s="6">
        <v>3.2258064516129031E-2</v>
      </c>
      <c r="AB17" s="6">
        <v>1.1520737327188941E-2</v>
      </c>
      <c r="AC17" s="6">
        <v>1.1520737327188941E-2</v>
      </c>
      <c r="AD17" s="6">
        <v>1.1520737327188941E-2</v>
      </c>
      <c r="AE17" s="6">
        <v>2.304147465437788E-3</v>
      </c>
      <c r="AF17" s="6">
        <v>1.3824884792626729E-2</v>
      </c>
      <c r="AG17" s="6">
        <v>2.304147465437788E-3</v>
      </c>
      <c r="AH17" s="6">
        <v>6.9124423963133645E-3</v>
      </c>
      <c r="AI17" s="6">
        <v>1.8433179723502304E-2</v>
      </c>
      <c r="AJ17" s="6">
        <v>4.608294930875576E-3</v>
      </c>
      <c r="AK17" s="6">
        <v>9.2165898617511521E-3</v>
      </c>
      <c r="AL17" s="6">
        <v>2.304147465437788E-3</v>
      </c>
      <c r="AM17" s="6">
        <v>6.9124423963133645E-3</v>
      </c>
      <c r="AN17" s="6">
        <v>2.304147465437788E-3</v>
      </c>
      <c r="AO17" s="6">
        <v>2.304147465437788E-3</v>
      </c>
      <c r="AP17" s="6">
        <v>2.304147465437788E-3</v>
      </c>
      <c r="AQ17" s="6">
        <v>6.9124423963133645E-3</v>
      </c>
      <c r="AR17" s="6">
        <v>2.304147465437788E-3</v>
      </c>
      <c r="AS17" s="6">
        <v>2.304147465437788E-3</v>
      </c>
      <c r="AT17" s="6">
        <v>4.608294930875576E-3</v>
      </c>
      <c r="AU17" s="6">
        <v>2.304147465437788E-3</v>
      </c>
      <c r="AV17" s="6">
        <v>2.304147465437788E-3</v>
      </c>
      <c r="AW17" s="6">
        <v>2.304147465437788E-3</v>
      </c>
      <c r="AX17" s="6">
        <v>2.304147465437788E-3</v>
      </c>
      <c r="AY17" s="6">
        <v>2.304147465437788E-3</v>
      </c>
      <c r="AZ17" s="6">
        <v>2.304147465437788E-3</v>
      </c>
      <c r="BA17" s="6">
        <v>2.304147465437788E-3</v>
      </c>
      <c r="BB17" s="6">
        <v>2.304147465437788E-3</v>
      </c>
      <c r="BC17" s="6">
        <v>2.304147465437788E-3</v>
      </c>
      <c r="BD17" s="6">
        <v>2.304147465437788E-3</v>
      </c>
      <c r="BE17" s="6">
        <v>2.304147465437788E-3</v>
      </c>
      <c r="BF17" s="6">
        <v>2.304147465437788E-3</v>
      </c>
      <c r="BG17" s="6">
        <v>2.304147465437788E-3</v>
      </c>
      <c r="BH17" s="6">
        <v>2.304147465437788E-3</v>
      </c>
      <c r="BI17" s="6">
        <v>2.304147465437788E-3</v>
      </c>
    </row>
    <row r="18" spans="1:102" x14ac:dyDescent="0.2">
      <c r="A18" s="55" t="s">
        <v>744</v>
      </c>
      <c r="B18" s="58">
        <v>0.28100000000000003</v>
      </c>
      <c r="C18" s="58">
        <v>3.341815668202774</v>
      </c>
      <c r="D18" s="71">
        <v>1450.3480000000038</v>
      </c>
      <c r="E18" s="72">
        <v>434</v>
      </c>
      <c r="F18" s="59">
        <v>3.2523968967883174</v>
      </c>
      <c r="G18" s="57"/>
      <c r="H18" s="25"/>
      <c r="I18" t="s">
        <v>769</v>
      </c>
      <c r="J18" s="26">
        <v>9.2165898617511521E-3</v>
      </c>
      <c r="K18" s="26">
        <v>3.6866359447004608E-2</v>
      </c>
      <c r="L18" s="26">
        <v>7.3732718894009217E-2</v>
      </c>
      <c r="M18" s="26">
        <v>0.12903225806451613</v>
      </c>
      <c r="N18" s="26">
        <v>0.1889400921658986</v>
      </c>
      <c r="O18" s="26">
        <v>0.23963133640552994</v>
      </c>
      <c r="P18" s="26">
        <v>0.3179723502304147</v>
      </c>
      <c r="Q18" s="26">
        <v>0.39170506912442393</v>
      </c>
      <c r="R18" s="26">
        <v>0.45391705069124422</v>
      </c>
      <c r="S18" s="26">
        <v>0.53456221198156684</v>
      </c>
      <c r="T18" s="26">
        <v>0.59216589861751157</v>
      </c>
      <c r="U18" s="26">
        <v>0.66129032258064524</v>
      </c>
      <c r="V18" s="26">
        <v>0.69354838709677424</v>
      </c>
      <c r="W18" s="26">
        <v>0.72811059907834108</v>
      </c>
      <c r="X18" s="26">
        <v>0.77419354838709686</v>
      </c>
      <c r="Y18" s="26">
        <v>0.7926267281105992</v>
      </c>
      <c r="Z18" s="26">
        <v>0.8087557603686637</v>
      </c>
      <c r="AA18" s="26">
        <v>0.8410138248847927</v>
      </c>
      <c r="AB18" s="26">
        <v>0.85253456221198165</v>
      </c>
      <c r="AC18" s="26">
        <v>0.8640552995391706</v>
      </c>
      <c r="AD18" s="26">
        <v>0.87557603686635954</v>
      </c>
      <c r="AE18" s="26">
        <v>0.87788018433179738</v>
      </c>
      <c r="AF18" s="26">
        <v>0.89170506912442415</v>
      </c>
      <c r="AG18" s="26">
        <v>0.89400921658986199</v>
      </c>
      <c r="AH18" s="26">
        <v>0.90092165898617538</v>
      </c>
      <c r="AI18" s="26">
        <v>0.91935483870967771</v>
      </c>
      <c r="AJ18" s="26">
        <v>0.92396313364055327</v>
      </c>
      <c r="AK18" s="26">
        <v>0.93317972350230438</v>
      </c>
      <c r="AL18" s="26">
        <v>0.93548387096774221</v>
      </c>
      <c r="AM18" s="26">
        <v>0.9423963133640556</v>
      </c>
      <c r="AN18" s="26">
        <v>0.94470046082949344</v>
      </c>
      <c r="AO18" s="26">
        <v>0.94700460829493127</v>
      </c>
      <c r="AP18" s="26">
        <v>0.94930875576036911</v>
      </c>
      <c r="AQ18" s="26">
        <v>0.95622119815668249</v>
      </c>
      <c r="AR18" s="26">
        <v>0.95852534562212033</v>
      </c>
      <c r="AS18" s="26">
        <v>0.96082949308755816</v>
      </c>
      <c r="AT18" s="26">
        <v>0.96543778801843372</v>
      </c>
      <c r="AU18" s="26">
        <v>0.96774193548387155</v>
      </c>
      <c r="AV18" s="26">
        <v>0.97004608294930939</v>
      </c>
      <c r="AW18" s="26">
        <v>0.97235023041474722</v>
      </c>
      <c r="AX18" s="26">
        <v>0.97465437788018505</v>
      </c>
      <c r="AY18" s="26">
        <v>0.97695852534562289</v>
      </c>
      <c r="AZ18" s="26">
        <v>0.97926267281106072</v>
      </c>
      <c r="BA18" s="26">
        <v>0.98156682027649855</v>
      </c>
      <c r="BB18" s="26">
        <v>0.98387096774193639</v>
      </c>
      <c r="BC18" s="26">
        <v>0.98617511520737422</v>
      </c>
      <c r="BD18" s="26">
        <v>0.98847926267281205</v>
      </c>
      <c r="BE18" s="26">
        <v>0.99078341013824989</v>
      </c>
      <c r="BF18" s="26">
        <v>0.99308755760368772</v>
      </c>
      <c r="BG18" s="26">
        <v>0.99539170506912555</v>
      </c>
      <c r="BH18" s="26">
        <v>0.99769585253456339</v>
      </c>
      <c r="BI18" s="26">
        <v>1.0000000000000011</v>
      </c>
      <c r="BJ18" s="26" t="s">
        <v>766</v>
      </c>
      <c r="BK18" s="26" t="s">
        <v>766</v>
      </c>
      <c r="BL18" s="26" t="s">
        <v>766</v>
      </c>
      <c r="BM18" s="26" t="s">
        <v>766</v>
      </c>
      <c r="BN18" s="26" t="s">
        <v>766</v>
      </c>
      <c r="BO18" s="26" t="s">
        <v>766</v>
      </c>
      <c r="BP18" s="26" t="s">
        <v>766</v>
      </c>
      <c r="BQ18" s="26" t="s">
        <v>766</v>
      </c>
      <c r="BR18" s="26" t="s">
        <v>766</v>
      </c>
      <c r="BS18" s="26" t="s">
        <v>766</v>
      </c>
      <c r="BT18" s="26" t="s">
        <v>766</v>
      </c>
      <c r="BU18" s="26" t="s">
        <v>766</v>
      </c>
      <c r="BV18" s="26" t="s">
        <v>766</v>
      </c>
      <c r="BW18" s="26" t="s">
        <v>766</v>
      </c>
      <c r="BX18" s="26" t="s">
        <v>766</v>
      </c>
      <c r="BY18" s="26" t="s">
        <v>766</v>
      </c>
      <c r="BZ18" s="26" t="s">
        <v>766</v>
      </c>
      <c r="CA18" s="26" t="s">
        <v>766</v>
      </c>
      <c r="CB18" s="26" t="s">
        <v>766</v>
      </c>
      <c r="CC18" s="26" t="s">
        <v>766</v>
      </c>
      <c r="CD18" s="26" t="s">
        <v>766</v>
      </c>
      <c r="CE18" s="26" t="s">
        <v>766</v>
      </c>
      <c r="CF18" s="26" t="s">
        <v>766</v>
      </c>
      <c r="CG18" s="26" t="s">
        <v>766</v>
      </c>
      <c r="CH18" s="26" t="s">
        <v>766</v>
      </c>
      <c r="CI18" s="26" t="s">
        <v>766</v>
      </c>
      <c r="CJ18" s="26" t="s">
        <v>766</v>
      </c>
      <c r="CK18" s="26" t="s">
        <v>766</v>
      </c>
      <c r="CL18" s="26" t="s">
        <v>766</v>
      </c>
      <c r="CM18" s="26" t="s">
        <v>766</v>
      </c>
      <c r="CN18" s="26" t="s">
        <v>766</v>
      </c>
      <c r="CO18" s="26" t="s">
        <v>766</v>
      </c>
      <c r="CP18" s="26" t="s">
        <v>766</v>
      </c>
      <c r="CQ18" s="26" t="s">
        <v>766</v>
      </c>
      <c r="CR18" s="26" t="s">
        <v>766</v>
      </c>
      <c r="CS18" s="26" t="s">
        <v>766</v>
      </c>
      <c r="CT18" s="26" t="s">
        <v>766</v>
      </c>
      <c r="CU18" s="26" t="s">
        <v>766</v>
      </c>
      <c r="CV18" s="26" t="s">
        <v>766</v>
      </c>
      <c r="CW18" s="26" t="s">
        <v>766</v>
      </c>
      <c r="CX18" s="26" t="s">
        <v>766</v>
      </c>
    </row>
    <row r="19" spans="1:102" ht="17" thickBot="1" x14ac:dyDescent="0.25">
      <c r="A19" s="80" t="s">
        <v>818</v>
      </c>
      <c r="B19" s="61">
        <v>0.495</v>
      </c>
      <c r="C19" s="61">
        <v>0.78586635944700434</v>
      </c>
      <c r="D19" s="74">
        <v>341.06599999999986</v>
      </c>
      <c r="E19" s="75">
        <v>434</v>
      </c>
      <c r="F19" s="62"/>
      <c r="G19" s="63"/>
      <c r="H19" s="26"/>
      <c r="I19" t="s">
        <v>768</v>
      </c>
      <c r="J19" s="50">
        <v>1.0000000000000011</v>
      </c>
      <c r="K19" s="50">
        <v>0.99078341013825011</v>
      </c>
      <c r="L19" s="50">
        <v>0.96313364055299655</v>
      </c>
      <c r="M19" s="50">
        <v>0.92626728110599199</v>
      </c>
      <c r="N19" s="50">
        <v>0.87096774193548498</v>
      </c>
      <c r="O19" s="50">
        <v>0.81105990783410253</v>
      </c>
      <c r="P19" s="50">
        <v>0.76036866359447119</v>
      </c>
      <c r="Q19" s="50">
        <v>0.68202764976958641</v>
      </c>
      <c r="R19" s="50">
        <v>0.60829493087557707</v>
      </c>
      <c r="S19" s="50">
        <v>0.54608294930875645</v>
      </c>
      <c r="T19" s="50">
        <v>0.46543778801843294</v>
      </c>
      <c r="U19" s="50">
        <v>0.40783410138248827</v>
      </c>
      <c r="V19" s="50">
        <v>0.33870967741935465</v>
      </c>
      <c r="W19" s="50">
        <v>0.30645161290322565</v>
      </c>
      <c r="X19" s="50">
        <v>0.27188940092165875</v>
      </c>
      <c r="Y19" s="50">
        <v>0.22580645161290305</v>
      </c>
      <c r="Z19" s="50">
        <v>0.20737327188940072</v>
      </c>
      <c r="AA19" s="50">
        <v>0.19124423963133622</v>
      </c>
      <c r="AB19" s="50">
        <v>0.15898617511520724</v>
      </c>
      <c r="AC19" s="50">
        <v>0.14746543778801838</v>
      </c>
      <c r="AD19" s="50">
        <v>0.13594470046082949</v>
      </c>
      <c r="AE19" s="50">
        <v>0.12442396313364062</v>
      </c>
      <c r="AF19" s="50">
        <v>0.12211981566820283</v>
      </c>
      <c r="AG19" s="50">
        <v>0.10829493087557608</v>
      </c>
      <c r="AH19" s="50">
        <v>0.10599078341013829</v>
      </c>
      <c r="AI19" s="50">
        <v>9.9078341013824914E-2</v>
      </c>
      <c r="AJ19" s="50">
        <v>8.0645161290322578E-2</v>
      </c>
      <c r="AK19" s="50">
        <v>7.6036866359446995E-2</v>
      </c>
      <c r="AL19" s="50">
        <v>6.6820276497695813E-2</v>
      </c>
      <c r="AM19" s="50">
        <v>6.4516129032258021E-2</v>
      </c>
      <c r="AN19" s="50">
        <v>5.7603686635944666E-2</v>
      </c>
      <c r="AO19" s="50">
        <v>5.5299539170506881E-2</v>
      </c>
      <c r="AP19" s="50">
        <v>5.2995391705069096E-2</v>
      </c>
      <c r="AQ19" s="50">
        <v>5.0691244239631311E-2</v>
      </c>
      <c r="AR19" s="50">
        <v>4.3778801843317956E-2</v>
      </c>
      <c r="AS19" s="50">
        <v>4.1474654377880171E-2</v>
      </c>
      <c r="AT19" s="50">
        <v>3.9170506912442386E-2</v>
      </c>
      <c r="AU19" s="50">
        <v>3.4562211981566816E-2</v>
      </c>
      <c r="AV19" s="50">
        <v>3.2258064516129031E-2</v>
      </c>
      <c r="AW19" s="50">
        <v>2.9953917050691246E-2</v>
      </c>
      <c r="AX19" s="50">
        <v>2.7649769585253458E-2</v>
      </c>
      <c r="AY19" s="50">
        <v>2.5345622119815669E-2</v>
      </c>
      <c r="AZ19" s="50">
        <v>2.3041474654377881E-2</v>
      </c>
      <c r="BA19" s="50">
        <v>2.0737327188940093E-2</v>
      </c>
      <c r="BB19" s="50">
        <v>1.8433179723502304E-2</v>
      </c>
      <c r="BC19" s="50">
        <v>1.6129032258064516E-2</v>
      </c>
      <c r="BD19" s="50">
        <v>1.3824884792626729E-2</v>
      </c>
      <c r="BE19" s="50">
        <v>1.1520737327188941E-2</v>
      </c>
      <c r="BF19" s="50">
        <v>9.2165898617511521E-3</v>
      </c>
      <c r="BG19" s="50">
        <v>6.9124423963133636E-3</v>
      </c>
      <c r="BH19" s="50">
        <v>4.608294930875576E-3</v>
      </c>
      <c r="BI19" s="50">
        <v>2.304147465437788E-3</v>
      </c>
      <c r="BJ19" s="50" t="s">
        <v>766</v>
      </c>
      <c r="BK19" s="50" t="s">
        <v>766</v>
      </c>
      <c r="BL19" s="50" t="s">
        <v>766</v>
      </c>
      <c r="BM19" s="50" t="s">
        <v>766</v>
      </c>
      <c r="BN19" s="50" t="s">
        <v>766</v>
      </c>
      <c r="BO19" s="50" t="s">
        <v>766</v>
      </c>
      <c r="BP19" s="50" t="s">
        <v>766</v>
      </c>
      <c r="BQ19" s="50" t="s">
        <v>766</v>
      </c>
      <c r="BR19" s="50" t="s">
        <v>766</v>
      </c>
      <c r="BS19" s="50" t="s">
        <v>766</v>
      </c>
      <c r="BT19" s="50" t="s">
        <v>766</v>
      </c>
      <c r="BU19" s="50" t="s">
        <v>766</v>
      </c>
      <c r="BV19" s="50" t="s">
        <v>766</v>
      </c>
      <c r="BW19" s="50" t="s">
        <v>766</v>
      </c>
      <c r="BX19" s="50" t="s">
        <v>766</v>
      </c>
      <c r="BY19" s="50" t="s">
        <v>766</v>
      </c>
      <c r="BZ19" s="50" t="s">
        <v>766</v>
      </c>
      <c r="CA19" s="50" t="s">
        <v>766</v>
      </c>
      <c r="CB19" s="50" t="s">
        <v>766</v>
      </c>
      <c r="CC19" s="50" t="s">
        <v>766</v>
      </c>
      <c r="CD19" s="50" t="s">
        <v>766</v>
      </c>
      <c r="CE19" s="50" t="s">
        <v>766</v>
      </c>
      <c r="CF19" s="50" t="s">
        <v>766</v>
      </c>
      <c r="CG19" s="50" t="s">
        <v>766</v>
      </c>
      <c r="CH19" s="50" t="s">
        <v>766</v>
      </c>
      <c r="CI19" s="50" t="s">
        <v>766</v>
      </c>
      <c r="CJ19" s="50" t="s">
        <v>766</v>
      </c>
      <c r="CK19" s="50" t="s">
        <v>766</v>
      </c>
      <c r="CL19" s="50" t="s">
        <v>766</v>
      </c>
      <c r="CM19" s="50" t="s">
        <v>766</v>
      </c>
      <c r="CN19" s="50" t="s">
        <v>766</v>
      </c>
      <c r="CO19" s="50" t="s">
        <v>766</v>
      </c>
      <c r="CP19" s="50" t="s">
        <v>766</v>
      </c>
      <c r="CQ19" s="50" t="s">
        <v>766</v>
      </c>
      <c r="CR19" s="50" t="s">
        <v>766</v>
      </c>
      <c r="CS19" s="50" t="s">
        <v>766</v>
      </c>
      <c r="CT19" s="50" t="s">
        <v>766</v>
      </c>
      <c r="CU19" s="50" t="s">
        <v>766</v>
      </c>
      <c r="CV19" s="50" t="s">
        <v>766</v>
      </c>
      <c r="CW19" s="50" t="s">
        <v>766</v>
      </c>
      <c r="CX19" s="50" t="s">
        <v>766</v>
      </c>
    </row>
    <row r="20" spans="1:102" ht="17" thickBot="1" x14ac:dyDescent="0.25"/>
    <row r="21" spans="1:102" x14ac:dyDescent="0.2">
      <c r="A21" s="81" t="s">
        <v>776</v>
      </c>
      <c r="B21" s="82"/>
      <c r="C21" s="82"/>
      <c r="D21" s="82"/>
      <c r="E21" s="82"/>
      <c r="F21" s="82"/>
      <c r="G21" s="83"/>
    </row>
    <row r="22" spans="1:102" ht="51" x14ac:dyDescent="0.2">
      <c r="A22" s="55"/>
      <c r="B22" s="32" t="s">
        <v>741</v>
      </c>
      <c r="C22" s="32" t="s">
        <v>742</v>
      </c>
      <c r="D22" s="77" t="s">
        <v>811</v>
      </c>
      <c r="E22" s="70" t="s">
        <v>810</v>
      </c>
      <c r="F22" s="56" t="s">
        <v>805</v>
      </c>
      <c r="G22" s="57"/>
      <c r="H22" s="2"/>
      <c r="I22" s="43" t="s">
        <v>765</v>
      </c>
      <c r="J22" s="45">
        <v>1</v>
      </c>
    </row>
    <row r="23" spans="1:102" x14ac:dyDescent="0.2">
      <c r="A23" s="55" t="s">
        <v>12</v>
      </c>
      <c r="B23" s="58">
        <v>0.23449999999999999</v>
      </c>
      <c r="C23" s="58">
        <v>0.97967164179104382</v>
      </c>
      <c r="D23" s="71">
        <v>131.27599999999987</v>
      </c>
      <c r="E23" s="72">
        <v>134</v>
      </c>
      <c r="F23" s="59">
        <v>0.33284598905505769</v>
      </c>
      <c r="G23" s="57"/>
      <c r="H23" s="25"/>
    </row>
    <row r="24" spans="1:102" x14ac:dyDescent="0.2">
      <c r="A24" s="55" t="s">
        <v>816</v>
      </c>
      <c r="B24" s="60">
        <v>0.50150000000000006</v>
      </c>
      <c r="C24" s="60">
        <v>0.73502238805970188</v>
      </c>
      <c r="D24" s="73">
        <v>98.493000000000052</v>
      </c>
      <c r="E24" s="72">
        <v>134</v>
      </c>
      <c r="F24" s="59"/>
      <c r="G24" s="57"/>
      <c r="H24" s="26"/>
      <c r="I24" s="43"/>
      <c r="J24" t="s">
        <v>761</v>
      </c>
    </row>
    <row r="25" spans="1:102" x14ac:dyDescent="0.2">
      <c r="A25" s="55" t="s">
        <v>8</v>
      </c>
      <c r="B25" s="58">
        <v>0.28599999999999998</v>
      </c>
      <c r="C25" s="58">
        <v>0.74642647058823552</v>
      </c>
      <c r="D25" s="71">
        <v>101.51400000000004</v>
      </c>
      <c r="E25" s="72">
        <v>136</v>
      </c>
      <c r="F25" s="59">
        <v>0.13414593272034603</v>
      </c>
      <c r="G25" s="57"/>
      <c r="H25" s="25"/>
      <c r="J25" s="6">
        <v>-1</v>
      </c>
      <c r="K25" s="6">
        <v>-0.9</v>
      </c>
      <c r="L25" s="6">
        <v>-0.8</v>
      </c>
      <c r="M25" s="6">
        <v>-0.7</v>
      </c>
      <c r="N25" s="6">
        <v>-0.6</v>
      </c>
      <c r="O25" s="6">
        <v>-0.5</v>
      </c>
      <c r="P25" s="6">
        <v>-0.4</v>
      </c>
      <c r="Q25" s="6">
        <v>-0.3</v>
      </c>
      <c r="R25" s="6">
        <v>-0.2</v>
      </c>
      <c r="S25" s="6">
        <v>-0.1</v>
      </c>
      <c r="T25" s="6">
        <v>0</v>
      </c>
      <c r="U25" s="6">
        <v>0.1</v>
      </c>
      <c r="V25" s="6">
        <v>0.2</v>
      </c>
      <c r="W25" s="6">
        <v>0.3</v>
      </c>
      <c r="X25" s="6">
        <v>0.4</v>
      </c>
      <c r="Y25" s="6">
        <v>0.5</v>
      </c>
      <c r="Z25" s="6">
        <v>0.6</v>
      </c>
      <c r="AA25" s="6">
        <v>0.7</v>
      </c>
      <c r="AB25" s="6">
        <v>0.8</v>
      </c>
      <c r="AC25" s="6">
        <v>0.9</v>
      </c>
      <c r="AD25" s="6">
        <v>1</v>
      </c>
      <c r="AE25" s="6">
        <v>1.2</v>
      </c>
      <c r="AF25" s="6">
        <v>1.4</v>
      </c>
      <c r="AG25" s="6">
        <v>1.6</v>
      </c>
      <c r="AH25" s="6">
        <v>1.8</v>
      </c>
      <c r="AI25" s="6">
        <v>1.9</v>
      </c>
      <c r="AJ25" s="6">
        <v>2</v>
      </c>
      <c r="AK25" s="6">
        <v>2.1</v>
      </c>
      <c r="AL25" s="6">
        <v>2.8</v>
      </c>
      <c r="AM25" s="6">
        <v>2.9</v>
      </c>
      <c r="AN25" s="6">
        <v>3.2</v>
      </c>
      <c r="AO25" s="6">
        <v>4.0999999999999996</v>
      </c>
      <c r="AP25" s="6">
        <v>4.7</v>
      </c>
      <c r="AQ25" s="6">
        <v>7.1</v>
      </c>
      <c r="AR25" s="6">
        <v>8.5</v>
      </c>
    </row>
    <row r="26" spans="1:102" x14ac:dyDescent="0.2">
      <c r="A26" s="55" t="s">
        <v>817</v>
      </c>
      <c r="B26" s="60">
        <v>0.495</v>
      </c>
      <c r="C26" s="60">
        <v>0.65813970588235304</v>
      </c>
      <c r="D26" s="73">
        <v>89.507000000000019</v>
      </c>
      <c r="E26" s="72">
        <v>136</v>
      </c>
      <c r="F26" s="59"/>
      <c r="G26" s="57"/>
      <c r="H26" s="26"/>
      <c r="I26" t="s">
        <v>762</v>
      </c>
      <c r="J26" s="6">
        <v>1.4814814814814815E-2</v>
      </c>
      <c r="K26" s="6">
        <v>2.5925925925925925E-2</v>
      </c>
      <c r="L26" s="6">
        <v>4.0740740740740744E-2</v>
      </c>
      <c r="M26" s="6">
        <v>5.5555555555555552E-2</v>
      </c>
      <c r="N26" s="6">
        <v>5.5555555555555552E-2</v>
      </c>
      <c r="O26" s="6">
        <v>4.4444444444444446E-2</v>
      </c>
      <c r="P26" s="6">
        <v>7.407407407407407E-2</v>
      </c>
      <c r="Q26" s="6">
        <v>7.407407407407407E-2</v>
      </c>
      <c r="R26" s="6">
        <v>8.1481481481481488E-2</v>
      </c>
      <c r="S26" s="6">
        <v>8.5185185185185183E-2</v>
      </c>
      <c r="T26" s="6">
        <v>7.0370370370370375E-2</v>
      </c>
      <c r="U26" s="6">
        <v>7.0370370370370375E-2</v>
      </c>
      <c r="V26" s="6">
        <v>3.7037037037037035E-2</v>
      </c>
      <c r="W26" s="6">
        <v>3.7037037037037035E-2</v>
      </c>
      <c r="X26" s="6">
        <v>4.4444444444444446E-2</v>
      </c>
      <c r="Y26" s="6">
        <v>1.8518518518518517E-2</v>
      </c>
      <c r="Z26" s="6">
        <v>1.1111111111111112E-2</v>
      </c>
      <c r="AA26" s="6">
        <v>2.9629629629629631E-2</v>
      </c>
      <c r="AB26" s="6">
        <v>1.4814814814814815E-2</v>
      </c>
      <c r="AC26" s="6">
        <v>1.1111111111111112E-2</v>
      </c>
      <c r="AD26" s="6">
        <v>1.4814814814814815E-2</v>
      </c>
      <c r="AE26" s="6">
        <v>7.4074074074074077E-3</v>
      </c>
      <c r="AF26" s="6">
        <v>7.4074074074074077E-3</v>
      </c>
      <c r="AG26" s="6">
        <v>2.2222222222222223E-2</v>
      </c>
      <c r="AH26" s="6">
        <v>3.7037037037037038E-3</v>
      </c>
      <c r="AI26" s="6">
        <v>1.1111111111111112E-2</v>
      </c>
      <c r="AJ26" s="6">
        <v>3.7037037037037038E-3</v>
      </c>
      <c r="AK26" s="6">
        <v>7.4074074074074077E-3</v>
      </c>
      <c r="AL26" s="6">
        <v>3.7037037037037038E-3</v>
      </c>
      <c r="AM26" s="6">
        <v>3.7037037037037038E-3</v>
      </c>
      <c r="AN26" s="6">
        <v>3.7037037037037038E-3</v>
      </c>
      <c r="AO26" s="6">
        <v>3.7037037037037038E-3</v>
      </c>
      <c r="AP26" s="6">
        <v>3.7037037037037038E-3</v>
      </c>
      <c r="AQ26" s="6">
        <v>3.7037037037037038E-3</v>
      </c>
      <c r="AR26" s="6">
        <v>3.7037037037037038E-3</v>
      </c>
    </row>
    <row r="27" spans="1:102" x14ac:dyDescent="0.2">
      <c r="A27" s="55" t="s">
        <v>744</v>
      </c>
      <c r="B27" s="58">
        <v>0.26300000000000001</v>
      </c>
      <c r="C27" s="58">
        <v>0.86218518518518417</v>
      </c>
      <c r="D27" s="71">
        <v>232.78999999999974</v>
      </c>
      <c r="E27" s="72">
        <v>270</v>
      </c>
      <c r="F27" s="59">
        <v>0.23824468085106254</v>
      </c>
      <c r="G27" s="57"/>
      <c r="H27" s="25"/>
      <c r="I27" t="s">
        <v>769</v>
      </c>
      <c r="J27" s="26">
        <v>1.4814814814814815E-2</v>
      </c>
      <c r="K27" s="26">
        <v>4.0740740740740744E-2</v>
      </c>
      <c r="L27" s="26">
        <v>8.1481481481481488E-2</v>
      </c>
      <c r="M27" s="26">
        <v>0.13703703703703704</v>
      </c>
      <c r="N27" s="26">
        <v>0.19259259259259259</v>
      </c>
      <c r="O27" s="26">
        <v>0.23703703703703705</v>
      </c>
      <c r="P27" s="26">
        <v>0.31111111111111112</v>
      </c>
      <c r="Q27" s="26">
        <v>0.38518518518518519</v>
      </c>
      <c r="R27" s="26">
        <v>0.46666666666666667</v>
      </c>
      <c r="S27" s="26">
        <v>0.55185185185185182</v>
      </c>
      <c r="T27" s="26">
        <v>0.62222222222222223</v>
      </c>
      <c r="U27" s="26">
        <v>0.69259259259259265</v>
      </c>
      <c r="V27" s="26">
        <v>0.72962962962962963</v>
      </c>
      <c r="W27" s="26">
        <v>0.76666666666666661</v>
      </c>
      <c r="X27" s="26">
        <v>0.81111111111111101</v>
      </c>
      <c r="Y27" s="26">
        <v>0.82962962962962949</v>
      </c>
      <c r="Z27" s="26">
        <v>0.84074074074074057</v>
      </c>
      <c r="AA27" s="26">
        <v>0.87037037037037024</v>
      </c>
      <c r="AB27" s="26">
        <v>0.88518518518518507</v>
      </c>
      <c r="AC27" s="26">
        <v>0.89629629629629615</v>
      </c>
      <c r="AD27" s="26">
        <v>0.91111111111111098</v>
      </c>
      <c r="AE27" s="26">
        <v>0.9185185185185184</v>
      </c>
      <c r="AF27" s="26">
        <v>0.92592592592592582</v>
      </c>
      <c r="AG27" s="26">
        <v>0.94814814814814807</v>
      </c>
      <c r="AH27" s="26">
        <v>0.95185185185185173</v>
      </c>
      <c r="AI27" s="26">
        <v>0.9629629629629628</v>
      </c>
      <c r="AJ27" s="26">
        <v>0.96666666666666645</v>
      </c>
      <c r="AK27" s="26">
        <v>0.97407407407407387</v>
      </c>
      <c r="AL27" s="26">
        <v>0.97777777777777752</v>
      </c>
      <c r="AM27" s="26">
        <v>0.98148148148148118</v>
      </c>
      <c r="AN27" s="26">
        <v>0.98518518518518483</v>
      </c>
      <c r="AO27" s="26">
        <v>0.98888888888888848</v>
      </c>
      <c r="AP27" s="26">
        <v>0.99259259259259214</v>
      </c>
      <c r="AQ27" s="26">
        <v>0.99629629629629579</v>
      </c>
      <c r="AR27" s="26">
        <v>0.99999999999999944</v>
      </c>
      <c r="AS27" s="26" t="s">
        <v>766</v>
      </c>
      <c r="AT27" s="26" t="s">
        <v>766</v>
      </c>
      <c r="AU27" s="26" t="s">
        <v>766</v>
      </c>
      <c r="AV27" s="26" t="s">
        <v>766</v>
      </c>
      <c r="AW27" s="26" t="s">
        <v>766</v>
      </c>
      <c r="AX27" s="26" t="s">
        <v>766</v>
      </c>
      <c r="AY27" s="26" t="s">
        <v>766</v>
      </c>
      <c r="AZ27" s="26" t="s">
        <v>766</v>
      </c>
      <c r="BA27" s="26" t="s">
        <v>766</v>
      </c>
      <c r="BB27" s="26" t="s">
        <v>766</v>
      </c>
      <c r="BC27" s="26" t="s">
        <v>766</v>
      </c>
      <c r="BD27" s="26" t="s">
        <v>766</v>
      </c>
      <c r="BE27" s="26" t="s">
        <v>766</v>
      </c>
      <c r="BF27" s="26" t="s">
        <v>766</v>
      </c>
      <c r="BG27" s="26" t="s">
        <v>766</v>
      </c>
      <c r="BH27" s="26" t="s">
        <v>766</v>
      </c>
      <c r="BI27" s="26" t="s">
        <v>766</v>
      </c>
      <c r="BJ27" s="26" t="s">
        <v>766</v>
      </c>
      <c r="BK27" s="26" t="s">
        <v>766</v>
      </c>
      <c r="BL27" s="26" t="s">
        <v>766</v>
      </c>
      <c r="BM27" s="26" t="s">
        <v>766</v>
      </c>
      <c r="BN27" s="26" t="s">
        <v>766</v>
      </c>
      <c r="BO27" s="26" t="s">
        <v>766</v>
      </c>
      <c r="BP27" s="26" t="s">
        <v>766</v>
      </c>
      <c r="BQ27" s="26" t="s">
        <v>766</v>
      </c>
      <c r="BR27" s="26" t="s">
        <v>766</v>
      </c>
      <c r="BS27" s="26" t="s">
        <v>766</v>
      </c>
      <c r="BT27" s="26" t="s">
        <v>766</v>
      </c>
      <c r="BU27" s="26" t="s">
        <v>766</v>
      </c>
      <c r="BV27" s="26" t="s">
        <v>766</v>
      </c>
      <c r="BW27" s="26" t="s">
        <v>766</v>
      </c>
      <c r="BX27" s="26" t="s">
        <v>766</v>
      </c>
      <c r="BY27" s="26" t="s">
        <v>766</v>
      </c>
      <c r="BZ27" s="26" t="s">
        <v>766</v>
      </c>
      <c r="CA27" s="26" t="s">
        <v>766</v>
      </c>
      <c r="CB27" s="26" t="s">
        <v>766</v>
      </c>
      <c r="CC27" s="26" t="s">
        <v>766</v>
      </c>
      <c r="CD27" s="26" t="s">
        <v>766</v>
      </c>
      <c r="CE27" s="26" t="s">
        <v>766</v>
      </c>
      <c r="CF27" s="26" t="s">
        <v>766</v>
      </c>
      <c r="CG27" s="26" t="s">
        <v>766</v>
      </c>
      <c r="CH27" s="26" t="s">
        <v>766</v>
      </c>
      <c r="CI27" s="26" t="s">
        <v>766</v>
      </c>
      <c r="CJ27" s="26" t="s">
        <v>766</v>
      </c>
      <c r="CK27" s="26" t="s">
        <v>766</v>
      </c>
      <c r="CL27" s="26" t="s">
        <v>766</v>
      </c>
      <c r="CM27" s="26" t="s">
        <v>766</v>
      </c>
      <c r="CN27" s="26" t="s">
        <v>766</v>
      </c>
      <c r="CO27" s="26" t="s">
        <v>766</v>
      </c>
      <c r="CP27" s="26" t="s">
        <v>766</v>
      </c>
      <c r="CQ27" s="26" t="s">
        <v>766</v>
      </c>
      <c r="CR27" s="26" t="s">
        <v>766</v>
      </c>
      <c r="CS27" s="26" t="s">
        <v>766</v>
      </c>
      <c r="CT27" s="26" t="s">
        <v>766</v>
      </c>
      <c r="CU27" s="26" t="s">
        <v>766</v>
      </c>
      <c r="CV27" s="26" t="s">
        <v>766</v>
      </c>
      <c r="CW27" s="26" t="s">
        <v>766</v>
      </c>
      <c r="CX27" s="26" t="s">
        <v>766</v>
      </c>
    </row>
    <row r="28" spans="1:102" ht="17" thickBot="1" x14ac:dyDescent="0.25">
      <c r="A28" s="80" t="s">
        <v>818</v>
      </c>
      <c r="B28" s="61">
        <v>0.495</v>
      </c>
      <c r="C28" s="61">
        <v>0.69629629629629619</v>
      </c>
      <c r="D28" s="74">
        <v>187.99999999999997</v>
      </c>
      <c r="E28" s="75">
        <v>270</v>
      </c>
      <c r="F28" s="62"/>
      <c r="G28" s="63"/>
      <c r="H28" s="26"/>
      <c r="I28" t="s">
        <v>768</v>
      </c>
      <c r="J28" s="50">
        <v>0.99999999999999944</v>
      </c>
      <c r="K28" s="50">
        <v>0.98518518518518461</v>
      </c>
      <c r="L28" s="50">
        <v>0.9592592592592587</v>
      </c>
      <c r="M28" s="50">
        <v>0.91851851851851796</v>
      </c>
      <c r="N28" s="50">
        <v>0.86296296296296238</v>
      </c>
      <c r="O28" s="50">
        <v>0.8074074074074068</v>
      </c>
      <c r="P28" s="50">
        <v>0.76296296296296251</v>
      </c>
      <c r="Q28" s="50">
        <v>0.68888888888888844</v>
      </c>
      <c r="R28" s="50">
        <v>0.61481481481481437</v>
      </c>
      <c r="S28" s="50">
        <v>0.53333333333333299</v>
      </c>
      <c r="T28" s="50">
        <v>0.4481481481481483</v>
      </c>
      <c r="U28" s="50">
        <v>0.37777777777777788</v>
      </c>
      <c r="V28" s="50">
        <v>0.30740740740740746</v>
      </c>
      <c r="W28" s="50">
        <v>0.27037037037037043</v>
      </c>
      <c r="X28" s="50">
        <v>0.23333333333333339</v>
      </c>
      <c r="Y28" s="50">
        <v>0.18888888888888894</v>
      </c>
      <c r="Z28" s="50">
        <v>0.17037037037037042</v>
      </c>
      <c r="AA28" s="50">
        <v>0.15925925925925932</v>
      </c>
      <c r="AB28" s="50">
        <v>0.12962962962962968</v>
      </c>
      <c r="AC28" s="50">
        <v>0.11481481481481487</v>
      </c>
      <c r="AD28" s="50">
        <v>0.10370370370370374</v>
      </c>
      <c r="AE28" s="50">
        <v>8.888888888888892E-2</v>
      </c>
      <c r="AF28" s="50">
        <v>8.1481481481481502E-2</v>
      </c>
      <c r="AG28" s="50">
        <v>7.4074074074074084E-2</v>
      </c>
      <c r="AH28" s="50">
        <v>5.1851851851851843E-2</v>
      </c>
      <c r="AI28" s="50">
        <v>4.8148148148148141E-2</v>
      </c>
      <c r="AJ28" s="50">
        <v>3.7037037037037028E-2</v>
      </c>
      <c r="AK28" s="50">
        <v>3.3333333333333326E-2</v>
      </c>
      <c r="AL28" s="50">
        <v>2.5925925925925922E-2</v>
      </c>
      <c r="AM28" s="50">
        <v>2.222222222222222E-2</v>
      </c>
      <c r="AN28" s="50">
        <v>1.8518518518518517E-2</v>
      </c>
      <c r="AO28" s="50">
        <v>1.4814814814814815E-2</v>
      </c>
      <c r="AP28" s="50">
        <v>1.1111111111111112E-2</v>
      </c>
      <c r="AQ28" s="50">
        <v>7.4074074074074077E-3</v>
      </c>
      <c r="AR28" s="50">
        <v>3.7037037037037038E-3</v>
      </c>
      <c r="AS28" s="50" t="s">
        <v>766</v>
      </c>
      <c r="AT28" s="50" t="s">
        <v>766</v>
      </c>
      <c r="AU28" s="50" t="s">
        <v>766</v>
      </c>
      <c r="AV28" s="50" t="s">
        <v>766</v>
      </c>
      <c r="AW28" s="50" t="s">
        <v>766</v>
      </c>
      <c r="AX28" s="50" t="s">
        <v>766</v>
      </c>
      <c r="AY28" s="50" t="s">
        <v>766</v>
      </c>
      <c r="AZ28" s="50" t="s">
        <v>766</v>
      </c>
      <c r="BA28" s="50" t="s">
        <v>766</v>
      </c>
      <c r="BB28" s="50" t="s">
        <v>766</v>
      </c>
      <c r="BC28" s="50" t="s">
        <v>766</v>
      </c>
      <c r="BD28" s="50" t="s">
        <v>766</v>
      </c>
      <c r="BE28" s="50" t="s">
        <v>766</v>
      </c>
      <c r="BF28" s="50" t="s">
        <v>766</v>
      </c>
      <c r="BG28" s="50" t="s">
        <v>766</v>
      </c>
      <c r="BH28" s="50" t="s">
        <v>766</v>
      </c>
      <c r="BI28" s="50" t="s">
        <v>766</v>
      </c>
      <c r="BJ28" s="50" t="s">
        <v>766</v>
      </c>
      <c r="BK28" s="50" t="s">
        <v>766</v>
      </c>
      <c r="BL28" s="50" t="s">
        <v>766</v>
      </c>
      <c r="BM28" s="50" t="s">
        <v>766</v>
      </c>
      <c r="BN28" s="50" t="s">
        <v>766</v>
      </c>
      <c r="BO28" s="50" t="s">
        <v>766</v>
      </c>
      <c r="BP28" s="50" t="s">
        <v>766</v>
      </c>
      <c r="BQ28" s="50" t="s">
        <v>766</v>
      </c>
      <c r="BR28" s="50" t="s">
        <v>766</v>
      </c>
      <c r="BS28" s="50" t="s">
        <v>766</v>
      </c>
      <c r="BT28" s="50" t="s">
        <v>766</v>
      </c>
      <c r="BU28" s="50" t="s">
        <v>766</v>
      </c>
      <c r="BV28" s="50" t="s">
        <v>766</v>
      </c>
      <c r="BW28" s="50" t="s">
        <v>766</v>
      </c>
      <c r="BX28" s="50" t="s">
        <v>766</v>
      </c>
      <c r="BY28" s="50" t="s">
        <v>766</v>
      </c>
      <c r="BZ28" s="50" t="s">
        <v>766</v>
      </c>
      <c r="CA28" s="50" t="s">
        <v>766</v>
      </c>
      <c r="CB28" s="50" t="s">
        <v>766</v>
      </c>
      <c r="CC28" s="50" t="s">
        <v>766</v>
      </c>
      <c r="CD28" s="50" t="s">
        <v>766</v>
      </c>
      <c r="CE28" s="50" t="s">
        <v>766</v>
      </c>
      <c r="CF28" s="50" t="s">
        <v>766</v>
      </c>
      <c r="CG28" s="50" t="s">
        <v>766</v>
      </c>
      <c r="CH28" s="50" t="s">
        <v>766</v>
      </c>
      <c r="CI28" s="50" t="s">
        <v>766</v>
      </c>
      <c r="CJ28" s="50" t="s">
        <v>766</v>
      </c>
      <c r="CK28" s="50" t="s">
        <v>766</v>
      </c>
      <c r="CL28" s="50" t="s">
        <v>766</v>
      </c>
      <c r="CM28" s="50" t="s">
        <v>766</v>
      </c>
      <c r="CN28" s="50" t="s">
        <v>766</v>
      </c>
      <c r="CO28" s="50" t="s">
        <v>766</v>
      </c>
      <c r="CP28" s="50" t="s">
        <v>766</v>
      </c>
      <c r="CQ28" s="50" t="s">
        <v>766</v>
      </c>
      <c r="CR28" s="50" t="s">
        <v>766</v>
      </c>
      <c r="CS28" s="50" t="s">
        <v>766</v>
      </c>
      <c r="CT28" s="50" t="s">
        <v>766</v>
      </c>
      <c r="CU28" s="50" t="s">
        <v>766</v>
      </c>
      <c r="CV28" s="50" t="s">
        <v>766</v>
      </c>
      <c r="CW28" s="50" t="s">
        <v>766</v>
      </c>
      <c r="CX28" s="50" t="s">
        <v>766</v>
      </c>
    </row>
    <row r="29" spans="1:102" ht="17" thickBot="1" x14ac:dyDescent="0.25"/>
    <row r="30" spans="1:102" x14ac:dyDescent="0.2">
      <c r="A30" s="81" t="s">
        <v>777</v>
      </c>
      <c r="B30" s="82"/>
      <c r="C30" s="82"/>
      <c r="D30" s="82"/>
      <c r="E30" s="82"/>
      <c r="F30" s="82"/>
      <c r="G30" s="83"/>
    </row>
    <row r="31" spans="1:102" ht="60" x14ac:dyDescent="0.2">
      <c r="A31" s="55"/>
      <c r="B31" s="32" t="s">
        <v>741</v>
      </c>
      <c r="C31" s="32" t="s">
        <v>809</v>
      </c>
      <c r="D31" s="77" t="s">
        <v>811</v>
      </c>
      <c r="E31" s="70" t="s">
        <v>810</v>
      </c>
      <c r="F31" s="56" t="s">
        <v>805</v>
      </c>
      <c r="G31" s="57"/>
      <c r="H31" s="2"/>
      <c r="I31" s="43" t="s">
        <v>765</v>
      </c>
      <c r="J31" s="45">
        <v>1</v>
      </c>
    </row>
    <row r="32" spans="1:102" x14ac:dyDescent="0.2">
      <c r="A32" s="55" t="s">
        <v>12</v>
      </c>
      <c r="B32" s="58">
        <v>0.22</v>
      </c>
      <c r="C32" s="58">
        <v>0.87535338345864622</v>
      </c>
      <c r="D32" s="71">
        <v>116.42199999999994</v>
      </c>
      <c r="E32" s="72">
        <v>133</v>
      </c>
      <c r="F32" s="59">
        <v>0.20753425367948197</v>
      </c>
      <c r="G32" s="57"/>
      <c r="H32" s="25"/>
    </row>
    <row r="33" spans="1:102" x14ac:dyDescent="0.2">
      <c r="A33" s="55" t="s">
        <v>816</v>
      </c>
      <c r="B33" s="60">
        <v>0.49199999999999999</v>
      </c>
      <c r="C33" s="60">
        <v>0.7249097744360905</v>
      </c>
      <c r="D33" s="73">
        <v>96.413000000000039</v>
      </c>
      <c r="E33" s="72">
        <v>133</v>
      </c>
      <c r="F33" s="59"/>
      <c r="G33" s="57"/>
      <c r="H33" s="26"/>
      <c r="I33" s="43"/>
      <c r="J33" t="s">
        <v>761</v>
      </c>
    </row>
    <row r="34" spans="1:102" x14ac:dyDescent="0.2">
      <c r="A34" s="55" t="s">
        <v>8</v>
      </c>
      <c r="B34" s="58">
        <v>0.28200000000000003</v>
      </c>
      <c r="C34" s="58">
        <v>0.53339552238805998</v>
      </c>
      <c r="D34" s="71">
        <v>71.475000000000037</v>
      </c>
      <c r="E34" s="72">
        <v>134</v>
      </c>
      <c r="F34" s="59">
        <v>-0.185859759431383</v>
      </c>
      <c r="G34" s="57"/>
      <c r="H34" s="25"/>
      <c r="J34" s="6">
        <v>-1</v>
      </c>
      <c r="K34" s="6">
        <v>-0.9</v>
      </c>
      <c r="L34" s="6">
        <v>-0.8</v>
      </c>
      <c r="M34" s="6">
        <v>-0.7</v>
      </c>
      <c r="N34" s="6">
        <v>-0.6</v>
      </c>
      <c r="O34" s="6">
        <v>-0.5</v>
      </c>
      <c r="P34" s="6">
        <v>-0.4</v>
      </c>
      <c r="Q34" s="6">
        <v>-0.3</v>
      </c>
      <c r="R34" s="6">
        <v>-0.2</v>
      </c>
      <c r="S34" s="6">
        <v>-0.1</v>
      </c>
      <c r="T34" s="6">
        <v>0</v>
      </c>
      <c r="U34" s="6">
        <v>0.1</v>
      </c>
      <c r="V34" s="6">
        <v>0.2</v>
      </c>
      <c r="W34" s="6">
        <v>0.3</v>
      </c>
      <c r="X34" s="6">
        <v>0.4</v>
      </c>
      <c r="Y34" s="6">
        <v>0.5</v>
      </c>
      <c r="Z34" s="6">
        <v>0.6</v>
      </c>
      <c r="AA34" s="6">
        <v>0.7</v>
      </c>
      <c r="AB34" s="6">
        <v>0.8</v>
      </c>
      <c r="AC34" s="6">
        <v>0.9</v>
      </c>
      <c r="AD34" s="6">
        <v>1</v>
      </c>
      <c r="AE34" s="6">
        <v>1.2</v>
      </c>
      <c r="AF34" s="6">
        <v>1.4</v>
      </c>
      <c r="AG34" s="6">
        <v>1.6</v>
      </c>
      <c r="AH34" s="6">
        <v>1.8</v>
      </c>
      <c r="AI34" s="6">
        <v>1.9</v>
      </c>
      <c r="AJ34" s="6">
        <v>2</v>
      </c>
      <c r="AK34" s="6">
        <v>2.1</v>
      </c>
      <c r="AL34" s="6">
        <v>2.8</v>
      </c>
      <c r="AM34" s="6">
        <v>2.9</v>
      </c>
      <c r="AN34" s="6">
        <v>3.2</v>
      </c>
      <c r="AO34" s="6">
        <v>4.7</v>
      </c>
    </row>
    <row r="35" spans="1:102" x14ac:dyDescent="0.2">
      <c r="A35" s="55" t="s">
        <v>817</v>
      </c>
      <c r="B35" s="60">
        <v>0.495</v>
      </c>
      <c r="C35" s="60">
        <v>0.65516417910447777</v>
      </c>
      <c r="D35" s="73">
        <v>87.792000000000016</v>
      </c>
      <c r="E35" s="72">
        <v>134</v>
      </c>
      <c r="F35" s="59"/>
      <c r="G35" s="57"/>
      <c r="H35" s="26"/>
      <c r="I35" t="s">
        <v>762</v>
      </c>
      <c r="J35" s="6">
        <v>1.4981273408239701E-2</v>
      </c>
      <c r="K35" s="6">
        <v>2.6217228464419477E-2</v>
      </c>
      <c r="L35" s="6">
        <v>4.1198501872659173E-2</v>
      </c>
      <c r="M35" s="6">
        <v>5.6179775280898875E-2</v>
      </c>
      <c r="N35" s="6">
        <v>5.6179775280898875E-2</v>
      </c>
      <c r="O35" s="6">
        <v>4.49438202247191E-2</v>
      </c>
      <c r="P35" s="6">
        <v>7.4906367041198504E-2</v>
      </c>
      <c r="Q35" s="6">
        <v>7.4906367041198504E-2</v>
      </c>
      <c r="R35" s="6">
        <v>8.2397003745318345E-2</v>
      </c>
      <c r="S35" s="6">
        <v>8.6142322097378279E-2</v>
      </c>
      <c r="T35" s="6">
        <v>7.116104868913857E-2</v>
      </c>
      <c r="U35" s="6">
        <v>7.116104868913857E-2</v>
      </c>
      <c r="V35" s="6">
        <v>3.7453183520599252E-2</v>
      </c>
      <c r="W35" s="6">
        <v>3.7453183520599252E-2</v>
      </c>
      <c r="X35" s="6">
        <v>4.49438202247191E-2</v>
      </c>
      <c r="Y35" s="6">
        <v>1.8726591760299626E-2</v>
      </c>
      <c r="Z35" s="6">
        <v>1.1235955056179775E-2</v>
      </c>
      <c r="AA35" s="6">
        <v>2.9962546816479401E-2</v>
      </c>
      <c r="AB35" s="6">
        <v>1.4981273408239701E-2</v>
      </c>
      <c r="AC35" s="6">
        <v>1.1235955056179775E-2</v>
      </c>
      <c r="AD35" s="6">
        <v>1.4981273408239701E-2</v>
      </c>
      <c r="AE35" s="6">
        <v>7.4906367041198503E-3</v>
      </c>
      <c r="AF35" s="6">
        <v>7.4906367041198503E-3</v>
      </c>
      <c r="AG35" s="6">
        <v>2.247191011235955E-2</v>
      </c>
      <c r="AH35" s="6">
        <v>3.7453183520599251E-3</v>
      </c>
      <c r="AI35" s="6">
        <v>1.1235955056179775E-2</v>
      </c>
      <c r="AJ35" s="6">
        <v>3.7453183520599251E-3</v>
      </c>
      <c r="AK35" s="6">
        <v>7.4906367041198503E-3</v>
      </c>
      <c r="AL35" s="6">
        <v>3.7453183520599251E-3</v>
      </c>
      <c r="AM35" s="6">
        <v>3.7453183520599251E-3</v>
      </c>
      <c r="AN35" s="6">
        <v>3.7453183520599251E-3</v>
      </c>
      <c r="AO35" s="6">
        <v>3.7453183520599251E-3</v>
      </c>
    </row>
    <row r="36" spans="1:102" x14ac:dyDescent="0.2">
      <c r="A36" s="55" t="s">
        <v>744</v>
      </c>
      <c r="B36" s="58">
        <v>0.25800000000000001</v>
      </c>
      <c r="C36" s="58">
        <v>0.7037340823970033</v>
      </c>
      <c r="D36" s="71">
        <v>187.89699999999988</v>
      </c>
      <c r="E36" s="72">
        <v>267</v>
      </c>
      <c r="F36" s="59">
        <v>2.0042887000895293E-2</v>
      </c>
      <c r="G36" s="57"/>
      <c r="H36" s="25"/>
      <c r="I36" t="s">
        <v>769</v>
      </c>
      <c r="J36" s="26">
        <v>1.4981273408239701E-2</v>
      </c>
      <c r="K36" s="26">
        <v>4.119850187265918E-2</v>
      </c>
      <c r="L36" s="26">
        <v>8.2397003745318359E-2</v>
      </c>
      <c r="M36" s="26">
        <v>0.13857677902621723</v>
      </c>
      <c r="N36" s="26">
        <v>0.19475655430711611</v>
      </c>
      <c r="O36" s="26">
        <v>0.23970037453183521</v>
      </c>
      <c r="P36" s="26">
        <v>0.3146067415730337</v>
      </c>
      <c r="Q36" s="26">
        <v>0.38951310861423222</v>
      </c>
      <c r="R36" s="26">
        <v>0.47191011235955055</v>
      </c>
      <c r="S36" s="26">
        <v>0.55805243445692887</v>
      </c>
      <c r="T36" s="26">
        <v>0.6292134831460674</v>
      </c>
      <c r="U36" s="26">
        <v>0.70037453183520593</v>
      </c>
      <c r="V36" s="26">
        <v>0.73782771535580516</v>
      </c>
      <c r="W36" s="26">
        <v>0.77528089887640439</v>
      </c>
      <c r="X36" s="26">
        <v>0.82022471910112349</v>
      </c>
      <c r="Y36" s="26">
        <v>0.83895131086142316</v>
      </c>
      <c r="Z36" s="26">
        <v>0.85018726591760296</v>
      </c>
      <c r="AA36" s="26">
        <v>0.88014981273408233</v>
      </c>
      <c r="AB36" s="26">
        <v>0.89513108614232206</v>
      </c>
      <c r="AC36" s="26">
        <v>0.90636704119850187</v>
      </c>
      <c r="AD36" s="26">
        <v>0.9213483146067416</v>
      </c>
      <c r="AE36" s="26">
        <v>0.92883895131086147</v>
      </c>
      <c r="AF36" s="26">
        <v>0.93632958801498134</v>
      </c>
      <c r="AG36" s="26">
        <v>0.95880149812734095</v>
      </c>
      <c r="AH36" s="26">
        <v>0.96254681647940088</v>
      </c>
      <c r="AI36" s="26">
        <v>0.97378277153558068</v>
      </c>
      <c r="AJ36" s="26">
        <v>0.97752808988764062</v>
      </c>
      <c r="AK36" s="26">
        <v>0.98501872659176049</v>
      </c>
      <c r="AL36" s="26">
        <v>0.98876404494382042</v>
      </c>
      <c r="AM36" s="26">
        <v>0.99250936329588035</v>
      </c>
      <c r="AN36" s="26">
        <v>0.99625468164794029</v>
      </c>
      <c r="AO36" s="26">
        <v>1.0000000000000002</v>
      </c>
      <c r="AP36" s="26" t="s">
        <v>766</v>
      </c>
      <c r="AQ36" s="26" t="s">
        <v>766</v>
      </c>
      <c r="AR36" s="26" t="s">
        <v>766</v>
      </c>
      <c r="AS36" s="26" t="s">
        <v>766</v>
      </c>
      <c r="AT36" s="26" t="s">
        <v>766</v>
      </c>
      <c r="AU36" s="26" t="s">
        <v>766</v>
      </c>
      <c r="AV36" s="26" t="s">
        <v>766</v>
      </c>
      <c r="AW36" s="26" t="s">
        <v>766</v>
      </c>
      <c r="AX36" s="26" t="s">
        <v>766</v>
      </c>
      <c r="AY36" s="26" t="s">
        <v>766</v>
      </c>
      <c r="AZ36" s="26" t="s">
        <v>766</v>
      </c>
      <c r="BA36" s="26" t="s">
        <v>766</v>
      </c>
      <c r="BB36" s="26" t="s">
        <v>766</v>
      </c>
      <c r="BC36" s="26" t="s">
        <v>766</v>
      </c>
      <c r="BD36" s="26" t="s">
        <v>766</v>
      </c>
      <c r="BE36" s="26" t="s">
        <v>766</v>
      </c>
      <c r="BF36" s="26" t="s">
        <v>766</v>
      </c>
      <c r="BG36" s="26" t="s">
        <v>766</v>
      </c>
      <c r="BH36" s="26" t="s">
        <v>766</v>
      </c>
      <c r="BI36" s="26" t="s">
        <v>766</v>
      </c>
      <c r="BJ36" s="26" t="s">
        <v>766</v>
      </c>
      <c r="BK36" s="26" t="s">
        <v>766</v>
      </c>
      <c r="BL36" s="26" t="s">
        <v>766</v>
      </c>
      <c r="BM36" s="26" t="s">
        <v>766</v>
      </c>
      <c r="BN36" s="26" t="s">
        <v>766</v>
      </c>
      <c r="BO36" s="26" t="s">
        <v>766</v>
      </c>
      <c r="BP36" s="26" t="s">
        <v>766</v>
      </c>
      <c r="BQ36" s="26" t="s">
        <v>766</v>
      </c>
      <c r="BR36" s="26" t="s">
        <v>766</v>
      </c>
      <c r="BS36" s="26" t="s">
        <v>766</v>
      </c>
      <c r="BT36" s="26" t="s">
        <v>766</v>
      </c>
      <c r="BU36" s="26" t="s">
        <v>766</v>
      </c>
      <c r="BV36" s="26" t="s">
        <v>766</v>
      </c>
      <c r="BW36" s="26" t="s">
        <v>766</v>
      </c>
      <c r="BX36" s="26" t="s">
        <v>766</v>
      </c>
      <c r="BY36" s="26" t="s">
        <v>766</v>
      </c>
      <c r="BZ36" s="26" t="s">
        <v>766</v>
      </c>
      <c r="CA36" s="26" t="s">
        <v>766</v>
      </c>
      <c r="CB36" s="26" t="s">
        <v>766</v>
      </c>
      <c r="CC36" s="26" t="s">
        <v>766</v>
      </c>
      <c r="CD36" s="26" t="s">
        <v>766</v>
      </c>
      <c r="CE36" s="26" t="s">
        <v>766</v>
      </c>
      <c r="CF36" s="26" t="s">
        <v>766</v>
      </c>
      <c r="CG36" s="26" t="s">
        <v>766</v>
      </c>
      <c r="CH36" s="26" t="s">
        <v>766</v>
      </c>
      <c r="CI36" s="26" t="s">
        <v>766</v>
      </c>
      <c r="CJ36" s="26" t="s">
        <v>766</v>
      </c>
      <c r="CK36" s="26" t="s">
        <v>766</v>
      </c>
      <c r="CL36" s="26" t="s">
        <v>766</v>
      </c>
      <c r="CM36" s="26" t="s">
        <v>766</v>
      </c>
      <c r="CN36" s="26" t="s">
        <v>766</v>
      </c>
      <c r="CO36" s="26" t="s">
        <v>766</v>
      </c>
      <c r="CP36" s="26" t="s">
        <v>766</v>
      </c>
      <c r="CQ36" s="26" t="s">
        <v>766</v>
      </c>
      <c r="CR36" s="26" t="s">
        <v>766</v>
      </c>
      <c r="CS36" s="26" t="s">
        <v>766</v>
      </c>
      <c r="CT36" s="26" t="s">
        <v>766</v>
      </c>
      <c r="CU36" s="26" t="s">
        <v>766</v>
      </c>
      <c r="CV36" s="26" t="s">
        <v>766</v>
      </c>
      <c r="CW36" s="26" t="s">
        <v>766</v>
      </c>
      <c r="CX36" s="26" t="s">
        <v>766</v>
      </c>
    </row>
    <row r="37" spans="1:102" ht="17" thickBot="1" x14ac:dyDescent="0.25">
      <c r="A37" s="80" t="s">
        <v>818</v>
      </c>
      <c r="B37" s="61">
        <v>0.49199999999999999</v>
      </c>
      <c r="C37" s="61">
        <v>0.68990636704119834</v>
      </c>
      <c r="D37" s="74">
        <v>184.20499999999996</v>
      </c>
      <c r="E37" s="75">
        <v>267</v>
      </c>
      <c r="F37" s="62"/>
      <c r="G37" s="63"/>
      <c r="H37" s="26"/>
      <c r="I37" t="s">
        <v>768</v>
      </c>
      <c r="J37" s="50">
        <v>1.0000000000000002</v>
      </c>
      <c r="K37" s="50">
        <v>0.98501872659176049</v>
      </c>
      <c r="L37" s="50">
        <v>0.95880149812734095</v>
      </c>
      <c r="M37" s="50">
        <v>0.91760299625468189</v>
      </c>
      <c r="N37" s="50">
        <v>0.86142322097378288</v>
      </c>
      <c r="O37" s="50">
        <v>0.80524344569288409</v>
      </c>
      <c r="P37" s="50">
        <v>0.7602996254681651</v>
      </c>
      <c r="Q37" s="50">
        <v>0.68539325842696641</v>
      </c>
      <c r="R37" s="50">
        <v>0.61048689138576795</v>
      </c>
      <c r="S37" s="50">
        <v>0.52808988764044951</v>
      </c>
      <c r="T37" s="50">
        <v>0.44194756554307124</v>
      </c>
      <c r="U37" s="50">
        <v>0.37078651685393271</v>
      </c>
      <c r="V37" s="50">
        <v>0.29962546816479407</v>
      </c>
      <c r="W37" s="50">
        <v>0.26217228464419479</v>
      </c>
      <c r="X37" s="50">
        <v>0.22471910112359553</v>
      </c>
      <c r="Y37" s="50">
        <v>0.17977528089887646</v>
      </c>
      <c r="Z37" s="50">
        <v>0.16104868913857681</v>
      </c>
      <c r="AA37" s="50">
        <v>0.14981273408239704</v>
      </c>
      <c r="AB37" s="50">
        <v>0.11985018726591758</v>
      </c>
      <c r="AC37" s="50">
        <v>0.10486891385767787</v>
      </c>
      <c r="AD37" s="50">
        <v>9.3632958801498106E-2</v>
      </c>
      <c r="AE37" s="50">
        <v>7.8651685393258411E-2</v>
      </c>
      <c r="AF37" s="50">
        <v>7.116104868913857E-2</v>
      </c>
      <c r="AG37" s="50">
        <v>6.3670411985018729E-2</v>
      </c>
      <c r="AH37" s="50">
        <v>4.119850187265918E-2</v>
      </c>
      <c r="AI37" s="50">
        <v>3.7453183520599252E-2</v>
      </c>
      <c r="AJ37" s="50">
        <v>2.6217228464419474E-2</v>
      </c>
      <c r="AK37" s="50">
        <v>2.247191011235955E-2</v>
      </c>
      <c r="AL37" s="50">
        <v>1.4981273408239701E-2</v>
      </c>
      <c r="AM37" s="50">
        <v>1.1235955056179775E-2</v>
      </c>
      <c r="AN37" s="50">
        <v>7.4906367041198503E-3</v>
      </c>
      <c r="AO37" s="50">
        <v>3.7453183520599251E-3</v>
      </c>
      <c r="AP37" s="50" t="s">
        <v>766</v>
      </c>
      <c r="AQ37" s="50" t="s">
        <v>766</v>
      </c>
      <c r="AR37" s="50" t="s">
        <v>766</v>
      </c>
      <c r="AS37" s="50" t="s">
        <v>766</v>
      </c>
      <c r="AT37" s="50" t="s">
        <v>766</v>
      </c>
      <c r="AU37" s="50" t="s">
        <v>766</v>
      </c>
      <c r="AV37" s="50" t="s">
        <v>766</v>
      </c>
      <c r="AW37" s="50" t="s">
        <v>766</v>
      </c>
      <c r="AX37" s="50" t="s">
        <v>766</v>
      </c>
      <c r="AY37" s="50" t="s">
        <v>766</v>
      </c>
      <c r="AZ37" s="50" t="s">
        <v>766</v>
      </c>
      <c r="BA37" s="50" t="s">
        <v>766</v>
      </c>
      <c r="BB37" s="50" t="s">
        <v>766</v>
      </c>
      <c r="BC37" s="50" t="s">
        <v>766</v>
      </c>
      <c r="BD37" s="50" t="s">
        <v>766</v>
      </c>
      <c r="BE37" s="50" t="s">
        <v>766</v>
      </c>
      <c r="BF37" s="50" t="s">
        <v>766</v>
      </c>
      <c r="BG37" s="50" t="s">
        <v>766</v>
      </c>
      <c r="BH37" s="50" t="s">
        <v>766</v>
      </c>
      <c r="BI37" s="50" t="s">
        <v>766</v>
      </c>
      <c r="BJ37" s="50" t="s">
        <v>766</v>
      </c>
      <c r="BK37" s="50" t="s">
        <v>766</v>
      </c>
      <c r="BL37" s="50" t="s">
        <v>766</v>
      </c>
      <c r="BM37" s="50" t="s">
        <v>766</v>
      </c>
      <c r="BN37" s="50" t="s">
        <v>766</v>
      </c>
      <c r="BO37" s="50" t="s">
        <v>766</v>
      </c>
      <c r="BP37" s="50" t="s">
        <v>766</v>
      </c>
      <c r="BQ37" s="50" t="s">
        <v>766</v>
      </c>
      <c r="BR37" s="50" t="s">
        <v>766</v>
      </c>
      <c r="BS37" s="50" t="s">
        <v>766</v>
      </c>
      <c r="BT37" s="50" t="s">
        <v>766</v>
      </c>
      <c r="BU37" s="50" t="s">
        <v>766</v>
      </c>
      <c r="BV37" s="50" t="s">
        <v>766</v>
      </c>
      <c r="BW37" s="50" t="s">
        <v>766</v>
      </c>
      <c r="BX37" s="50" t="s">
        <v>766</v>
      </c>
      <c r="BY37" s="50" t="s">
        <v>766</v>
      </c>
      <c r="BZ37" s="50" t="s">
        <v>766</v>
      </c>
      <c r="CA37" s="50" t="s">
        <v>766</v>
      </c>
      <c r="CB37" s="50" t="s">
        <v>766</v>
      </c>
      <c r="CC37" s="50" t="s">
        <v>766</v>
      </c>
      <c r="CD37" s="50" t="s">
        <v>766</v>
      </c>
      <c r="CE37" s="50" t="s">
        <v>766</v>
      </c>
      <c r="CF37" s="50" t="s">
        <v>766</v>
      </c>
      <c r="CG37" s="50" t="s">
        <v>766</v>
      </c>
      <c r="CH37" s="50" t="s">
        <v>766</v>
      </c>
      <c r="CI37" s="50" t="s">
        <v>766</v>
      </c>
      <c r="CJ37" s="50" t="s">
        <v>766</v>
      </c>
      <c r="CK37" s="50" t="s">
        <v>766</v>
      </c>
      <c r="CL37" s="50" t="s">
        <v>766</v>
      </c>
      <c r="CM37" s="50" t="s">
        <v>766</v>
      </c>
      <c r="CN37" s="50" t="s">
        <v>766</v>
      </c>
      <c r="CO37" s="50" t="s">
        <v>766</v>
      </c>
      <c r="CP37" s="50" t="s">
        <v>766</v>
      </c>
      <c r="CQ37" s="50" t="s">
        <v>766</v>
      </c>
      <c r="CR37" s="50" t="s">
        <v>766</v>
      </c>
      <c r="CS37" s="50" t="s">
        <v>766</v>
      </c>
      <c r="CT37" s="50" t="s">
        <v>766</v>
      </c>
      <c r="CU37" s="50" t="s">
        <v>766</v>
      </c>
      <c r="CV37" s="50" t="s">
        <v>766</v>
      </c>
      <c r="CW37" s="50" t="s">
        <v>766</v>
      </c>
      <c r="CX37" s="50" t="s">
        <v>766</v>
      </c>
    </row>
    <row r="38" spans="1:102" ht="17" thickBot="1" x14ac:dyDescent="0.25"/>
    <row r="39" spans="1:102" x14ac:dyDescent="0.2">
      <c r="A39" s="81" t="s">
        <v>782</v>
      </c>
      <c r="B39" s="82"/>
      <c r="C39" s="82"/>
      <c r="D39" s="82"/>
      <c r="E39" s="82"/>
      <c r="F39" s="82"/>
      <c r="G39" s="83"/>
    </row>
    <row r="40" spans="1:102" ht="60" x14ac:dyDescent="0.2">
      <c r="A40" s="55"/>
      <c r="B40" s="32" t="s">
        <v>741</v>
      </c>
      <c r="C40" s="32" t="s">
        <v>809</v>
      </c>
      <c r="D40" s="77" t="s">
        <v>811</v>
      </c>
      <c r="E40" s="70" t="s">
        <v>810</v>
      </c>
      <c r="F40" s="56" t="s">
        <v>805</v>
      </c>
      <c r="G40" s="57"/>
      <c r="H40" s="2"/>
      <c r="I40" s="43" t="s">
        <v>765</v>
      </c>
      <c r="J40" s="45">
        <v>1</v>
      </c>
    </row>
    <row r="41" spans="1:102" x14ac:dyDescent="0.2">
      <c r="A41" s="55" t="s">
        <v>12</v>
      </c>
      <c r="B41" s="58">
        <v>0.16349999999999998</v>
      </c>
      <c r="C41" s="58">
        <v>0.77511475409836039</v>
      </c>
      <c r="D41" s="71">
        <v>94.563999999999965</v>
      </c>
      <c r="E41" s="72">
        <v>122</v>
      </c>
      <c r="F41" s="59">
        <v>0.21103925209707319</v>
      </c>
      <c r="G41" s="57"/>
      <c r="H41" s="25"/>
    </row>
    <row r="42" spans="1:102" x14ac:dyDescent="0.2">
      <c r="A42" s="55" t="s">
        <v>816</v>
      </c>
      <c r="B42" s="60">
        <v>0.47699999999999998</v>
      </c>
      <c r="C42" s="60">
        <v>0.64004098360655748</v>
      </c>
      <c r="D42" s="73">
        <v>78.085000000000008</v>
      </c>
      <c r="E42" s="72">
        <v>122</v>
      </c>
      <c r="F42" s="59"/>
      <c r="G42" s="57"/>
      <c r="H42" s="26"/>
      <c r="I42" s="43"/>
      <c r="J42" t="s">
        <v>761</v>
      </c>
    </row>
    <row r="43" spans="1:102" x14ac:dyDescent="0.2">
      <c r="A43" s="55" t="s">
        <v>8</v>
      </c>
      <c r="B43" s="58">
        <v>0.246</v>
      </c>
      <c r="C43" s="58">
        <v>0.70205645161290364</v>
      </c>
      <c r="D43" s="71">
        <v>87.055000000000049</v>
      </c>
      <c r="E43" s="72">
        <v>124</v>
      </c>
      <c r="F43" s="59">
        <v>0.22490185870467627</v>
      </c>
      <c r="G43" s="57"/>
      <c r="H43" s="25"/>
      <c r="J43" s="6">
        <v>-1</v>
      </c>
      <c r="K43" s="6">
        <v>-0.9</v>
      </c>
      <c r="L43" s="6">
        <v>-0.8</v>
      </c>
      <c r="M43" s="6">
        <v>-0.7</v>
      </c>
      <c r="N43" s="6">
        <v>-0.6</v>
      </c>
      <c r="O43" s="6">
        <v>-0.5</v>
      </c>
      <c r="P43" s="6">
        <v>-0.4</v>
      </c>
      <c r="Q43" s="6">
        <v>-0.3</v>
      </c>
      <c r="R43" s="6">
        <v>-0.2</v>
      </c>
      <c r="S43" s="6">
        <v>-0.1</v>
      </c>
      <c r="T43" s="6">
        <v>0</v>
      </c>
      <c r="U43" s="6">
        <v>0.1</v>
      </c>
      <c r="V43" s="6">
        <v>0.2</v>
      </c>
      <c r="W43" s="6">
        <v>0.3</v>
      </c>
      <c r="X43" s="6">
        <v>0.4</v>
      </c>
      <c r="Y43" s="6">
        <v>0.5</v>
      </c>
      <c r="Z43" s="6">
        <v>0.6</v>
      </c>
      <c r="AA43" s="6">
        <v>0.7</v>
      </c>
      <c r="AB43" s="6">
        <v>0.8</v>
      </c>
      <c r="AC43" s="6">
        <v>0.9</v>
      </c>
      <c r="AD43" s="6">
        <v>1</v>
      </c>
      <c r="AE43" s="6">
        <v>1.2</v>
      </c>
      <c r="AF43" s="6">
        <v>1.4</v>
      </c>
      <c r="AG43" s="6">
        <v>1.6</v>
      </c>
      <c r="AH43" s="6">
        <v>1.9</v>
      </c>
      <c r="AI43" s="6">
        <v>2</v>
      </c>
      <c r="AJ43" s="6">
        <v>2.1</v>
      </c>
      <c r="AK43" s="6">
        <v>2.8</v>
      </c>
      <c r="AL43" s="6">
        <v>2.9</v>
      </c>
      <c r="AM43" s="6">
        <v>3.2</v>
      </c>
      <c r="AN43" s="6">
        <v>4.7</v>
      </c>
      <c r="AO43" s="6">
        <v>7.1</v>
      </c>
      <c r="AP43" s="6">
        <v>8.5</v>
      </c>
    </row>
    <row r="44" spans="1:102" x14ac:dyDescent="0.2">
      <c r="A44" s="55" t="s">
        <v>817</v>
      </c>
      <c r="B44" s="60">
        <v>0.46750000000000003</v>
      </c>
      <c r="C44" s="60">
        <v>0.57315322580645167</v>
      </c>
      <c r="D44" s="73">
        <v>71.071000000000012</v>
      </c>
      <c r="E44" s="72">
        <v>124.00000000000001</v>
      </c>
      <c r="F44" s="59"/>
      <c r="G44" s="57"/>
      <c r="H44" s="26"/>
      <c r="I44" t="s">
        <v>762</v>
      </c>
      <c r="J44" s="6">
        <v>1.6260162601626018E-2</v>
      </c>
      <c r="K44" s="6">
        <v>2.8455284552845527E-2</v>
      </c>
      <c r="L44" s="6">
        <v>4.065040650406504E-2</v>
      </c>
      <c r="M44" s="6">
        <v>6.097560975609756E-2</v>
      </c>
      <c r="N44" s="6">
        <v>6.097560975609756E-2</v>
      </c>
      <c r="O44" s="6">
        <v>4.4715447154471545E-2</v>
      </c>
      <c r="P44" s="6">
        <v>7.3170731707317069E-2</v>
      </c>
      <c r="Q44" s="6">
        <v>6.910569105691057E-2</v>
      </c>
      <c r="R44" s="6">
        <v>8.5365853658536592E-2</v>
      </c>
      <c r="S44" s="6">
        <v>7.7235772357723581E-2</v>
      </c>
      <c r="T44" s="6">
        <v>7.3170731707317069E-2</v>
      </c>
      <c r="U44" s="6">
        <v>6.910569105691057E-2</v>
      </c>
      <c r="V44" s="6">
        <v>3.2520325203252036E-2</v>
      </c>
      <c r="W44" s="6">
        <v>3.2520325203252036E-2</v>
      </c>
      <c r="X44" s="6">
        <v>4.878048780487805E-2</v>
      </c>
      <c r="Y44" s="6">
        <v>1.6260162601626018E-2</v>
      </c>
      <c r="Z44" s="6">
        <v>1.2195121951219513E-2</v>
      </c>
      <c r="AA44" s="6">
        <v>2.4390243902439025E-2</v>
      </c>
      <c r="AB44" s="6">
        <v>1.6260162601626018E-2</v>
      </c>
      <c r="AC44" s="6">
        <v>1.2195121951219513E-2</v>
      </c>
      <c r="AD44" s="6">
        <v>1.6260162601626018E-2</v>
      </c>
      <c r="AE44" s="6">
        <v>8.130081300813009E-3</v>
      </c>
      <c r="AF44" s="6">
        <v>8.130081300813009E-3</v>
      </c>
      <c r="AG44" s="6">
        <v>2.4390243902439025E-2</v>
      </c>
      <c r="AH44" s="6">
        <v>1.2195121951219513E-2</v>
      </c>
      <c r="AI44" s="6">
        <v>4.0650406504065045E-3</v>
      </c>
      <c r="AJ44" s="6">
        <v>8.130081300813009E-3</v>
      </c>
      <c r="AK44" s="6">
        <v>4.0650406504065045E-3</v>
      </c>
      <c r="AL44" s="6">
        <v>4.0650406504065045E-3</v>
      </c>
      <c r="AM44" s="6">
        <v>4.0650406504065045E-3</v>
      </c>
      <c r="AN44" s="6">
        <v>4.0650406504065045E-3</v>
      </c>
      <c r="AO44" s="6">
        <v>4.0650406504065045E-3</v>
      </c>
      <c r="AP44" s="6">
        <v>4.0650406504065045E-3</v>
      </c>
    </row>
    <row r="45" spans="1:102" x14ac:dyDescent="0.2">
      <c r="A45" s="55" t="s">
        <v>744</v>
      </c>
      <c r="B45" s="58">
        <v>0.2185</v>
      </c>
      <c r="C45" s="58">
        <v>0.7382886178861785</v>
      </c>
      <c r="D45" s="71">
        <v>181.61899999999991</v>
      </c>
      <c r="E45" s="72">
        <v>246</v>
      </c>
      <c r="F45" s="59">
        <v>0.217644613693045</v>
      </c>
      <c r="G45" s="57"/>
      <c r="H45" s="25"/>
      <c r="I45" t="s">
        <v>769</v>
      </c>
      <c r="J45" s="26">
        <v>1.6260162601626018E-2</v>
      </c>
      <c r="K45" s="26">
        <v>4.4715447154471545E-2</v>
      </c>
      <c r="L45" s="26">
        <v>8.5365853658536578E-2</v>
      </c>
      <c r="M45" s="26">
        <v>0.14634146341463414</v>
      </c>
      <c r="N45" s="26">
        <v>0.2073170731707317</v>
      </c>
      <c r="O45" s="26">
        <v>0.25203252032520324</v>
      </c>
      <c r="P45" s="26">
        <v>0.32520325203252032</v>
      </c>
      <c r="Q45" s="26">
        <v>0.39430894308943087</v>
      </c>
      <c r="R45" s="26">
        <v>0.47967479674796748</v>
      </c>
      <c r="S45" s="26">
        <v>0.55691056910569103</v>
      </c>
      <c r="T45" s="26">
        <v>0.63008130081300806</v>
      </c>
      <c r="U45" s="26">
        <v>0.69918699186991862</v>
      </c>
      <c r="V45" s="26">
        <v>0.7317073170731706</v>
      </c>
      <c r="W45" s="26">
        <v>0.76422764227642259</v>
      </c>
      <c r="X45" s="26">
        <v>0.81300813008130068</v>
      </c>
      <c r="Y45" s="26">
        <v>0.82926829268292668</v>
      </c>
      <c r="Z45" s="26">
        <v>0.8414634146341462</v>
      </c>
      <c r="AA45" s="26">
        <v>0.86585365853658525</v>
      </c>
      <c r="AB45" s="26">
        <v>0.88211382113821124</v>
      </c>
      <c r="AC45" s="26">
        <v>0.89430894308943076</v>
      </c>
      <c r="AD45" s="26">
        <v>0.91056910569105676</v>
      </c>
      <c r="AE45" s="26">
        <v>0.91869918699186981</v>
      </c>
      <c r="AF45" s="26">
        <v>0.92682926829268286</v>
      </c>
      <c r="AG45" s="26">
        <v>0.95121951219512191</v>
      </c>
      <c r="AH45" s="26">
        <v>0.96341463414634143</v>
      </c>
      <c r="AI45" s="26">
        <v>0.9674796747967479</v>
      </c>
      <c r="AJ45" s="26">
        <v>0.97560975609756095</v>
      </c>
      <c r="AK45" s="26">
        <v>0.97967479674796742</v>
      </c>
      <c r="AL45" s="26">
        <v>0.9837398373983739</v>
      </c>
      <c r="AM45" s="26">
        <v>0.98780487804878037</v>
      </c>
      <c r="AN45" s="26">
        <v>0.99186991869918684</v>
      </c>
      <c r="AO45" s="26">
        <v>0.99593495934959331</v>
      </c>
      <c r="AP45" s="26">
        <v>0.99999999999999978</v>
      </c>
      <c r="AQ45" s="26" t="s">
        <v>766</v>
      </c>
      <c r="AR45" s="26" t="s">
        <v>766</v>
      </c>
      <c r="AS45" s="26" t="s">
        <v>766</v>
      </c>
      <c r="AT45" s="26" t="s">
        <v>766</v>
      </c>
      <c r="AU45" s="26" t="s">
        <v>766</v>
      </c>
      <c r="AV45" s="26" t="s">
        <v>766</v>
      </c>
      <c r="AW45" s="26" t="s">
        <v>766</v>
      </c>
      <c r="AX45" s="26" t="s">
        <v>766</v>
      </c>
      <c r="AY45" s="26" t="s">
        <v>766</v>
      </c>
      <c r="AZ45" s="26" t="s">
        <v>766</v>
      </c>
      <c r="BA45" s="26" t="s">
        <v>766</v>
      </c>
      <c r="BB45" s="26" t="s">
        <v>766</v>
      </c>
      <c r="BC45" s="26" t="s">
        <v>766</v>
      </c>
      <c r="BD45" s="26" t="s">
        <v>766</v>
      </c>
      <c r="BE45" s="26" t="s">
        <v>766</v>
      </c>
      <c r="BF45" s="26" t="s">
        <v>766</v>
      </c>
      <c r="BG45" s="26" t="s">
        <v>766</v>
      </c>
      <c r="BH45" s="26" t="s">
        <v>766</v>
      </c>
      <c r="BI45" s="26" t="s">
        <v>766</v>
      </c>
      <c r="BJ45" s="26" t="s">
        <v>766</v>
      </c>
      <c r="BK45" s="26" t="s">
        <v>766</v>
      </c>
      <c r="BL45" s="26" t="s">
        <v>766</v>
      </c>
      <c r="BM45" s="26" t="s">
        <v>766</v>
      </c>
      <c r="BN45" s="26" t="s">
        <v>766</v>
      </c>
      <c r="BO45" s="26" t="s">
        <v>766</v>
      </c>
      <c r="BP45" s="26" t="s">
        <v>766</v>
      </c>
      <c r="BQ45" s="26" t="s">
        <v>766</v>
      </c>
      <c r="BR45" s="26" t="s">
        <v>766</v>
      </c>
      <c r="BS45" s="26" t="s">
        <v>766</v>
      </c>
      <c r="BT45" s="26" t="s">
        <v>766</v>
      </c>
      <c r="BU45" s="26" t="s">
        <v>766</v>
      </c>
      <c r="BV45" s="26" t="s">
        <v>766</v>
      </c>
      <c r="BW45" s="26" t="s">
        <v>766</v>
      </c>
      <c r="BX45" s="26" t="s">
        <v>766</v>
      </c>
      <c r="BY45" s="26" t="s">
        <v>766</v>
      </c>
      <c r="BZ45" s="26" t="s">
        <v>766</v>
      </c>
      <c r="CA45" s="26" t="s">
        <v>766</v>
      </c>
      <c r="CB45" s="26" t="s">
        <v>766</v>
      </c>
      <c r="CC45" s="26" t="s">
        <v>766</v>
      </c>
      <c r="CD45" s="26" t="s">
        <v>766</v>
      </c>
      <c r="CE45" s="26" t="s">
        <v>766</v>
      </c>
      <c r="CF45" s="26" t="s">
        <v>766</v>
      </c>
      <c r="CG45" s="26" t="s">
        <v>766</v>
      </c>
      <c r="CH45" s="26" t="s">
        <v>766</v>
      </c>
      <c r="CI45" s="26" t="s">
        <v>766</v>
      </c>
      <c r="CJ45" s="26" t="s">
        <v>766</v>
      </c>
      <c r="CK45" s="26" t="s">
        <v>766</v>
      </c>
      <c r="CL45" s="26" t="s">
        <v>766</v>
      </c>
      <c r="CM45" s="26" t="s">
        <v>766</v>
      </c>
      <c r="CN45" s="26" t="s">
        <v>766</v>
      </c>
      <c r="CO45" s="26" t="s">
        <v>766</v>
      </c>
      <c r="CP45" s="26" t="s">
        <v>766</v>
      </c>
      <c r="CQ45" s="26" t="s">
        <v>766</v>
      </c>
      <c r="CR45" s="26" t="s">
        <v>766</v>
      </c>
      <c r="CS45" s="26" t="s">
        <v>766</v>
      </c>
      <c r="CT45" s="26" t="s">
        <v>766</v>
      </c>
      <c r="CU45" s="26" t="s">
        <v>766</v>
      </c>
      <c r="CV45" s="26" t="s">
        <v>766</v>
      </c>
      <c r="CW45" s="26" t="s">
        <v>766</v>
      </c>
      <c r="CX45" s="26" t="s">
        <v>766</v>
      </c>
    </row>
    <row r="46" spans="1:102" ht="17" thickBot="1" x14ac:dyDescent="0.25">
      <c r="A46" s="80" t="s">
        <v>818</v>
      </c>
      <c r="B46" s="61">
        <v>0.47599999999999998</v>
      </c>
      <c r="C46" s="61">
        <v>0.60632520325203287</v>
      </c>
      <c r="D46" s="74">
        <v>149.15600000000009</v>
      </c>
      <c r="E46" s="75">
        <v>246</v>
      </c>
      <c r="F46" s="62"/>
      <c r="G46" s="63"/>
      <c r="H46" s="26"/>
      <c r="I46" t="s">
        <v>768</v>
      </c>
      <c r="J46" s="50">
        <v>0.99999999999999978</v>
      </c>
      <c r="K46" s="50">
        <v>0.98373983739837378</v>
      </c>
      <c r="L46" s="50">
        <v>0.95528455284552827</v>
      </c>
      <c r="M46" s="50">
        <v>0.91463414634146323</v>
      </c>
      <c r="N46" s="50">
        <v>0.85365853658536572</v>
      </c>
      <c r="O46" s="50">
        <v>0.79268292682926822</v>
      </c>
      <c r="P46" s="50">
        <v>0.74796747967479671</v>
      </c>
      <c r="Q46" s="50">
        <v>0.67479674796747957</v>
      </c>
      <c r="R46" s="50">
        <v>0.60569105691056901</v>
      </c>
      <c r="S46" s="50">
        <v>0.52032520325203235</v>
      </c>
      <c r="T46" s="50">
        <v>0.44308943089430908</v>
      </c>
      <c r="U46" s="50">
        <v>0.36991869918699199</v>
      </c>
      <c r="V46" s="50">
        <v>0.30081300813008149</v>
      </c>
      <c r="W46" s="50">
        <v>0.26829268292682934</v>
      </c>
      <c r="X46" s="50">
        <v>0.23577235772357719</v>
      </c>
      <c r="Y46" s="50">
        <v>0.18699186991869915</v>
      </c>
      <c r="Z46" s="50">
        <v>0.17073170731707316</v>
      </c>
      <c r="AA46" s="50">
        <v>0.15853658536585363</v>
      </c>
      <c r="AB46" s="50">
        <v>0.13414634146341461</v>
      </c>
      <c r="AC46" s="50">
        <v>0.11788617886178859</v>
      </c>
      <c r="AD46" s="50">
        <v>0.10569105691056907</v>
      </c>
      <c r="AE46" s="50">
        <v>8.9430894308943049E-2</v>
      </c>
      <c r="AF46" s="50">
        <v>8.1300813008130066E-2</v>
      </c>
      <c r="AG46" s="50">
        <v>7.3170731707317069E-2</v>
      </c>
      <c r="AH46" s="50">
        <v>4.8780487804878057E-2</v>
      </c>
      <c r="AI46" s="50">
        <v>3.6585365853658541E-2</v>
      </c>
      <c r="AJ46" s="50">
        <v>3.2520325203252036E-2</v>
      </c>
      <c r="AK46" s="50">
        <v>2.4390243902439029E-2</v>
      </c>
      <c r="AL46" s="50">
        <v>2.0325203252032523E-2</v>
      </c>
      <c r="AM46" s="50">
        <v>1.6260162601626018E-2</v>
      </c>
      <c r="AN46" s="50">
        <v>1.2195121951219513E-2</v>
      </c>
      <c r="AO46" s="50">
        <v>8.130081300813009E-3</v>
      </c>
      <c r="AP46" s="50">
        <v>4.0650406504065045E-3</v>
      </c>
      <c r="AQ46" s="50" t="s">
        <v>766</v>
      </c>
      <c r="AR46" s="50" t="s">
        <v>766</v>
      </c>
      <c r="AS46" s="50" t="s">
        <v>766</v>
      </c>
      <c r="AT46" s="50" t="s">
        <v>766</v>
      </c>
      <c r="AU46" s="50" t="s">
        <v>766</v>
      </c>
      <c r="AV46" s="50" t="s">
        <v>766</v>
      </c>
      <c r="AW46" s="50" t="s">
        <v>766</v>
      </c>
      <c r="AX46" s="50" t="s">
        <v>766</v>
      </c>
      <c r="AY46" s="50" t="s">
        <v>766</v>
      </c>
      <c r="AZ46" s="50" t="s">
        <v>766</v>
      </c>
      <c r="BA46" s="50" t="s">
        <v>766</v>
      </c>
      <c r="BB46" s="50" t="s">
        <v>766</v>
      </c>
      <c r="BC46" s="50" t="s">
        <v>766</v>
      </c>
      <c r="BD46" s="50" t="s">
        <v>766</v>
      </c>
      <c r="BE46" s="50" t="s">
        <v>766</v>
      </c>
      <c r="BF46" s="50" t="s">
        <v>766</v>
      </c>
      <c r="BG46" s="50" t="s">
        <v>766</v>
      </c>
      <c r="BH46" s="50" t="s">
        <v>766</v>
      </c>
      <c r="BI46" s="50" t="s">
        <v>766</v>
      </c>
      <c r="BJ46" s="50" t="s">
        <v>766</v>
      </c>
      <c r="BK46" s="50" t="s">
        <v>766</v>
      </c>
      <c r="BL46" s="50" t="s">
        <v>766</v>
      </c>
      <c r="BM46" s="50" t="s">
        <v>766</v>
      </c>
      <c r="BN46" s="50" t="s">
        <v>766</v>
      </c>
      <c r="BO46" s="50" t="s">
        <v>766</v>
      </c>
      <c r="BP46" s="50" t="s">
        <v>766</v>
      </c>
      <c r="BQ46" s="50" t="s">
        <v>766</v>
      </c>
      <c r="BR46" s="50" t="s">
        <v>766</v>
      </c>
      <c r="BS46" s="50" t="s">
        <v>766</v>
      </c>
      <c r="BT46" s="50" t="s">
        <v>766</v>
      </c>
      <c r="BU46" s="50" t="s">
        <v>766</v>
      </c>
      <c r="BV46" s="50" t="s">
        <v>766</v>
      </c>
      <c r="BW46" s="50" t="s">
        <v>766</v>
      </c>
      <c r="BX46" s="50" t="s">
        <v>766</v>
      </c>
      <c r="BY46" s="50" t="s">
        <v>766</v>
      </c>
      <c r="BZ46" s="50" t="s">
        <v>766</v>
      </c>
      <c r="CA46" s="50" t="s">
        <v>766</v>
      </c>
      <c r="CB46" s="50" t="s">
        <v>766</v>
      </c>
      <c r="CC46" s="50" t="s">
        <v>766</v>
      </c>
      <c r="CD46" s="50" t="s">
        <v>766</v>
      </c>
      <c r="CE46" s="50" t="s">
        <v>766</v>
      </c>
      <c r="CF46" s="50" t="s">
        <v>766</v>
      </c>
      <c r="CG46" s="50" t="s">
        <v>766</v>
      </c>
      <c r="CH46" s="50" t="s">
        <v>766</v>
      </c>
      <c r="CI46" s="50" t="s">
        <v>766</v>
      </c>
      <c r="CJ46" s="50" t="s">
        <v>766</v>
      </c>
      <c r="CK46" s="50" t="s">
        <v>766</v>
      </c>
      <c r="CL46" s="50" t="s">
        <v>766</v>
      </c>
      <c r="CM46" s="50" t="s">
        <v>766</v>
      </c>
      <c r="CN46" s="50" t="s">
        <v>766</v>
      </c>
      <c r="CO46" s="50" t="s">
        <v>766</v>
      </c>
      <c r="CP46" s="50" t="s">
        <v>766</v>
      </c>
      <c r="CQ46" s="50" t="s">
        <v>766</v>
      </c>
      <c r="CR46" s="50" t="s">
        <v>766</v>
      </c>
      <c r="CS46" s="50" t="s">
        <v>766</v>
      </c>
      <c r="CT46" s="50" t="s">
        <v>766</v>
      </c>
      <c r="CU46" s="50" t="s">
        <v>766</v>
      </c>
      <c r="CV46" s="50" t="s">
        <v>766</v>
      </c>
      <c r="CW46" s="50" t="s">
        <v>766</v>
      </c>
      <c r="CX46" s="50" t="s">
        <v>766</v>
      </c>
    </row>
    <row r="47" spans="1:102" ht="17" thickBot="1" x14ac:dyDescent="0.25"/>
    <row r="48" spans="1:102" x14ac:dyDescent="0.2">
      <c r="A48" s="81" t="s">
        <v>820</v>
      </c>
      <c r="B48" s="82"/>
      <c r="C48" s="82"/>
      <c r="D48" s="82"/>
      <c r="E48" s="82"/>
      <c r="F48" s="82"/>
      <c r="G48" s="83"/>
    </row>
    <row r="49" spans="1:102" ht="60" x14ac:dyDescent="0.2">
      <c r="A49" s="55"/>
      <c r="B49" s="32" t="s">
        <v>741</v>
      </c>
      <c r="C49" s="32" t="s">
        <v>809</v>
      </c>
      <c r="D49" s="77" t="s">
        <v>811</v>
      </c>
      <c r="E49" s="70" t="s">
        <v>810</v>
      </c>
      <c r="F49" s="56" t="s">
        <v>805</v>
      </c>
      <c r="G49" s="57"/>
      <c r="H49" s="2"/>
      <c r="I49" s="43" t="s">
        <v>765</v>
      </c>
      <c r="J49" s="45">
        <v>1</v>
      </c>
    </row>
    <row r="50" spans="1:102" x14ac:dyDescent="0.2">
      <c r="A50" s="55" t="s">
        <v>12</v>
      </c>
      <c r="B50" s="58">
        <v>0.16349999999999998</v>
      </c>
      <c r="C50" s="58">
        <v>0.77511475409836039</v>
      </c>
      <c r="D50" s="71">
        <v>94.563999999999965</v>
      </c>
      <c r="E50" s="72">
        <v>122</v>
      </c>
      <c r="F50" s="59">
        <v>0.21103925209707319</v>
      </c>
      <c r="G50" s="57"/>
      <c r="H50" s="25"/>
    </row>
    <row r="51" spans="1:102" x14ac:dyDescent="0.2">
      <c r="A51" s="55" t="s">
        <v>816</v>
      </c>
      <c r="B51" s="60">
        <v>0.47699999999999998</v>
      </c>
      <c r="C51" s="60">
        <v>0.64004098360655748</v>
      </c>
      <c r="D51" s="73">
        <v>78.085000000000008</v>
      </c>
      <c r="E51" s="72">
        <v>122</v>
      </c>
      <c r="F51" s="59"/>
      <c r="G51" s="57"/>
      <c r="H51" s="26"/>
      <c r="I51" s="43"/>
      <c r="J51" t="s">
        <v>761</v>
      </c>
    </row>
    <row r="52" spans="1:102" x14ac:dyDescent="0.2">
      <c r="A52" s="55" t="s">
        <v>8</v>
      </c>
      <c r="B52" s="58">
        <v>0.24049999999999999</v>
      </c>
      <c r="C52" s="58">
        <v>0.46734426229508219</v>
      </c>
      <c r="D52" s="71">
        <v>57.016000000000027</v>
      </c>
      <c r="E52" s="72">
        <v>122</v>
      </c>
      <c r="F52" s="59">
        <v>-0.17792260222619505</v>
      </c>
      <c r="G52" s="57"/>
      <c r="H52" s="25"/>
      <c r="J52" s="6">
        <v>-1</v>
      </c>
      <c r="K52" s="6">
        <v>-0.9</v>
      </c>
      <c r="L52" s="6">
        <v>-0.8</v>
      </c>
      <c r="M52" s="6">
        <v>-0.7</v>
      </c>
      <c r="N52" s="6">
        <v>-0.6</v>
      </c>
      <c r="O52" s="6">
        <v>-0.5</v>
      </c>
      <c r="P52" s="6">
        <v>-0.4</v>
      </c>
      <c r="Q52" s="6">
        <v>-0.3</v>
      </c>
      <c r="R52" s="6">
        <v>-0.2</v>
      </c>
      <c r="S52" s="6">
        <v>-0.1</v>
      </c>
      <c r="T52" s="6">
        <v>0</v>
      </c>
      <c r="U52" s="6">
        <v>0.1</v>
      </c>
      <c r="V52" s="6">
        <v>0.2</v>
      </c>
      <c r="W52" s="6">
        <v>0.3</v>
      </c>
      <c r="X52" s="6">
        <v>0.4</v>
      </c>
      <c r="Y52" s="6">
        <v>0.5</v>
      </c>
      <c r="Z52" s="6">
        <v>0.6</v>
      </c>
      <c r="AA52" s="6">
        <v>0.7</v>
      </c>
      <c r="AB52" s="6">
        <v>0.8</v>
      </c>
      <c r="AC52" s="6">
        <v>0.9</v>
      </c>
      <c r="AD52" s="6">
        <v>1</v>
      </c>
      <c r="AE52" s="6">
        <v>1.2</v>
      </c>
      <c r="AF52" s="6">
        <v>1.4</v>
      </c>
      <c r="AG52" s="6">
        <v>1.6</v>
      </c>
      <c r="AH52" s="6">
        <v>1.9</v>
      </c>
      <c r="AI52" s="6">
        <v>2</v>
      </c>
      <c r="AJ52" s="6">
        <v>2.1</v>
      </c>
      <c r="AK52" s="6">
        <v>2.8</v>
      </c>
      <c r="AL52" s="6">
        <v>2.9</v>
      </c>
      <c r="AM52" s="6">
        <v>3.2</v>
      </c>
      <c r="AN52" s="6">
        <v>4.7</v>
      </c>
    </row>
    <row r="53" spans="1:102" x14ac:dyDescent="0.2">
      <c r="A53" s="55" t="s">
        <v>817</v>
      </c>
      <c r="B53" s="60">
        <v>0.46750000000000003</v>
      </c>
      <c r="C53" s="60">
        <v>0.56849180327868865</v>
      </c>
      <c r="D53" s="73">
        <v>69.356000000000009</v>
      </c>
      <c r="E53" s="72">
        <v>121.99999999999999</v>
      </c>
      <c r="F53" s="59"/>
      <c r="G53" s="57"/>
      <c r="H53" s="26"/>
      <c r="I53" t="s">
        <v>762</v>
      </c>
      <c r="J53" s="6">
        <v>1.6393442622950821E-2</v>
      </c>
      <c r="K53" s="6">
        <v>2.8688524590163935E-2</v>
      </c>
      <c r="L53" s="6">
        <v>4.0983606557377046E-2</v>
      </c>
      <c r="M53" s="6">
        <v>6.1475409836065573E-2</v>
      </c>
      <c r="N53" s="6">
        <v>6.1475409836065573E-2</v>
      </c>
      <c r="O53" s="6">
        <v>4.5081967213114756E-2</v>
      </c>
      <c r="P53" s="6">
        <v>7.3770491803278687E-2</v>
      </c>
      <c r="Q53" s="6">
        <v>6.9672131147540978E-2</v>
      </c>
      <c r="R53" s="6">
        <v>8.6065573770491802E-2</v>
      </c>
      <c r="S53" s="6">
        <v>7.7868852459016397E-2</v>
      </c>
      <c r="T53" s="6">
        <v>7.3770491803278687E-2</v>
      </c>
      <c r="U53" s="6">
        <v>6.9672131147540978E-2</v>
      </c>
      <c r="V53" s="6">
        <v>3.2786885245901641E-2</v>
      </c>
      <c r="W53" s="6">
        <v>3.2786885245901641E-2</v>
      </c>
      <c r="X53" s="6">
        <v>4.9180327868852458E-2</v>
      </c>
      <c r="Y53" s="6">
        <v>1.6393442622950821E-2</v>
      </c>
      <c r="Z53" s="6">
        <v>1.2295081967213115E-2</v>
      </c>
      <c r="AA53" s="6">
        <v>2.4590163934426229E-2</v>
      </c>
      <c r="AB53" s="6">
        <v>1.6393442622950821E-2</v>
      </c>
      <c r="AC53" s="6">
        <v>1.2295081967213115E-2</v>
      </c>
      <c r="AD53" s="6">
        <v>1.6393442622950821E-2</v>
      </c>
      <c r="AE53" s="6">
        <v>8.1967213114754103E-3</v>
      </c>
      <c r="AF53" s="6">
        <v>8.1967213114754103E-3</v>
      </c>
      <c r="AG53" s="6">
        <v>2.4590163934426229E-2</v>
      </c>
      <c r="AH53" s="6">
        <v>1.2295081967213115E-2</v>
      </c>
      <c r="AI53" s="6">
        <v>4.0983606557377051E-3</v>
      </c>
      <c r="AJ53" s="6">
        <v>8.1967213114754103E-3</v>
      </c>
      <c r="AK53" s="6">
        <v>4.0983606557377051E-3</v>
      </c>
      <c r="AL53" s="6">
        <v>4.0983606557377051E-3</v>
      </c>
      <c r="AM53" s="6">
        <v>4.0983606557377051E-3</v>
      </c>
      <c r="AN53" s="6">
        <v>4.0983606557377051E-3</v>
      </c>
    </row>
    <row r="54" spans="1:102" x14ac:dyDescent="0.2">
      <c r="A54" s="55" t="s">
        <v>744</v>
      </c>
      <c r="B54" s="58">
        <v>0.2145</v>
      </c>
      <c r="C54" s="58">
        <v>0.62122950819672096</v>
      </c>
      <c r="D54" s="71">
        <v>151.57999999999993</v>
      </c>
      <c r="E54" s="72">
        <v>244.00000000000003</v>
      </c>
      <c r="F54" s="59">
        <v>2.8072245847490462E-2</v>
      </c>
      <c r="G54" s="57"/>
      <c r="H54" s="25"/>
      <c r="I54" t="s">
        <v>769</v>
      </c>
      <c r="J54" s="26">
        <v>1.6393442622950821E-2</v>
      </c>
      <c r="K54" s="26">
        <v>4.5081967213114756E-2</v>
      </c>
      <c r="L54" s="26">
        <v>8.6065573770491802E-2</v>
      </c>
      <c r="M54" s="26">
        <v>0.14754098360655737</v>
      </c>
      <c r="N54" s="26">
        <v>0.20901639344262296</v>
      </c>
      <c r="O54" s="26">
        <v>0.25409836065573771</v>
      </c>
      <c r="P54" s="26">
        <v>0.32786885245901642</v>
      </c>
      <c r="Q54" s="26">
        <v>0.39754098360655743</v>
      </c>
      <c r="R54" s="26">
        <v>0.48360655737704922</v>
      </c>
      <c r="S54" s="26">
        <v>0.56147540983606559</v>
      </c>
      <c r="T54" s="26">
        <v>0.63524590163934425</v>
      </c>
      <c r="U54" s="26">
        <v>0.70491803278688525</v>
      </c>
      <c r="V54" s="26">
        <v>0.73770491803278693</v>
      </c>
      <c r="W54" s="26">
        <v>0.7704918032786886</v>
      </c>
      <c r="X54" s="26">
        <v>0.81967213114754101</v>
      </c>
      <c r="Y54" s="26">
        <v>0.83606557377049184</v>
      </c>
      <c r="Z54" s="26">
        <v>0.84836065573770492</v>
      </c>
      <c r="AA54" s="26">
        <v>0.87295081967213117</v>
      </c>
      <c r="AB54" s="26">
        <v>0.88934426229508201</v>
      </c>
      <c r="AC54" s="26">
        <v>0.90163934426229508</v>
      </c>
      <c r="AD54" s="26">
        <v>0.91803278688524592</v>
      </c>
      <c r="AE54" s="26">
        <v>0.92622950819672134</v>
      </c>
      <c r="AF54" s="26">
        <v>0.93442622950819676</v>
      </c>
      <c r="AG54" s="26">
        <v>0.95901639344262302</v>
      </c>
      <c r="AH54" s="26">
        <v>0.97131147540983609</v>
      </c>
      <c r="AI54" s="26">
        <v>0.97540983606557374</v>
      </c>
      <c r="AJ54" s="26">
        <v>0.98360655737704916</v>
      </c>
      <c r="AK54" s="26">
        <v>0.98770491803278682</v>
      </c>
      <c r="AL54" s="26">
        <v>0.99180327868852447</v>
      </c>
      <c r="AM54" s="26">
        <v>0.99590163934426212</v>
      </c>
      <c r="AN54" s="26">
        <v>0.99999999999999978</v>
      </c>
      <c r="AO54" s="26" t="s">
        <v>766</v>
      </c>
      <c r="AP54" s="26" t="s">
        <v>766</v>
      </c>
      <c r="AQ54" s="26" t="s">
        <v>766</v>
      </c>
      <c r="AR54" s="26" t="s">
        <v>766</v>
      </c>
      <c r="AS54" s="26" t="s">
        <v>766</v>
      </c>
      <c r="AT54" s="26" t="s">
        <v>766</v>
      </c>
      <c r="AU54" s="26" t="s">
        <v>766</v>
      </c>
      <c r="AV54" s="26" t="s">
        <v>766</v>
      </c>
      <c r="AW54" s="26" t="s">
        <v>766</v>
      </c>
      <c r="AX54" s="26" t="s">
        <v>766</v>
      </c>
      <c r="AY54" s="26" t="s">
        <v>766</v>
      </c>
      <c r="AZ54" s="26" t="s">
        <v>766</v>
      </c>
      <c r="BA54" s="26" t="s">
        <v>766</v>
      </c>
      <c r="BB54" s="26" t="s">
        <v>766</v>
      </c>
      <c r="BC54" s="26" t="s">
        <v>766</v>
      </c>
      <c r="BD54" s="26" t="s">
        <v>766</v>
      </c>
      <c r="BE54" s="26" t="s">
        <v>766</v>
      </c>
      <c r="BF54" s="26" t="s">
        <v>766</v>
      </c>
      <c r="BG54" s="26" t="s">
        <v>766</v>
      </c>
      <c r="BH54" s="26" t="s">
        <v>766</v>
      </c>
      <c r="BI54" s="26" t="s">
        <v>766</v>
      </c>
      <c r="BJ54" s="26" t="s">
        <v>766</v>
      </c>
      <c r="BK54" s="26" t="s">
        <v>766</v>
      </c>
      <c r="BL54" s="26" t="s">
        <v>766</v>
      </c>
      <c r="BM54" s="26" t="s">
        <v>766</v>
      </c>
      <c r="BN54" s="26" t="s">
        <v>766</v>
      </c>
      <c r="BO54" s="26" t="s">
        <v>766</v>
      </c>
      <c r="BP54" s="26" t="s">
        <v>766</v>
      </c>
      <c r="BQ54" s="26" t="s">
        <v>766</v>
      </c>
      <c r="BR54" s="26" t="s">
        <v>766</v>
      </c>
      <c r="BS54" s="26" t="s">
        <v>766</v>
      </c>
      <c r="BT54" s="26" t="s">
        <v>766</v>
      </c>
      <c r="BU54" s="26" t="s">
        <v>766</v>
      </c>
      <c r="BV54" s="26" t="s">
        <v>766</v>
      </c>
      <c r="BW54" s="26" t="s">
        <v>766</v>
      </c>
      <c r="BX54" s="26" t="s">
        <v>766</v>
      </c>
      <c r="BY54" s="26" t="s">
        <v>766</v>
      </c>
      <c r="BZ54" s="26" t="s">
        <v>766</v>
      </c>
      <c r="CA54" s="26" t="s">
        <v>766</v>
      </c>
      <c r="CB54" s="26" t="s">
        <v>766</v>
      </c>
      <c r="CC54" s="26" t="s">
        <v>766</v>
      </c>
      <c r="CD54" s="26" t="s">
        <v>766</v>
      </c>
      <c r="CE54" s="26" t="s">
        <v>766</v>
      </c>
      <c r="CF54" s="26" t="s">
        <v>766</v>
      </c>
      <c r="CG54" s="26" t="s">
        <v>766</v>
      </c>
      <c r="CH54" s="26" t="s">
        <v>766</v>
      </c>
      <c r="CI54" s="26" t="s">
        <v>766</v>
      </c>
      <c r="CJ54" s="26" t="s">
        <v>766</v>
      </c>
      <c r="CK54" s="26" t="s">
        <v>766</v>
      </c>
      <c r="CL54" s="26" t="s">
        <v>766</v>
      </c>
      <c r="CM54" s="26" t="s">
        <v>766</v>
      </c>
      <c r="CN54" s="26" t="s">
        <v>766</v>
      </c>
      <c r="CO54" s="26" t="s">
        <v>766</v>
      </c>
      <c r="CP54" s="26" t="s">
        <v>766</v>
      </c>
      <c r="CQ54" s="26" t="s">
        <v>766</v>
      </c>
      <c r="CR54" s="26" t="s">
        <v>766</v>
      </c>
      <c r="CS54" s="26" t="s">
        <v>766</v>
      </c>
      <c r="CT54" s="26" t="s">
        <v>766</v>
      </c>
      <c r="CU54" s="26" t="s">
        <v>766</v>
      </c>
      <c r="CV54" s="26" t="s">
        <v>766</v>
      </c>
      <c r="CW54" s="26" t="s">
        <v>766</v>
      </c>
      <c r="CX54" s="26" t="s">
        <v>766</v>
      </c>
    </row>
    <row r="55" spans="1:102" ht="17" thickBot="1" x14ac:dyDescent="0.25">
      <c r="A55" s="80" t="s">
        <v>818</v>
      </c>
      <c r="B55" s="61">
        <v>0.47599999999999998</v>
      </c>
      <c r="C55" s="61">
        <v>0.60426639344262323</v>
      </c>
      <c r="D55" s="74">
        <v>147.44100000000006</v>
      </c>
      <c r="E55" s="75">
        <v>244</v>
      </c>
      <c r="F55" s="62"/>
      <c r="G55" s="63"/>
      <c r="H55" s="26"/>
      <c r="I55" t="s">
        <v>768</v>
      </c>
      <c r="J55" s="50">
        <v>0.99999999999999978</v>
      </c>
      <c r="K55" s="50">
        <v>0.98360655737704894</v>
      </c>
      <c r="L55" s="50">
        <v>0.95491803278688514</v>
      </c>
      <c r="M55" s="50">
        <v>0.91393442622950793</v>
      </c>
      <c r="N55" s="50">
        <v>0.85245901639344246</v>
      </c>
      <c r="O55" s="50">
        <v>0.79098360655737676</v>
      </c>
      <c r="P55" s="50">
        <v>0.7459016393442619</v>
      </c>
      <c r="Q55" s="50">
        <v>0.67213114754098324</v>
      </c>
      <c r="R55" s="50">
        <v>0.60245901639344235</v>
      </c>
      <c r="S55" s="50">
        <v>0.51639344262295073</v>
      </c>
      <c r="T55" s="50">
        <v>0.43852459016393452</v>
      </c>
      <c r="U55" s="50">
        <v>0.36475409836065587</v>
      </c>
      <c r="V55" s="50">
        <v>0.2950819672131148</v>
      </c>
      <c r="W55" s="50">
        <v>0.26229508196721318</v>
      </c>
      <c r="X55" s="50">
        <v>0.22950819672131151</v>
      </c>
      <c r="Y55" s="50">
        <v>0.18032786885245905</v>
      </c>
      <c r="Z55" s="50">
        <v>0.16393442622950821</v>
      </c>
      <c r="AA55" s="50">
        <v>0.15163934426229511</v>
      </c>
      <c r="AB55" s="50">
        <v>0.12704918032786888</v>
      </c>
      <c r="AC55" s="50">
        <v>0.11065573770491804</v>
      </c>
      <c r="AD55" s="50">
        <v>9.836065573770493E-2</v>
      </c>
      <c r="AE55" s="50">
        <v>8.196721311475412E-2</v>
      </c>
      <c r="AF55" s="50">
        <v>7.3770491803278701E-2</v>
      </c>
      <c r="AG55" s="50">
        <v>6.5573770491803268E-2</v>
      </c>
      <c r="AH55" s="50">
        <v>4.0983606557377046E-2</v>
      </c>
      <c r="AI55" s="50">
        <v>2.8688524590163939E-2</v>
      </c>
      <c r="AJ55" s="50">
        <v>2.4590163934426233E-2</v>
      </c>
      <c r="AK55" s="50">
        <v>1.6393442622950821E-2</v>
      </c>
      <c r="AL55" s="50">
        <v>1.2295081967213115E-2</v>
      </c>
      <c r="AM55" s="50">
        <v>8.1967213114754103E-3</v>
      </c>
      <c r="AN55" s="50">
        <v>4.0983606557377051E-3</v>
      </c>
      <c r="AO55" s="50" t="s">
        <v>766</v>
      </c>
      <c r="AP55" s="50" t="s">
        <v>766</v>
      </c>
      <c r="AQ55" s="50" t="s">
        <v>766</v>
      </c>
      <c r="AR55" s="50" t="s">
        <v>766</v>
      </c>
      <c r="AS55" s="50" t="s">
        <v>766</v>
      </c>
      <c r="AT55" s="50" t="s">
        <v>766</v>
      </c>
      <c r="AU55" s="50" t="s">
        <v>766</v>
      </c>
      <c r="AV55" s="50" t="s">
        <v>766</v>
      </c>
      <c r="AW55" s="50" t="s">
        <v>766</v>
      </c>
      <c r="AX55" s="50" t="s">
        <v>766</v>
      </c>
      <c r="AY55" s="50" t="s">
        <v>766</v>
      </c>
      <c r="AZ55" s="50" t="s">
        <v>766</v>
      </c>
      <c r="BA55" s="50" t="s">
        <v>766</v>
      </c>
      <c r="BB55" s="50" t="s">
        <v>766</v>
      </c>
      <c r="BC55" s="50" t="s">
        <v>766</v>
      </c>
      <c r="BD55" s="50" t="s">
        <v>766</v>
      </c>
      <c r="BE55" s="50" t="s">
        <v>766</v>
      </c>
      <c r="BF55" s="50" t="s">
        <v>766</v>
      </c>
      <c r="BG55" s="50" t="s">
        <v>766</v>
      </c>
      <c r="BH55" s="50" t="s">
        <v>766</v>
      </c>
      <c r="BI55" s="50" t="s">
        <v>766</v>
      </c>
      <c r="BJ55" s="50" t="s">
        <v>766</v>
      </c>
      <c r="BK55" s="50" t="s">
        <v>766</v>
      </c>
      <c r="BL55" s="50" t="s">
        <v>766</v>
      </c>
      <c r="BM55" s="50" t="s">
        <v>766</v>
      </c>
      <c r="BN55" s="50" t="s">
        <v>766</v>
      </c>
      <c r="BO55" s="50" t="s">
        <v>766</v>
      </c>
      <c r="BP55" s="50" t="s">
        <v>766</v>
      </c>
      <c r="BQ55" s="50" t="s">
        <v>766</v>
      </c>
      <c r="BR55" s="50" t="s">
        <v>766</v>
      </c>
      <c r="BS55" s="50" t="s">
        <v>766</v>
      </c>
      <c r="BT55" s="50" t="s">
        <v>766</v>
      </c>
      <c r="BU55" s="50" t="s">
        <v>766</v>
      </c>
      <c r="BV55" s="50" t="s">
        <v>766</v>
      </c>
      <c r="BW55" s="50" t="s">
        <v>766</v>
      </c>
      <c r="BX55" s="50" t="s">
        <v>766</v>
      </c>
      <c r="BY55" s="50" t="s">
        <v>766</v>
      </c>
      <c r="BZ55" s="50" t="s">
        <v>766</v>
      </c>
      <c r="CA55" s="50" t="s">
        <v>766</v>
      </c>
      <c r="CB55" s="50" t="s">
        <v>766</v>
      </c>
      <c r="CC55" s="50" t="s">
        <v>766</v>
      </c>
      <c r="CD55" s="50" t="s">
        <v>766</v>
      </c>
      <c r="CE55" s="50" t="s">
        <v>766</v>
      </c>
      <c r="CF55" s="50" t="s">
        <v>766</v>
      </c>
      <c r="CG55" s="50" t="s">
        <v>766</v>
      </c>
      <c r="CH55" s="50" t="s">
        <v>766</v>
      </c>
      <c r="CI55" s="50" t="s">
        <v>766</v>
      </c>
      <c r="CJ55" s="50" t="s">
        <v>766</v>
      </c>
      <c r="CK55" s="50" t="s">
        <v>766</v>
      </c>
      <c r="CL55" s="50" t="s">
        <v>766</v>
      </c>
      <c r="CM55" s="50" t="s">
        <v>766</v>
      </c>
      <c r="CN55" s="50" t="s">
        <v>766</v>
      </c>
      <c r="CO55" s="50" t="s">
        <v>766</v>
      </c>
      <c r="CP55" s="50" t="s">
        <v>766</v>
      </c>
      <c r="CQ55" s="50" t="s">
        <v>766</v>
      </c>
      <c r="CR55" s="50" t="s">
        <v>766</v>
      </c>
      <c r="CS55" s="50" t="s">
        <v>766</v>
      </c>
      <c r="CT55" s="50" t="s">
        <v>766</v>
      </c>
      <c r="CU55" s="50" t="s">
        <v>766</v>
      </c>
      <c r="CV55" s="50" t="s">
        <v>766</v>
      </c>
      <c r="CW55" s="50" t="s">
        <v>766</v>
      </c>
      <c r="CX55" s="50" t="s">
        <v>766</v>
      </c>
    </row>
    <row r="56" spans="1:102" ht="17" thickBot="1" x14ac:dyDescent="0.25">
      <c r="A56" s="84"/>
      <c r="B56" s="26"/>
      <c r="C56" s="26"/>
      <c r="D56" s="73"/>
      <c r="E56" s="72"/>
      <c r="H56" s="26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</row>
    <row r="57" spans="1:102" x14ac:dyDescent="0.2">
      <c r="A57" s="81" t="s">
        <v>773</v>
      </c>
      <c r="B57" s="82"/>
      <c r="C57" s="82"/>
      <c r="D57" s="82"/>
      <c r="E57" s="82"/>
      <c r="F57" s="82"/>
      <c r="G57" s="83"/>
    </row>
    <row r="58" spans="1:102" ht="60" x14ac:dyDescent="0.2">
      <c r="A58" s="55"/>
      <c r="B58" s="32" t="s">
        <v>741</v>
      </c>
      <c r="C58" s="32" t="s">
        <v>809</v>
      </c>
      <c r="D58" s="77" t="s">
        <v>811</v>
      </c>
      <c r="E58" s="70" t="s">
        <v>810</v>
      </c>
      <c r="F58" s="56" t="s">
        <v>805</v>
      </c>
      <c r="G58" s="57"/>
      <c r="H58" s="2"/>
      <c r="I58" s="43" t="s">
        <v>765</v>
      </c>
      <c r="J58" s="45">
        <v>1</v>
      </c>
    </row>
    <row r="59" spans="1:102" x14ac:dyDescent="0.2">
      <c r="A59" s="55" t="s">
        <v>12</v>
      </c>
      <c r="B59" s="58">
        <v>0.25800000000000001</v>
      </c>
      <c r="C59" s="58">
        <v>3.7641244019138771</v>
      </c>
      <c r="D59" s="71">
        <v>786.70200000000034</v>
      </c>
      <c r="E59" s="72">
        <v>209</v>
      </c>
      <c r="F59" s="59">
        <v>3.3657643259081702</v>
      </c>
      <c r="G59" s="57"/>
      <c r="H59" s="25"/>
    </row>
    <row r="60" spans="1:102" x14ac:dyDescent="0.2">
      <c r="A60" s="55" t="s">
        <v>816</v>
      </c>
      <c r="B60" s="60">
        <v>0.51100000000000001</v>
      </c>
      <c r="C60" s="60">
        <v>0.86219138755980851</v>
      </c>
      <c r="D60" s="73">
        <v>180.19799999999998</v>
      </c>
      <c r="E60" s="72">
        <v>209</v>
      </c>
      <c r="F60" s="59"/>
      <c r="G60" s="57"/>
      <c r="H60" s="26"/>
      <c r="I60" s="43"/>
      <c r="J60" t="s">
        <v>761</v>
      </c>
    </row>
    <row r="61" spans="1:102" x14ac:dyDescent="0.2">
      <c r="A61" s="55" t="s">
        <v>8</v>
      </c>
      <c r="B61" s="58">
        <v>0.28999999999999998</v>
      </c>
      <c r="C61" s="58">
        <v>1.0251179245283017</v>
      </c>
      <c r="D61" s="71">
        <v>217.32499999999996</v>
      </c>
      <c r="E61" s="72">
        <v>212</v>
      </c>
      <c r="F61" s="59">
        <v>0.44948076807640747</v>
      </c>
      <c r="G61" s="57"/>
      <c r="H61" s="25"/>
      <c r="J61" s="6">
        <v>-0.9</v>
      </c>
      <c r="K61" s="6">
        <v>-0.8</v>
      </c>
      <c r="L61" s="6">
        <v>-0.7</v>
      </c>
      <c r="M61" s="6">
        <v>-0.6</v>
      </c>
      <c r="N61" s="6">
        <v>-0.5</v>
      </c>
      <c r="O61" s="6">
        <v>-0.4</v>
      </c>
      <c r="P61" s="6">
        <v>-0.3</v>
      </c>
      <c r="Q61" s="6">
        <v>-0.2</v>
      </c>
      <c r="R61" s="6">
        <v>-0.1</v>
      </c>
      <c r="S61" s="6">
        <v>0</v>
      </c>
      <c r="T61" s="6">
        <v>0.1</v>
      </c>
      <c r="U61" s="6">
        <v>0.2</v>
      </c>
      <c r="V61" s="6">
        <v>0.3</v>
      </c>
      <c r="W61" s="6">
        <v>0.4</v>
      </c>
      <c r="X61" s="6">
        <v>0.5</v>
      </c>
      <c r="Y61" s="6">
        <v>0.6</v>
      </c>
      <c r="Z61" s="6">
        <v>0.7</v>
      </c>
      <c r="AA61" s="6">
        <v>0.8</v>
      </c>
      <c r="AB61" s="6">
        <v>0.9</v>
      </c>
      <c r="AC61" s="6">
        <v>1</v>
      </c>
      <c r="AD61" s="6">
        <v>1.1000000000000001</v>
      </c>
      <c r="AE61" s="6">
        <v>1.2</v>
      </c>
      <c r="AF61" s="6">
        <v>1.3</v>
      </c>
      <c r="AG61" s="6">
        <v>1.4</v>
      </c>
      <c r="AH61" s="6">
        <v>1.6</v>
      </c>
      <c r="AI61" s="6">
        <v>1.8</v>
      </c>
      <c r="AJ61" s="6">
        <v>1.9</v>
      </c>
      <c r="AK61" s="6">
        <v>2</v>
      </c>
      <c r="AL61" s="6">
        <v>2.1</v>
      </c>
      <c r="AM61" s="6">
        <v>2.4</v>
      </c>
      <c r="AN61" s="6">
        <v>2.8</v>
      </c>
      <c r="AO61" s="6">
        <v>2.9</v>
      </c>
      <c r="AP61" s="6">
        <v>3.2</v>
      </c>
      <c r="AQ61" s="6">
        <v>3.4</v>
      </c>
      <c r="AR61" s="6">
        <v>3.6</v>
      </c>
      <c r="AS61" s="6">
        <v>4</v>
      </c>
      <c r="AT61" s="6">
        <v>4.0999999999999996</v>
      </c>
      <c r="AU61" s="6">
        <v>4.7</v>
      </c>
      <c r="AV61" s="6">
        <v>6.6</v>
      </c>
      <c r="AW61" s="6">
        <v>7.1</v>
      </c>
      <c r="AX61" s="6">
        <v>7.2</v>
      </c>
      <c r="AY61" s="6">
        <v>8.5</v>
      </c>
      <c r="AZ61" s="6">
        <v>10.4</v>
      </c>
      <c r="BA61" s="6">
        <v>14.1</v>
      </c>
      <c r="BB61" s="6">
        <v>17.5</v>
      </c>
      <c r="BC61" s="6">
        <v>25.8</v>
      </c>
      <c r="BD61" s="6">
        <v>29.5</v>
      </c>
      <c r="BE61" s="6">
        <v>37.6</v>
      </c>
    </row>
    <row r="62" spans="1:102" x14ac:dyDescent="0.2">
      <c r="A62" s="55" t="s">
        <v>817</v>
      </c>
      <c r="B62" s="60">
        <v>0.47699999999999998</v>
      </c>
      <c r="C62" s="60">
        <v>0.70723113207547161</v>
      </c>
      <c r="D62" s="73">
        <v>149.93299999999999</v>
      </c>
      <c r="E62" s="72">
        <v>212.00000000000003</v>
      </c>
      <c r="F62" s="59"/>
      <c r="G62" s="57"/>
      <c r="H62" s="26"/>
      <c r="I62" t="s">
        <v>762</v>
      </c>
      <c r="J62" s="6">
        <v>1.66270783847981E-2</v>
      </c>
      <c r="K62" s="6">
        <v>3.5629453681710214E-2</v>
      </c>
      <c r="L62" s="6">
        <v>5.7007125890736345E-2</v>
      </c>
      <c r="M62" s="6">
        <v>6.1757719714964368E-2</v>
      </c>
      <c r="N62" s="6">
        <v>5.2256532066508314E-2</v>
      </c>
      <c r="O62" s="6">
        <v>8.076009501187649E-2</v>
      </c>
      <c r="P62" s="6">
        <v>7.6009501187648459E-2</v>
      </c>
      <c r="Q62" s="6">
        <v>6.413301662707839E-2</v>
      </c>
      <c r="R62" s="6">
        <v>8.3135391923990498E-2</v>
      </c>
      <c r="S62" s="6">
        <v>5.9382422802850353E-2</v>
      </c>
      <c r="T62" s="6">
        <v>7.1258907363420429E-2</v>
      </c>
      <c r="U62" s="6">
        <v>3.3254156769596199E-2</v>
      </c>
      <c r="V62" s="6">
        <v>3.5629453681710214E-2</v>
      </c>
      <c r="W62" s="6">
        <v>4.7505938242280284E-2</v>
      </c>
      <c r="X62" s="6">
        <v>1.9002375296912115E-2</v>
      </c>
      <c r="Y62" s="6">
        <v>1.66270783847981E-2</v>
      </c>
      <c r="Z62" s="6">
        <v>3.3254156769596199E-2</v>
      </c>
      <c r="AA62" s="6">
        <v>1.1876484560570071E-2</v>
      </c>
      <c r="AB62" s="6">
        <v>1.1876484560570071E-2</v>
      </c>
      <c r="AC62" s="6">
        <v>1.1876484560570071E-2</v>
      </c>
      <c r="AD62" s="6">
        <v>2.3752969121140144E-3</v>
      </c>
      <c r="AE62" s="6">
        <v>1.4251781472684086E-2</v>
      </c>
      <c r="AF62" s="6">
        <v>2.3752969121140144E-3</v>
      </c>
      <c r="AG62" s="6">
        <v>7.1258907363420431E-3</v>
      </c>
      <c r="AH62" s="6">
        <v>1.9002375296912115E-2</v>
      </c>
      <c r="AI62" s="6">
        <v>4.7505938242280287E-3</v>
      </c>
      <c r="AJ62" s="6">
        <v>9.5011876484560574E-3</v>
      </c>
      <c r="AK62" s="6">
        <v>2.3752969121140144E-3</v>
      </c>
      <c r="AL62" s="6">
        <v>7.1258907363420431E-3</v>
      </c>
      <c r="AM62" s="6">
        <v>2.3752969121140144E-3</v>
      </c>
      <c r="AN62" s="6">
        <v>2.3752969121140144E-3</v>
      </c>
      <c r="AO62" s="6">
        <v>2.3752969121140144E-3</v>
      </c>
      <c r="AP62" s="6">
        <v>7.1258907363420431E-3</v>
      </c>
      <c r="AQ62" s="6">
        <v>2.3752969121140144E-3</v>
      </c>
      <c r="AR62" s="6">
        <v>2.3752969121140144E-3</v>
      </c>
      <c r="AS62" s="6">
        <v>4.7505938242280287E-3</v>
      </c>
      <c r="AT62" s="6">
        <v>2.3752969121140144E-3</v>
      </c>
      <c r="AU62" s="6">
        <v>2.3752969121140144E-3</v>
      </c>
      <c r="AV62" s="6">
        <v>2.3752969121140144E-3</v>
      </c>
      <c r="AW62" s="6">
        <v>2.3752969121140144E-3</v>
      </c>
      <c r="AX62" s="6">
        <v>2.3752969121140144E-3</v>
      </c>
      <c r="AY62" s="6">
        <v>2.3752969121140144E-3</v>
      </c>
      <c r="AZ62" s="6">
        <v>2.3752969121140144E-3</v>
      </c>
      <c r="BA62" s="6">
        <v>2.3752969121140144E-3</v>
      </c>
      <c r="BB62" s="6">
        <v>2.3752969121140144E-3</v>
      </c>
      <c r="BC62" s="6">
        <v>2.3752969121140144E-3</v>
      </c>
      <c r="BD62" s="6">
        <v>2.3752969121140144E-3</v>
      </c>
      <c r="BE62" s="6">
        <v>2.3752969121140144E-3</v>
      </c>
    </row>
    <row r="63" spans="1:102" x14ac:dyDescent="0.2">
      <c r="A63" s="55" t="s">
        <v>744</v>
      </c>
      <c r="B63" s="58">
        <v>0.28999999999999998</v>
      </c>
      <c r="C63" s="58">
        <v>2.3848622327791031</v>
      </c>
      <c r="D63" s="71">
        <v>1004.0270000000024</v>
      </c>
      <c r="E63" s="72">
        <v>421</v>
      </c>
      <c r="F63" s="59">
        <v>2.0412987571600447</v>
      </c>
      <c r="G63" s="57"/>
      <c r="H63" s="25"/>
      <c r="I63" t="s">
        <v>769</v>
      </c>
      <c r="J63" s="26">
        <v>1.66270783847981E-2</v>
      </c>
      <c r="K63" s="26">
        <v>5.2256532066508314E-2</v>
      </c>
      <c r="L63" s="26">
        <v>0.10926365795724466</v>
      </c>
      <c r="M63" s="26">
        <v>0.17102137767220904</v>
      </c>
      <c r="N63" s="26">
        <v>0.22327790973871736</v>
      </c>
      <c r="O63" s="26">
        <v>0.30403800475059384</v>
      </c>
      <c r="P63" s="26">
        <v>0.38004750593824232</v>
      </c>
      <c r="Q63" s="26">
        <v>0.4441805225653207</v>
      </c>
      <c r="R63" s="26">
        <v>0.52731591448931114</v>
      </c>
      <c r="S63" s="26">
        <v>0.58669833729216148</v>
      </c>
      <c r="T63" s="26">
        <v>0.65795724465558192</v>
      </c>
      <c r="U63" s="26">
        <v>0.69121140142517812</v>
      </c>
      <c r="V63" s="26">
        <v>0.72684085510688834</v>
      </c>
      <c r="W63" s="26">
        <v>0.77434679334916867</v>
      </c>
      <c r="X63" s="26">
        <v>0.79334916864608074</v>
      </c>
      <c r="Y63" s="26">
        <v>0.80997624703087889</v>
      </c>
      <c r="Z63" s="26">
        <v>0.84323040380047509</v>
      </c>
      <c r="AA63" s="26">
        <v>0.8551068883610452</v>
      </c>
      <c r="AB63" s="26">
        <v>0.86698337292161531</v>
      </c>
      <c r="AC63" s="26">
        <v>0.87885985748218542</v>
      </c>
      <c r="AD63" s="26">
        <v>0.88123515439429945</v>
      </c>
      <c r="AE63" s="26">
        <v>0.89548693586698358</v>
      </c>
      <c r="AF63" s="26">
        <v>0.8978622327790976</v>
      </c>
      <c r="AG63" s="26">
        <v>0.90498812351543967</v>
      </c>
      <c r="AH63" s="26">
        <v>0.92399049881235173</v>
      </c>
      <c r="AI63" s="26">
        <v>0.92874109263657978</v>
      </c>
      <c r="AJ63" s="26">
        <v>0.93824228028503587</v>
      </c>
      <c r="AK63" s="26">
        <v>0.94061757719714989</v>
      </c>
      <c r="AL63" s="26">
        <v>0.94774346793349196</v>
      </c>
      <c r="AM63" s="26">
        <v>0.95011876484560598</v>
      </c>
      <c r="AN63" s="26">
        <v>0.95249406175772</v>
      </c>
      <c r="AO63" s="26">
        <v>0.95486935866983402</v>
      </c>
      <c r="AP63" s="26">
        <v>0.96199524940617609</v>
      </c>
      <c r="AQ63" s="26">
        <v>0.96437054631829011</v>
      </c>
      <c r="AR63" s="26">
        <v>0.96674584323040413</v>
      </c>
      <c r="AS63" s="26">
        <v>0.97149643705463218</v>
      </c>
      <c r="AT63" s="26">
        <v>0.9738717339667462</v>
      </c>
      <c r="AU63" s="26">
        <v>0.97624703087886022</v>
      </c>
      <c r="AV63" s="26">
        <v>0.97862232779097424</v>
      </c>
      <c r="AW63" s="26">
        <v>0.98099762470308827</v>
      </c>
      <c r="AX63" s="26">
        <v>0.98337292161520229</v>
      </c>
      <c r="AY63" s="26">
        <v>0.98574821852731631</v>
      </c>
      <c r="AZ63" s="26">
        <v>0.98812351543943033</v>
      </c>
      <c r="BA63" s="26">
        <v>0.99049881235154436</v>
      </c>
      <c r="BB63" s="26">
        <v>0.99287410926365838</v>
      </c>
      <c r="BC63" s="26">
        <v>0.9952494061757724</v>
      </c>
      <c r="BD63" s="26">
        <v>0.99762470308788642</v>
      </c>
      <c r="BE63" s="26">
        <v>1.0000000000000004</v>
      </c>
      <c r="BF63" s="26" t="s">
        <v>766</v>
      </c>
      <c r="BG63" s="26" t="s">
        <v>766</v>
      </c>
      <c r="BH63" s="26" t="s">
        <v>766</v>
      </c>
      <c r="BI63" s="26" t="s">
        <v>766</v>
      </c>
      <c r="BJ63" s="26" t="s">
        <v>766</v>
      </c>
      <c r="BK63" s="26" t="s">
        <v>766</v>
      </c>
      <c r="BL63" s="26" t="s">
        <v>766</v>
      </c>
      <c r="BM63" s="26" t="s">
        <v>766</v>
      </c>
      <c r="BN63" s="26" t="s">
        <v>766</v>
      </c>
      <c r="BO63" s="26" t="s">
        <v>766</v>
      </c>
      <c r="BP63" s="26" t="s">
        <v>766</v>
      </c>
      <c r="BQ63" s="26" t="s">
        <v>766</v>
      </c>
      <c r="BR63" s="26" t="s">
        <v>766</v>
      </c>
      <c r="BS63" s="26" t="s">
        <v>766</v>
      </c>
      <c r="BT63" s="26" t="s">
        <v>766</v>
      </c>
      <c r="BU63" s="26" t="s">
        <v>766</v>
      </c>
      <c r="BV63" s="26" t="s">
        <v>766</v>
      </c>
      <c r="BW63" s="26" t="s">
        <v>766</v>
      </c>
      <c r="BX63" s="26" t="s">
        <v>766</v>
      </c>
      <c r="BY63" s="26" t="s">
        <v>766</v>
      </c>
      <c r="BZ63" s="26" t="s">
        <v>766</v>
      </c>
      <c r="CA63" s="26" t="s">
        <v>766</v>
      </c>
      <c r="CB63" s="26" t="s">
        <v>766</v>
      </c>
      <c r="CC63" s="26" t="s">
        <v>766</v>
      </c>
      <c r="CD63" s="26" t="s">
        <v>766</v>
      </c>
      <c r="CE63" s="26" t="s">
        <v>766</v>
      </c>
      <c r="CF63" s="26" t="s">
        <v>766</v>
      </c>
      <c r="CG63" s="26" t="s">
        <v>766</v>
      </c>
      <c r="CH63" s="26" t="s">
        <v>766</v>
      </c>
      <c r="CI63" s="26" t="s">
        <v>766</v>
      </c>
      <c r="CJ63" s="26" t="s">
        <v>766</v>
      </c>
      <c r="CK63" s="26" t="s">
        <v>766</v>
      </c>
      <c r="CL63" s="26" t="s">
        <v>766</v>
      </c>
      <c r="CM63" s="26" t="s">
        <v>766</v>
      </c>
      <c r="CN63" s="26" t="s">
        <v>766</v>
      </c>
      <c r="CO63" s="26" t="s">
        <v>766</v>
      </c>
      <c r="CP63" s="26" t="s">
        <v>766</v>
      </c>
      <c r="CQ63" s="26" t="s">
        <v>766</v>
      </c>
      <c r="CR63" s="26" t="s">
        <v>766</v>
      </c>
      <c r="CS63" s="26" t="s">
        <v>766</v>
      </c>
      <c r="CT63" s="26" t="s">
        <v>766</v>
      </c>
      <c r="CU63" s="26" t="s">
        <v>766</v>
      </c>
      <c r="CV63" s="26" t="s">
        <v>766</v>
      </c>
      <c r="CW63" s="26" t="s">
        <v>766</v>
      </c>
      <c r="CX63" s="26" t="s">
        <v>766</v>
      </c>
    </row>
    <row r="64" spans="1:102" ht="17" thickBot="1" x14ac:dyDescent="0.25">
      <c r="A64" s="80" t="s">
        <v>818</v>
      </c>
      <c r="B64" s="61">
        <v>0.48299999999999998</v>
      </c>
      <c r="C64" s="61">
        <v>0.78415914489311145</v>
      </c>
      <c r="D64" s="74">
        <v>330.13099999999991</v>
      </c>
      <c r="E64" s="75">
        <v>421</v>
      </c>
      <c r="F64" s="62"/>
      <c r="G64" s="63"/>
      <c r="H64" s="26"/>
      <c r="I64" t="s">
        <v>768</v>
      </c>
      <c r="J64" s="50">
        <v>1.0000000000000004</v>
      </c>
      <c r="K64" s="50">
        <v>0.98337292161520229</v>
      </c>
      <c r="L64" s="50">
        <v>0.94774346793349218</v>
      </c>
      <c r="M64" s="50">
        <v>0.89073634204275565</v>
      </c>
      <c r="N64" s="50">
        <v>0.82897862232779129</v>
      </c>
      <c r="O64" s="50">
        <v>0.77672209026128303</v>
      </c>
      <c r="P64" s="50">
        <v>0.69596199524940661</v>
      </c>
      <c r="Q64" s="50">
        <v>0.6199524940617579</v>
      </c>
      <c r="R64" s="50">
        <v>0.55581947743467952</v>
      </c>
      <c r="S64" s="50">
        <v>0.47268408551068902</v>
      </c>
      <c r="T64" s="50">
        <v>0.41330166270783864</v>
      </c>
      <c r="U64" s="50">
        <v>0.3420427553444183</v>
      </c>
      <c r="V64" s="50">
        <v>0.3087885985748221</v>
      </c>
      <c r="W64" s="50">
        <v>0.27315914489311177</v>
      </c>
      <c r="X64" s="50">
        <v>0.22565320665083147</v>
      </c>
      <c r="Y64" s="50">
        <v>0.20665083135391935</v>
      </c>
      <c r="Z64" s="50">
        <v>0.19002375296912125</v>
      </c>
      <c r="AA64" s="50">
        <v>0.15676959619952499</v>
      </c>
      <c r="AB64" s="50">
        <v>0.14489311163895488</v>
      </c>
      <c r="AC64" s="50">
        <v>0.13301662707838474</v>
      </c>
      <c r="AD64" s="50">
        <v>0.12114014251781463</v>
      </c>
      <c r="AE64" s="50">
        <v>0.11876484560570062</v>
      </c>
      <c r="AF64" s="50">
        <v>0.10451306413301656</v>
      </c>
      <c r="AG64" s="50">
        <v>0.10213776722090254</v>
      </c>
      <c r="AH64" s="50">
        <v>9.5011876484560512E-2</v>
      </c>
      <c r="AI64" s="50">
        <v>7.6009501187648432E-2</v>
      </c>
      <c r="AJ64" s="50">
        <v>7.1258907363420429E-2</v>
      </c>
      <c r="AK64" s="50">
        <v>6.1757719714964389E-2</v>
      </c>
      <c r="AL64" s="50">
        <v>5.9382422802850374E-2</v>
      </c>
      <c r="AM64" s="50">
        <v>5.2256532066508328E-2</v>
      </c>
      <c r="AN64" s="50">
        <v>4.9881235154394313E-2</v>
      </c>
      <c r="AO64" s="50">
        <v>4.7505938242280298E-2</v>
      </c>
      <c r="AP64" s="50">
        <v>4.5130641330166282E-2</v>
      </c>
      <c r="AQ64" s="50">
        <v>3.8004750593824237E-2</v>
      </c>
      <c r="AR64" s="50">
        <v>3.5629453681710221E-2</v>
      </c>
      <c r="AS64" s="50">
        <v>3.3254156769596206E-2</v>
      </c>
      <c r="AT64" s="50">
        <v>2.8503562945368179E-2</v>
      </c>
      <c r="AU64" s="50">
        <v>2.6128266033254164E-2</v>
      </c>
      <c r="AV64" s="50">
        <v>2.3752969121140149E-2</v>
      </c>
      <c r="AW64" s="50">
        <v>2.1377672209026134E-2</v>
      </c>
      <c r="AX64" s="50">
        <v>1.9002375296912118E-2</v>
      </c>
      <c r="AY64" s="50">
        <v>1.6627078384798103E-2</v>
      </c>
      <c r="AZ64" s="50">
        <v>1.4251781472684088E-2</v>
      </c>
      <c r="BA64" s="50">
        <v>1.1876484560570073E-2</v>
      </c>
      <c r="BB64" s="50">
        <v>9.5011876484560574E-3</v>
      </c>
      <c r="BC64" s="50">
        <v>7.1258907363420431E-3</v>
      </c>
      <c r="BD64" s="50">
        <v>4.7505938242280287E-3</v>
      </c>
      <c r="BE64" s="50">
        <v>2.3752969121140144E-3</v>
      </c>
      <c r="BF64" s="50" t="s">
        <v>766</v>
      </c>
      <c r="BG64" s="50" t="s">
        <v>766</v>
      </c>
      <c r="BH64" s="50" t="s">
        <v>766</v>
      </c>
      <c r="BI64" s="50" t="s">
        <v>766</v>
      </c>
      <c r="BJ64" s="50" t="s">
        <v>766</v>
      </c>
      <c r="BK64" s="50" t="s">
        <v>766</v>
      </c>
      <c r="BL64" s="50" t="s">
        <v>766</v>
      </c>
      <c r="BM64" s="50" t="s">
        <v>766</v>
      </c>
      <c r="BN64" s="50" t="s">
        <v>766</v>
      </c>
      <c r="BO64" s="50" t="s">
        <v>766</v>
      </c>
      <c r="BP64" s="50" t="s">
        <v>766</v>
      </c>
      <c r="BQ64" s="50" t="s">
        <v>766</v>
      </c>
      <c r="BR64" s="50" t="s">
        <v>766</v>
      </c>
      <c r="BS64" s="50" t="s">
        <v>766</v>
      </c>
      <c r="BT64" s="50" t="s">
        <v>766</v>
      </c>
      <c r="BU64" s="50" t="s">
        <v>766</v>
      </c>
      <c r="BV64" s="50" t="s">
        <v>766</v>
      </c>
      <c r="BW64" s="50" t="s">
        <v>766</v>
      </c>
      <c r="BX64" s="50" t="s">
        <v>766</v>
      </c>
      <c r="BY64" s="50" t="s">
        <v>766</v>
      </c>
      <c r="BZ64" s="50" t="s">
        <v>766</v>
      </c>
      <c r="CA64" s="50" t="s">
        <v>766</v>
      </c>
      <c r="CB64" s="50" t="s">
        <v>766</v>
      </c>
      <c r="CC64" s="50" t="s">
        <v>766</v>
      </c>
      <c r="CD64" s="50" t="s">
        <v>766</v>
      </c>
      <c r="CE64" s="50" t="s">
        <v>766</v>
      </c>
      <c r="CF64" s="50" t="s">
        <v>766</v>
      </c>
      <c r="CG64" s="50" t="s">
        <v>766</v>
      </c>
      <c r="CH64" s="50" t="s">
        <v>766</v>
      </c>
      <c r="CI64" s="50" t="s">
        <v>766</v>
      </c>
      <c r="CJ64" s="50" t="s">
        <v>766</v>
      </c>
      <c r="CK64" s="50" t="s">
        <v>766</v>
      </c>
      <c r="CL64" s="50" t="s">
        <v>766</v>
      </c>
      <c r="CM64" s="50" t="s">
        <v>766</v>
      </c>
      <c r="CN64" s="50" t="s">
        <v>766</v>
      </c>
      <c r="CO64" s="50" t="s">
        <v>766</v>
      </c>
      <c r="CP64" s="50" t="s">
        <v>766</v>
      </c>
      <c r="CQ64" s="50" t="s">
        <v>766</v>
      </c>
      <c r="CR64" s="50" t="s">
        <v>766</v>
      </c>
      <c r="CS64" s="50" t="s">
        <v>766</v>
      </c>
      <c r="CT64" s="50" t="s">
        <v>766</v>
      </c>
      <c r="CU64" s="50" t="s">
        <v>766</v>
      </c>
      <c r="CV64" s="50" t="s">
        <v>766</v>
      </c>
      <c r="CW64" s="50" t="s">
        <v>766</v>
      </c>
      <c r="CX64" s="50" t="s">
        <v>766</v>
      </c>
    </row>
    <row r="65" spans="1:102" ht="17" thickBot="1" x14ac:dyDescent="0.25"/>
    <row r="66" spans="1:102" x14ac:dyDescent="0.2">
      <c r="A66" s="81" t="s">
        <v>758</v>
      </c>
      <c r="B66" s="82"/>
      <c r="C66" s="82"/>
      <c r="D66" s="82"/>
      <c r="E66" s="82"/>
      <c r="F66" s="82"/>
      <c r="G66" s="83"/>
    </row>
    <row r="67" spans="1:102" ht="60" x14ac:dyDescent="0.2">
      <c r="A67" s="55"/>
      <c r="B67" s="32" t="s">
        <v>741</v>
      </c>
      <c r="C67" s="32" t="s">
        <v>809</v>
      </c>
      <c r="D67" s="77" t="s">
        <v>811</v>
      </c>
      <c r="E67" s="70" t="s">
        <v>810</v>
      </c>
      <c r="F67" s="56" t="s">
        <v>805</v>
      </c>
      <c r="G67" s="57"/>
      <c r="H67" s="2"/>
      <c r="I67" s="43" t="s">
        <v>765</v>
      </c>
      <c r="J67" s="45">
        <v>1</v>
      </c>
    </row>
    <row r="68" spans="1:102" x14ac:dyDescent="0.2">
      <c r="A68" s="55" t="s">
        <v>12</v>
      </c>
      <c r="B68" s="58">
        <v>0.2145</v>
      </c>
      <c r="C68" s="58">
        <v>1.1900145631067967</v>
      </c>
      <c r="D68" s="71">
        <v>245.14300000000011</v>
      </c>
      <c r="E68" s="72">
        <v>206</v>
      </c>
      <c r="F68" s="59">
        <v>0.52266515938284264</v>
      </c>
      <c r="G68" s="57"/>
      <c r="H68" s="25"/>
    </row>
    <row r="69" spans="1:102" x14ac:dyDescent="0.2">
      <c r="A69" s="55" t="s">
        <v>816</v>
      </c>
      <c r="B69" s="60">
        <v>0.48049999999999998</v>
      </c>
      <c r="C69" s="60">
        <v>0.78153398058252421</v>
      </c>
      <c r="D69" s="73">
        <v>160.99599999999998</v>
      </c>
      <c r="E69" s="72">
        <v>206</v>
      </c>
      <c r="F69" s="59"/>
      <c r="G69" s="57"/>
      <c r="H69" s="26"/>
      <c r="I69" s="43"/>
      <c r="J69" t="s">
        <v>761</v>
      </c>
    </row>
    <row r="70" spans="1:102" x14ac:dyDescent="0.2">
      <c r="A70" s="55" t="s">
        <v>8</v>
      </c>
      <c r="B70" s="58">
        <v>0.28100000000000003</v>
      </c>
      <c r="C70" s="58">
        <v>0.80847906976744166</v>
      </c>
      <c r="D70" s="71">
        <v>173.82299999999995</v>
      </c>
      <c r="E70" s="72">
        <v>215</v>
      </c>
      <c r="F70" s="59">
        <v>0.17649885614500516</v>
      </c>
      <c r="G70" s="57"/>
      <c r="H70" s="25"/>
      <c r="J70" s="6">
        <v>-1</v>
      </c>
      <c r="K70" s="6">
        <v>-0.9</v>
      </c>
      <c r="L70" s="6">
        <v>-0.8</v>
      </c>
      <c r="M70" s="6">
        <v>-0.7</v>
      </c>
      <c r="N70" s="6">
        <v>-0.6</v>
      </c>
      <c r="O70" s="6">
        <v>-0.5</v>
      </c>
      <c r="P70" s="6">
        <v>-0.4</v>
      </c>
      <c r="Q70" s="6">
        <v>-0.3</v>
      </c>
      <c r="R70" s="6">
        <v>-0.2</v>
      </c>
      <c r="S70" s="6">
        <v>-0.1</v>
      </c>
      <c r="T70" s="6">
        <v>0</v>
      </c>
      <c r="U70" s="6">
        <v>0.1</v>
      </c>
      <c r="V70" s="6">
        <v>0.2</v>
      </c>
      <c r="W70" s="6">
        <v>0.3</v>
      </c>
      <c r="X70" s="6">
        <v>0.4</v>
      </c>
      <c r="Y70" s="6">
        <v>0.5</v>
      </c>
      <c r="Z70" s="6">
        <v>0.6</v>
      </c>
      <c r="AA70" s="6">
        <v>0.7</v>
      </c>
      <c r="AB70" s="6">
        <v>0.8</v>
      </c>
      <c r="AC70" s="6">
        <v>0.9</v>
      </c>
      <c r="AD70" s="6">
        <v>1</v>
      </c>
      <c r="AE70" s="6">
        <v>1.1000000000000001</v>
      </c>
      <c r="AF70" s="6">
        <v>1.2</v>
      </c>
      <c r="AG70" s="6">
        <v>1.3</v>
      </c>
      <c r="AH70" s="6">
        <v>1.4</v>
      </c>
      <c r="AI70" s="6">
        <v>1.6</v>
      </c>
      <c r="AJ70" s="6">
        <v>1.8</v>
      </c>
      <c r="AK70" s="6">
        <v>1.9</v>
      </c>
      <c r="AL70" s="6">
        <v>2</v>
      </c>
      <c r="AM70" s="6">
        <v>2.1</v>
      </c>
      <c r="AN70" s="6">
        <v>2.4</v>
      </c>
      <c r="AO70" s="6">
        <v>2.8</v>
      </c>
      <c r="AP70" s="6">
        <v>2.9</v>
      </c>
      <c r="AQ70" s="6">
        <v>3.2</v>
      </c>
      <c r="AR70" s="6">
        <v>3.4</v>
      </c>
      <c r="AS70" s="6">
        <v>3.6</v>
      </c>
      <c r="AT70" s="6">
        <v>4</v>
      </c>
      <c r="AU70" s="6">
        <v>4.0999999999999996</v>
      </c>
      <c r="AV70" s="6">
        <v>4.7</v>
      </c>
      <c r="AW70" s="6">
        <v>8.5</v>
      </c>
    </row>
    <row r="71" spans="1:102" x14ac:dyDescent="0.2">
      <c r="A71" s="55" t="s">
        <v>817</v>
      </c>
      <c r="B71" s="60">
        <v>0.47599999999999998</v>
      </c>
      <c r="C71" s="60">
        <v>0.68719069767441876</v>
      </c>
      <c r="D71" s="73">
        <v>147.74600000000004</v>
      </c>
      <c r="E71" s="72">
        <v>215</v>
      </c>
      <c r="F71" s="59"/>
      <c r="G71" s="57"/>
      <c r="H71" s="26"/>
      <c r="I71" t="s">
        <v>762</v>
      </c>
      <c r="J71" s="6">
        <v>9.5011876484560574E-3</v>
      </c>
      <c r="K71" s="6">
        <v>2.8503562945368172E-2</v>
      </c>
      <c r="L71" s="6">
        <v>3.800475059382423E-2</v>
      </c>
      <c r="M71" s="6">
        <v>5.7007125890736345E-2</v>
      </c>
      <c r="N71" s="6">
        <v>6.1757719714964368E-2</v>
      </c>
      <c r="O71" s="6">
        <v>5.2256532066508314E-2</v>
      </c>
      <c r="P71" s="6">
        <v>8.076009501187649E-2</v>
      </c>
      <c r="Q71" s="6">
        <v>7.6009501187648459E-2</v>
      </c>
      <c r="R71" s="6">
        <v>6.413301662707839E-2</v>
      </c>
      <c r="S71" s="6">
        <v>8.3135391923990498E-2</v>
      </c>
      <c r="T71" s="6">
        <v>5.9382422802850353E-2</v>
      </c>
      <c r="U71" s="6">
        <v>7.1258907363420429E-2</v>
      </c>
      <c r="V71" s="6">
        <v>3.3254156769596199E-2</v>
      </c>
      <c r="W71" s="6">
        <v>3.5629453681710214E-2</v>
      </c>
      <c r="X71" s="6">
        <v>4.7505938242280284E-2</v>
      </c>
      <c r="Y71" s="6">
        <v>1.9002375296912115E-2</v>
      </c>
      <c r="Z71" s="6">
        <v>1.66270783847981E-2</v>
      </c>
      <c r="AA71" s="6">
        <v>3.3254156769596199E-2</v>
      </c>
      <c r="AB71" s="6">
        <v>1.1876484560570071E-2</v>
      </c>
      <c r="AC71" s="6">
        <v>1.1876484560570071E-2</v>
      </c>
      <c r="AD71" s="6">
        <v>1.1876484560570071E-2</v>
      </c>
      <c r="AE71" s="6">
        <v>2.3752969121140144E-3</v>
      </c>
      <c r="AF71" s="6">
        <v>1.4251781472684086E-2</v>
      </c>
      <c r="AG71" s="6">
        <v>2.3752969121140144E-3</v>
      </c>
      <c r="AH71" s="6">
        <v>7.1258907363420431E-3</v>
      </c>
      <c r="AI71" s="6">
        <v>1.9002375296912115E-2</v>
      </c>
      <c r="AJ71" s="6">
        <v>4.7505938242280287E-3</v>
      </c>
      <c r="AK71" s="6">
        <v>9.5011876484560574E-3</v>
      </c>
      <c r="AL71" s="6">
        <v>2.3752969121140144E-3</v>
      </c>
      <c r="AM71" s="6">
        <v>7.1258907363420431E-3</v>
      </c>
      <c r="AN71" s="6">
        <v>2.3752969121140144E-3</v>
      </c>
      <c r="AO71" s="6">
        <v>2.3752969121140144E-3</v>
      </c>
      <c r="AP71" s="6">
        <v>2.3752969121140144E-3</v>
      </c>
      <c r="AQ71" s="6">
        <v>7.1258907363420431E-3</v>
      </c>
      <c r="AR71" s="6">
        <v>2.3752969121140144E-3</v>
      </c>
      <c r="AS71" s="6">
        <v>2.3752969121140144E-3</v>
      </c>
      <c r="AT71" s="6">
        <v>2.3752969121140144E-3</v>
      </c>
      <c r="AU71" s="6">
        <v>2.3752969121140144E-3</v>
      </c>
      <c r="AV71" s="6">
        <v>2.3752969121140144E-3</v>
      </c>
      <c r="AW71" s="6">
        <v>2.3752969121140144E-3</v>
      </c>
    </row>
    <row r="72" spans="1:102" x14ac:dyDescent="0.2">
      <c r="A72" s="55" t="s">
        <v>744</v>
      </c>
      <c r="B72" s="58">
        <v>0.25600000000000001</v>
      </c>
      <c r="C72" s="58">
        <v>0.99516864608076017</v>
      </c>
      <c r="D72" s="71">
        <v>418.96600000000001</v>
      </c>
      <c r="E72" s="72">
        <v>421</v>
      </c>
      <c r="F72" s="59">
        <v>0.35701006017969816</v>
      </c>
      <c r="G72" s="57"/>
      <c r="H72" s="25"/>
      <c r="I72" t="s">
        <v>769</v>
      </c>
      <c r="J72" s="26">
        <v>9.5011876484560574E-3</v>
      </c>
      <c r="K72" s="26">
        <v>3.800475059382423E-2</v>
      </c>
      <c r="L72" s="26">
        <v>7.6009501187648459E-2</v>
      </c>
      <c r="M72" s="26">
        <v>0.1330166270783848</v>
      </c>
      <c r="N72" s="26">
        <v>0.19477434679334915</v>
      </c>
      <c r="O72" s="26">
        <v>0.24703087885985747</v>
      </c>
      <c r="P72" s="26">
        <v>0.32779097387173395</v>
      </c>
      <c r="Q72" s="26">
        <v>0.40380047505938244</v>
      </c>
      <c r="R72" s="26">
        <v>0.46793349168646081</v>
      </c>
      <c r="S72" s="26">
        <v>0.55106888361045137</v>
      </c>
      <c r="T72" s="26">
        <v>0.6104513064133017</v>
      </c>
      <c r="U72" s="26">
        <v>0.68171021377672214</v>
      </c>
      <c r="V72" s="26">
        <v>0.71496437054631834</v>
      </c>
      <c r="W72" s="26">
        <v>0.75059382422802856</v>
      </c>
      <c r="X72" s="26">
        <v>0.79809976247030889</v>
      </c>
      <c r="Y72" s="26">
        <v>0.81710213776722096</v>
      </c>
      <c r="Z72" s="26">
        <v>0.83372921615201911</v>
      </c>
      <c r="AA72" s="26">
        <v>0.86698337292161531</v>
      </c>
      <c r="AB72" s="26">
        <v>0.87885985748218542</v>
      </c>
      <c r="AC72" s="26">
        <v>0.89073634204275554</v>
      </c>
      <c r="AD72" s="26">
        <v>0.90261282660332565</v>
      </c>
      <c r="AE72" s="26">
        <v>0.90498812351543967</v>
      </c>
      <c r="AF72" s="26">
        <v>0.9192399049881238</v>
      </c>
      <c r="AG72" s="26">
        <v>0.92161520190023782</v>
      </c>
      <c r="AH72" s="26">
        <v>0.92874109263657989</v>
      </c>
      <c r="AI72" s="26">
        <v>0.94774346793349196</v>
      </c>
      <c r="AJ72" s="26">
        <v>0.95249406175772</v>
      </c>
      <c r="AK72" s="26">
        <v>0.96199524940617609</v>
      </c>
      <c r="AL72" s="26">
        <v>0.96437054631829011</v>
      </c>
      <c r="AM72" s="26">
        <v>0.97149643705463218</v>
      </c>
      <c r="AN72" s="26">
        <v>0.9738717339667462</v>
      </c>
      <c r="AO72" s="26">
        <v>0.97624703087886022</v>
      </c>
      <c r="AP72" s="26">
        <v>0.97862232779097424</v>
      </c>
      <c r="AQ72" s="26">
        <v>0.98574821852731631</v>
      </c>
      <c r="AR72" s="26">
        <v>0.98812351543943033</v>
      </c>
      <c r="AS72" s="26">
        <v>0.99049881235154436</v>
      </c>
      <c r="AT72" s="26">
        <v>0.99287410926365838</v>
      </c>
      <c r="AU72" s="26">
        <v>0.9952494061757724</v>
      </c>
      <c r="AV72" s="26">
        <v>0.99762470308788642</v>
      </c>
      <c r="AW72" s="26">
        <v>1.0000000000000004</v>
      </c>
      <c r="AX72" s="26" t="s">
        <v>766</v>
      </c>
      <c r="AY72" s="26" t="s">
        <v>766</v>
      </c>
      <c r="AZ72" s="26" t="s">
        <v>766</v>
      </c>
      <c r="BA72" s="26" t="s">
        <v>766</v>
      </c>
      <c r="BB72" s="26" t="s">
        <v>766</v>
      </c>
      <c r="BC72" s="26" t="s">
        <v>766</v>
      </c>
      <c r="BD72" s="26" t="s">
        <v>766</v>
      </c>
      <c r="BE72" s="26" t="s">
        <v>766</v>
      </c>
      <c r="BF72" s="26" t="s">
        <v>766</v>
      </c>
      <c r="BG72" s="26" t="s">
        <v>766</v>
      </c>
      <c r="BH72" s="26" t="s">
        <v>766</v>
      </c>
      <c r="BI72" s="26" t="s">
        <v>766</v>
      </c>
      <c r="BJ72" s="26" t="s">
        <v>766</v>
      </c>
      <c r="BK72" s="26" t="s">
        <v>766</v>
      </c>
      <c r="BL72" s="26" t="s">
        <v>766</v>
      </c>
      <c r="BM72" s="26" t="s">
        <v>766</v>
      </c>
      <c r="BN72" s="26" t="s">
        <v>766</v>
      </c>
      <c r="BO72" s="26" t="s">
        <v>766</v>
      </c>
      <c r="BP72" s="26" t="s">
        <v>766</v>
      </c>
      <c r="BQ72" s="26" t="s">
        <v>766</v>
      </c>
      <c r="BR72" s="26" t="s">
        <v>766</v>
      </c>
      <c r="BS72" s="26" t="s">
        <v>766</v>
      </c>
      <c r="BT72" s="26" t="s">
        <v>766</v>
      </c>
      <c r="BU72" s="26" t="s">
        <v>766</v>
      </c>
      <c r="BV72" s="26" t="s">
        <v>766</v>
      </c>
      <c r="BW72" s="26" t="s">
        <v>766</v>
      </c>
      <c r="BX72" s="26" t="s">
        <v>766</v>
      </c>
      <c r="BY72" s="26" t="s">
        <v>766</v>
      </c>
      <c r="BZ72" s="26" t="s">
        <v>766</v>
      </c>
      <c r="CA72" s="26" t="s">
        <v>766</v>
      </c>
      <c r="CB72" s="26" t="s">
        <v>766</v>
      </c>
      <c r="CC72" s="26" t="s">
        <v>766</v>
      </c>
      <c r="CD72" s="26" t="s">
        <v>766</v>
      </c>
      <c r="CE72" s="26" t="s">
        <v>766</v>
      </c>
      <c r="CF72" s="26" t="s">
        <v>766</v>
      </c>
      <c r="CG72" s="26" t="s">
        <v>766</v>
      </c>
      <c r="CH72" s="26" t="s">
        <v>766</v>
      </c>
      <c r="CI72" s="26" t="s">
        <v>766</v>
      </c>
      <c r="CJ72" s="26" t="s">
        <v>766</v>
      </c>
      <c r="CK72" s="26" t="s">
        <v>766</v>
      </c>
      <c r="CL72" s="26" t="s">
        <v>766</v>
      </c>
      <c r="CM72" s="26" t="s">
        <v>766</v>
      </c>
      <c r="CN72" s="26" t="s">
        <v>766</v>
      </c>
      <c r="CO72" s="26" t="s">
        <v>766</v>
      </c>
      <c r="CP72" s="26" t="s">
        <v>766</v>
      </c>
      <c r="CQ72" s="26" t="s">
        <v>766</v>
      </c>
      <c r="CR72" s="26" t="s">
        <v>766</v>
      </c>
      <c r="CS72" s="26" t="s">
        <v>766</v>
      </c>
      <c r="CT72" s="26" t="s">
        <v>766</v>
      </c>
      <c r="CU72" s="26" t="s">
        <v>766</v>
      </c>
      <c r="CV72" s="26" t="s">
        <v>766</v>
      </c>
      <c r="CW72" s="26" t="s">
        <v>766</v>
      </c>
      <c r="CX72" s="26" t="s">
        <v>766</v>
      </c>
    </row>
    <row r="73" spans="1:102" ht="17" thickBot="1" x14ac:dyDescent="0.25">
      <c r="A73" s="80" t="s">
        <v>818</v>
      </c>
      <c r="B73" s="61">
        <v>0.47799999999999998</v>
      </c>
      <c r="C73" s="61">
        <v>0.73335391923990445</v>
      </c>
      <c r="D73" s="74">
        <v>308.74199999999979</v>
      </c>
      <c r="E73" s="75">
        <v>421</v>
      </c>
      <c r="F73" s="62"/>
      <c r="G73" s="63"/>
      <c r="H73" s="26"/>
      <c r="I73" t="s">
        <v>768</v>
      </c>
      <c r="J73" s="50">
        <v>1.0000000000000004</v>
      </c>
      <c r="K73" s="50">
        <v>0.99049881235154436</v>
      </c>
      <c r="L73" s="50">
        <v>0.96199524940617609</v>
      </c>
      <c r="M73" s="50">
        <v>0.92399049881235196</v>
      </c>
      <c r="N73" s="50">
        <v>0.86698337292161542</v>
      </c>
      <c r="O73" s="50">
        <v>0.80522565320665107</v>
      </c>
      <c r="P73" s="50">
        <v>0.75296912114014281</v>
      </c>
      <c r="Q73" s="50">
        <v>0.67220902612826638</v>
      </c>
      <c r="R73" s="50">
        <v>0.59619952494061768</v>
      </c>
      <c r="S73" s="50">
        <v>0.5320665083135393</v>
      </c>
      <c r="T73" s="50">
        <v>0.4489311163895488</v>
      </c>
      <c r="U73" s="50">
        <v>0.38954869358669841</v>
      </c>
      <c r="V73" s="50">
        <v>0.31828978622327808</v>
      </c>
      <c r="W73" s="50">
        <v>0.28503562945368188</v>
      </c>
      <c r="X73" s="50">
        <v>0.24940617577197161</v>
      </c>
      <c r="Y73" s="50">
        <v>0.20190023752969127</v>
      </c>
      <c r="Z73" s="50">
        <v>0.18289786223277915</v>
      </c>
      <c r="AA73" s="50">
        <v>0.16627078384798105</v>
      </c>
      <c r="AB73" s="50">
        <v>0.1330166270783848</v>
      </c>
      <c r="AC73" s="50">
        <v>0.12114014251781467</v>
      </c>
      <c r="AD73" s="50">
        <v>0.10926365795724459</v>
      </c>
      <c r="AE73" s="50">
        <v>9.7387173396674534E-2</v>
      </c>
      <c r="AF73" s="50">
        <v>9.5011876484560526E-2</v>
      </c>
      <c r="AG73" s="50">
        <v>8.0760095011876462E-2</v>
      </c>
      <c r="AH73" s="50">
        <v>7.838479809976244E-2</v>
      </c>
      <c r="AI73" s="50">
        <v>7.1258907363420415E-2</v>
      </c>
      <c r="AJ73" s="50">
        <v>5.2256532066508321E-2</v>
      </c>
      <c r="AK73" s="50">
        <v>4.7505938242280298E-2</v>
      </c>
      <c r="AL73" s="50">
        <v>3.8004750593824237E-2</v>
      </c>
      <c r="AM73" s="50">
        <v>3.5629453681710221E-2</v>
      </c>
      <c r="AN73" s="50">
        <v>2.8503562945368176E-2</v>
      </c>
      <c r="AO73" s="50">
        <v>2.6128266033254164E-2</v>
      </c>
      <c r="AP73" s="50">
        <v>2.3752969121140149E-2</v>
      </c>
      <c r="AQ73" s="50">
        <v>2.1377672209026134E-2</v>
      </c>
      <c r="AR73" s="50">
        <v>1.4251781472684088E-2</v>
      </c>
      <c r="AS73" s="50">
        <v>1.1876484560570073E-2</v>
      </c>
      <c r="AT73" s="50">
        <v>9.5011876484560574E-3</v>
      </c>
      <c r="AU73" s="50">
        <v>7.1258907363420431E-3</v>
      </c>
      <c r="AV73" s="50">
        <v>4.7505938242280287E-3</v>
      </c>
      <c r="AW73" s="50">
        <v>2.3752969121140144E-3</v>
      </c>
      <c r="AX73" s="50" t="s">
        <v>766</v>
      </c>
      <c r="AY73" s="50" t="s">
        <v>766</v>
      </c>
      <c r="AZ73" s="50" t="s">
        <v>766</v>
      </c>
      <c r="BA73" s="50" t="s">
        <v>766</v>
      </c>
      <c r="BB73" s="50" t="s">
        <v>766</v>
      </c>
      <c r="BC73" s="50" t="s">
        <v>766</v>
      </c>
      <c r="BD73" s="50" t="s">
        <v>766</v>
      </c>
      <c r="BE73" s="50" t="s">
        <v>766</v>
      </c>
      <c r="BF73" s="50" t="s">
        <v>766</v>
      </c>
      <c r="BG73" s="50" t="s">
        <v>766</v>
      </c>
      <c r="BH73" s="50" t="s">
        <v>766</v>
      </c>
      <c r="BI73" s="50" t="s">
        <v>766</v>
      </c>
      <c r="BJ73" s="50" t="s">
        <v>766</v>
      </c>
      <c r="BK73" s="50" t="s">
        <v>766</v>
      </c>
      <c r="BL73" s="50" t="s">
        <v>766</v>
      </c>
      <c r="BM73" s="50" t="s">
        <v>766</v>
      </c>
      <c r="BN73" s="50" t="s">
        <v>766</v>
      </c>
      <c r="BO73" s="50" t="s">
        <v>766</v>
      </c>
      <c r="BP73" s="50" t="s">
        <v>766</v>
      </c>
      <c r="BQ73" s="50" t="s">
        <v>766</v>
      </c>
      <c r="BR73" s="50" t="s">
        <v>766</v>
      </c>
      <c r="BS73" s="50" t="s">
        <v>766</v>
      </c>
      <c r="BT73" s="50" t="s">
        <v>766</v>
      </c>
      <c r="BU73" s="50" t="s">
        <v>766</v>
      </c>
      <c r="BV73" s="50" t="s">
        <v>766</v>
      </c>
      <c r="BW73" s="50" t="s">
        <v>766</v>
      </c>
      <c r="BX73" s="50" t="s">
        <v>766</v>
      </c>
      <c r="BY73" s="50" t="s">
        <v>766</v>
      </c>
      <c r="BZ73" s="50" t="s">
        <v>766</v>
      </c>
      <c r="CA73" s="50" t="s">
        <v>766</v>
      </c>
      <c r="CB73" s="50" t="s">
        <v>766</v>
      </c>
      <c r="CC73" s="50" t="s">
        <v>766</v>
      </c>
      <c r="CD73" s="50" t="s">
        <v>766</v>
      </c>
      <c r="CE73" s="50" t="s">
        <v>766</v>
      </c>
      <c r="CF73" s="50" t="s">
        <v>766</v>
      </c>
      <c r="CG73" s="50" t="s">
        <v>766</v>
      </c>
      <c r="CH73" s="50" t="s">
        <v>766</v>
      </c>
      <c r="CI73" s="50" t="s">
        <v>766</v>
      </c>
      <c r="CJ73" s="50" t="s">
        <v>766</v>
      </c>
      <c r="CK73" s="50" t="s">
        <v>766</v>
      </c>
      <c r="CL73" s="50" t="s">
        <v>766</v>
      </c>
      <c r="CM73" s="50" t="s">
        <v>766</v>
      </c>
      <c r="CN73" s="50" t="s">
        <v>766</v>
      </c>
      <c r="CO73" s="50" t="s">
        <v>766</v>
      </c>
      <c r="CP73" s="50" t="s">
        <v>766</v>
      </c>
      <c r="CQ73" s="50" t="s">
        <v>766</v>
      </c>
      <c r="CR73" s="50" t="s">
        <v>766</v>
      </c>
      <c r="CS73" s="50" t="s">
        <v>766</v>
      </c>
      <c r="CT73" s="50" t="s">
        <v>766</v>
      </c>
      <c r="CU73" s="50" t="s">
        <v>766</v>
      </c>
      <c r="CV73" s="50" t="s">
        <v>766</v>
      </c>
      <c r="CW73" s="50" t="s">
        <v>766</v>
      </c>
      <c r="CX73" s="50" t="s">
        <v>766</v>
      </c>
    </row>
    <row r="74" spans="1:102" ht="17" thickBot="1" x14ac:dyDescent="0.25">
      <c r="B74" s="9"/>
      <c r="C74" s="9"/>
      <c r="D74" s="9"/>
    </row>
    <row r="75" spans="1:102" x14ac:dyDescent="0.2">
      <c r="A75" s="81" t="s">
        <v>774</v>
      </c>
      <c r="B75" s="82"/>
      <c r="C75" s="82"/>
      <c r="D75" s="82"/>
      <c r="E75" s="82"/>
      <c r="F75" s="82"/>
      <c r="G75" s="83"/>
    </row>
    <row r="76" spans="1:102" ht="60" x14ac:dyDescent="0.2">
      <c r="A76" s="55"/>
      <c r="B76" s="32" t="s">
        <v>741</v>
      </c>
      <c r="C76" s="32" t="s">
        <v>809</v>
      </c>
      <c r="D76" s="77" t="s">
        <v>811</v>
      </c>
      <c r="E76" s="70" t="s">
        <v>810</v>
      </c>
      <c r="F76" s="56" t="s">
        <v>805</v>
      </c>
      <c r="G76" s="57"/>
      <c r="H76" s="2"/>
      <c r="I76" s="43" t="s">
        <v>765</v>
      </c>
      <c r="J76" s="45">
        <v>1</v>
      </c>
    </row>
    <row r="77" spans="1:102" x14ac:dyDescent="0.2">
      <c r="A77" s="55" t="s">
        <v>12</v>
      </c>
      <c r="B77" s="58">
        <v>0.15</v>
      </c>
      <c r="C77" s="58">
        <v>0.74397382198952799</v>
      </c>
      <c r="D77" s="71">
        <v>142.09899999999985</v>
      </c>
      <c r="E77" s="72">
        <v>191</v>
      </c>
      <c r="F77" s="59">
        <v>4.181207660048547E-2</v>
      </c>
      <c r="G77" s="57"/>
      <c r="H77" s="25"/>
    </row>
    <row r="78" spans="1:102" x14ac:dyDescent="0.2">
      <c r="A78" s="55" t="s">
        <v>816</v>
      </c>
      <c r="B78" s="60">
        <v>0.45200000000000001</v>
      </c>
      <c r="C78" s="60">
        <v>0.71411518324607348</v>
      </c>
      <c r="D78" s="73">
        <v>136.39600000000004</v>
      </c>
      <c r="E78" s="72">
        <v>191</v>
      </c>
      <c r="F78" s="59"/>
      <c r="G78" s="57"/>
      <c r="H78" s="26"/>
      <c r="I78" s="43"/>
      <c r="J78" t="s">
        <v>761</v>
      </c>
    </row>
    <row r="79" spans="1:102" x14ac:dyDescent="0.2">
      <c r="A79" s="55" t="s">
        <v>8</v>
      </c>
      <c r="B79" s="58">
        <v>0.28299999999999997</v>
      </c>
      <c r="C79" s="58">
        <v>0.98125116279069746</v>
      </c>
      <c r="D79" s="71">
        <v>210.96899999999997</v>
      </c>
      <c r="E79" s="72">
        <v>215</v>
      </c>
      <c r="F79" s="59">
        <v>0.40043811610076618</v>
      </c>
      <c r="G79" s="57"/>
      <c r="H79" s="25"/>
      <c r="J79" s="6">
        <v>-1</v>
      </c>
      <c r="K79" s="6">
        <v>-0.9</v>
      </c>
      <c r="L79" s="6">
        <v>-0.8</v>
      </c>
      <c r="M79" s="6">
        <v>-0.7</v>
      </c>
      <c r="N79" s="6">
        <v>-0.6</v>
      </c>
      <c r="O79" s="6">
        <v>-0.5</v>
      </c>
      <c r="P79" s="6">
        <v>-0.4</v>
      </c>
      <c r="Q79" s="6">
        <v>-0.3</v>
      </c>
      <c r="R79" s="6">
        <v>-0.2</v>
      </c>
      <c r="S79" s="6">
        <v>-0.1</v>
      </c>
      <c r="T79" s="6">
        <v>0</v>
      </c>
      <c r="U79" s="6">
        <v>0.1</v>
      </c>
      <c r="V79" s="6">
        <v>0.2</v>
      </c>
      <c r="W79" s="6">
        <v>0.3</v>
      </c>
      <c r="X79" s="6">
        <v>0.4</v>
      </c>
      <c r="Y79" s="6">
        <v>0.5</v>
      </c>
      <c r="Z79" s="6">
        <v>0.6</v>
      </c>
      <c r="AA79" s="6">
        <v>0.7</v>
      </c>
      <c r="AB79" s="6">
        <v>0.8</v>
      </c>
      <c r="AC79" s="6">
        <v>0.9</v>
      </c>
      <c r="AD79" s="6">
        <v>1</v>
      </c>
      <c r="AE79" s="6">
        <v>1.1000000000000001</v>
      </c>
      <c r="AF79" s="6">
        <v>1.2</v>
      </c>
      <c r="AG79" s="6">
        <v>1.4</v>
      </c>
      <c r="AH79" s="6">
        <v>1.6</v>
      </c>
      <c r="AI79" s="6">
        <v>1.8</v>
      </c>
      <c r="AJ79" s="6">
        <v>1.9</v>
      </c>
      <c r="AK79" s="6">
        <v>2</v>
      </c>
      <c r="AL79" s="6">
        <v>2.1</v>
      </c>
      <c r="AM79" s="6">
        <v>2.4</v>
      </c>
      <c r="AN79" s="6">
        <v>2.9</v>
      </c>
      <c r="AO79" s="6">
        <v>3.2</v>
      </c>
      <c r="AP79" s="6">
        <v>3.4</v>
      </c>
      <c r="AQ79" s="6">
        <v>3.6</v>
      </c>
      <c r="AR79" s="6">
        <v>4</v>
      </c>
      <c r="AS79" s="6">
        <v>7.1</v>
      </c>
      <c r="AT79" s="6">
        <v>8.5</v>
      </c>
    </row>
    <row r="80" spans="1:102" x14ac:dyDescent="0.2">
      <c r="A80" s="55" t="s">
        <v>817</v>
      </c>
      <c r="B80" s="60">
        <v>0.47599999999999998</v>
      </c>
      <c r="C80" s="60">
        <v>0.70067441860465129</v>
      </c>
      <c r="D80" s="73">
        <v>150.64500000000004</v>
      </c>
      <c r="E80" s="72">
        <v>215.00000000000003</v>
      </c>
      <c r="F80" s="59"/>
      <c r="G80" s="57"/>
      <c r="H80" s="26"/>
      <c r="I80" t="s">
        <v>762</v>
      </c>
      <c r="J80" s="6">
        <v>9.852216748768473E-3</v>
      </c>
      <c r="K80" s="6">
        <v>2.9556650246305417E-2</v>
      </c>
      <c r="L80" s="6">
        <v>3.9408866995073892E-2</v>
      </c>
      <c r="M80" s="6">
        <v>5.9113300492610835E-2</v>
      </c>
      <c r="N80" s="6">
        <v>6.4039408866995079E-2</v>
      </c>
      <c r="O80" s="6">
        <v>5.4187192118226604E-2</v>
      </c>
      <c r="P80" s="6">
        <v>8.3743842364532015E-2</v>
      </c>
      <c r="Q80" s="6">
        <v>7.8817733990147784E-2</v>
      </c>
      <c r="R80" s="6">
        <v>6.4039408866995079E-2</v>
      </c>
      <c r="S80" s="6">
        <v>8.6206896551724144E-2</v>
      </c>
      <c r="T80" s="6">
        <v>5.9113300492610835E-2</v>
      </c>
      <c r="U80" s="6">
        <v>7.1428571428571425E-2</v>
      </c>
      <c r="V80" s="6">
        <v>3.2019704433497539E-2</v>
      </c>
      <c r="W80" s="6">
        <v>3.4482758620689655E-2</v>
      </c>
      <c r="X80" s="6">
        <v>4.9261083743842367E-2</v>
      </c>
      <c r="Y80" s="6">
        <v>1.9704433497536946E-2</v>
      </c>
      <c r="Z80" s="6">
        <v>1.7241379310344827E-2</v>
      </c>
      <c r="AA80" s="6">
        <v>3.2019704433497539E-2</v>
      </c>
      <c r="AB80" s="6">
        <v>1.2315270935960592E-2</v>
      </c>
      <c r="AC80" s="6">
        <v>9.852216748768473E-3</v>
      </c>
      <c r="AD80" s="6">
        <v>9.852216748768473E-3</v>
      </c>
      <c r="AE80" s="6">
        <v>2.4630541871921183E-3</v>
      </c>
      <c r="AF80" s="6">
        <v>1.2315270935960592E-2</v>
      </c>
      <c r="AG80" s="6">
        <v>4.9261083743842365E-3</v>
      </c>
      <c r="AH80" s="6">
        <v>1.7241379310344827E-2</v>
      </c>
      <c r="AI80" s="6">
        <v>4.9261083743842365E-3</v>
      </c>
      <c r="AJ80" s="6">
        <v>9.852216748768473E-3</v>
      </c>
      <c r="AK80" s="6">
        <v>2.4630541871921183E-3</v>
      </c>
      <c r="AL80" s="6">
        <v>7.3891625615763543E-3</v>
      </c>
      <c r="AM80" s="6">
        <v>2.4630541871921183E-3</v>
      </c>
      <c r="AN80" s="6">
        <v>2.4630541871921183E-3</v>
      </c>
      <c r="AO80" s="6">
        <v>2.4630541871921183E-3</v>
      </c>
      <c r="AP80" s="6">
        <v>2.4630541871921183E-3</v>
      </c>
      <c r="AQ80" s="6">
        <v>2.4630541871921183E-3</v>
      </c>
      <c r="AR80" s="6">
        <v>4.9261083743842365E-3</v>
      </c>
      <c r="AS80" s="6">
        <v>2.4630541871921183E-3</v>
      </c>
      <c r="AT80" s="6">
        <v>2.4630541871921183E-3</v>
      </c>
    </row>
    <row r="81" spans="1:102" x14ac:dyDescent="0.2">
      <c r="A81" s="55" t="s">
        <v>744</v>
      </c>
      <c r="B81" s="58">
        <v>0.2455</v>
      </c>
      <c r="C81" s="58">
        <v>0.8696256157635468</v>
      </c>
      <c r="D81" s="71">
        <v>353.06799999999998</v>
      </c>
      <c r="E81" s="72">
        <v>406</v>
      </c>
      <c r="F81" s="59">
        <v>0.23002637253911562</v>
      </c>
      <c r="G81" s="57"/>
      <c r="H81" s="25"/>
      <c r="I81" t="s">
        <v>769</v>
      </c>
      <c r="J81" s="26">
        <v>9.852216748768473E-3</v>
      </c>
      <c r="K81" s="26">
        <v>3.9408866995073892E-2</v>
      </c>
      <c r="L81" s="26">
        <v>7.8817733990147784E-2</v>
      </c>
      <c r="M81" s="26">
        <v>0.13793103448275862</v>
      </c>
      <c r="N81" s="26">
        <v>0.2019704433497537</v>
      </c>
      <c r="O81" s="26">
        <v>0.25615763546798032</v>
      </c>
      <c r="P81" s="26">
        <v>0.33990147783251234</v>
      </c>
      <c r="Q81" s="26">
        <v>0.41871921182266014</v>
      </c>
      <c r="R81" s="26">
        <v>0.48275862068965525</v>
      </c>
      <c r="S81" s="26">
        <v>0.56896551724137945</v>
      </c>
      <c r="T81" s="26">
        <v>0.62807881773399032</v>
      </c>
      <c r="U81" s="26">
        <v>0.69950738916256172</v>
      </c>
      <c r="V81" s="26">
        <v>0.73152709359605927</v>
      </c>
      <c r="W81" s="26">
        <v>0.76600985221674889</v>
      </c>
      <c r="X81" s="26">
        <v>0.8152709359605913</v>
      </c>
      <c r="Y81" s="26">
        <v>0.83497536945812822</v>
      </c>
      <c r="Z81" s="26">
        <v>0.85221674876847309</v>
      </c>
      <c r="AA81" s="26">
        <v>0.88423645320197064</v>
      </c>
      <c r="AB81" s="26">
        <v>0.89655172413793127</v>
      </c>
      <c r="AC81" s="26">
        <v>0.90640394088669973</v>
      </c>
      <c r="AD81" s="26">
        <v>0.91625615763546819</v>
      </c>
      <c r="AE81" s="26">
        <v>0.91871921182266036</v>
      </c>
      <c r="AF81" s="26">
        <v>0.931034482758621</v>
      </c>
      <c r="AG81" s="26">
        <v>0.93596059113300523</v>
      </c>
      <c r="AH81" s="26">
        <v>0.95320197044335009</v>
      </c>
      <c r="AI81" s="26">
        <v>0.95812807881773432</v>
      </c>
      <c r="AJ81" s="26">
        <v>0.96798029556650278</v>
      </c>
      <c r="AK81" s="26">
        <v>0.97044334975369495</v>
      </c>
      <c r="AL81" s="26">
        <v>0.97783251231527135</v>
      </c>
      <c r="AM81" s="26">
        <v>0.98029556650246352</v>
      </c>
      <c r="AN81" s="26">
        <v>0.98275862068965569</v>
      </c>
      <c r="AO81" s="26">
        <v>0.98522167487684786</v>
      </c>
      <c r="AP81" s="26">
        <v>0.98768472906404003</v>
      </c>
      <c r="AQ81" s="26">
        <v>0.99014778325123221</v>
      </c>
      <c r="AR81" s="26">
        <v>0.99507389162561644</v>
      </c>
      <c r="AS81" s="26">
        <v>0.99753694581280861</v>
      </c>
      <c r="AT81" s="26">
        <v>1.0000000000000007</v>
      </c>
      <c r="AU81" s="26" t="s">
        <v>766</v>
      </c>
      <c r="AV81" s="26" t="s">
        <v>766</v>
      </c>
      <c r="AW81" s="26" t="s">
        <v>766</v>
      </c>
      <c r="AX81" s="26" t="s">
        <v>766</v>
      </c>
      <c r="AY81" s="26" t="s">
        <v>766</v>
      </c>
      <c r="AZ81" s="26" t="s">
        <v>766</v>
      </c>
      <c r="BA81" s="26" t="s">
        <v>766</v>
      </c>
      <c r="BB81" s="26" t="s">
        <v>766</v>
      </c>
      <c r="BC81" s="26" t="s">
        <v>766</v>
      </c>
      <c r="BD81" s="26" t="s">
        <v>766</v>
      </c>
      <c r="BE81" s="26" t="s">
        <v>766</v>
      </c>
      <c r="BF81" s="26" t="s">
        <v>766</v>
      </c>
      <c r="BG81" s="26" t="s">
        <v>766</v>
      </c>
      <c r="BH81" s="26" t="s">
        <v>766</v>
      </c>
      <c r="BI81" s="26" t="s">
        <v>766</v>
      </c>
      <c r="BJ81" s="26" t="s">
        <v>766</v>
      </c>
      <c r="BK81" s="26" t="s">
        <v>766</v>
      </c>
      <c r="BL81" s="26" t="s">
        <v>766</v>
      </c>
      <c r="BM81" s="26" t="s">
        <v>766</v>
      </c>
      <c r="BN81" s="26" t="s">
        <v>766</v>
      </c>
      <c r="BO81" s="26" t="s">
        <v>766</v>
      </c>
      <c r="BP81" s="26" t="s">
        <v>766</v>
      </c>
      <c r="BQ81" s="26" t="s">
        <v>766</v>
      </c>
      <c r="BR81" s="26" t="s">
        <v>766</v>
      </c>
      <c r="BS81" s="26" t="s">
        <v>766</v>
      </c>
      <c r="BT81" s="26" t="s">
        <v>766</v>
      </c>
      <c r="BU81" s="26" t="s">
        <v>766</v>
      </c>
      <c r="BV81" s="26" t="s">
        <v>766</v>
      </c>
      <c r="BW81" s="26" t="s">
        <v>766</v>
      </c>
      <c r="BX81" s="26" t="s">
        <v>766</v>
      </c>
      <c r="BY81" s="26" t="s">
        <v>766</v>
      </c>
      <c r="BZ81" s="26" t="s">
        <v>766</v>
      </c>
      <c r="CA81" s="26" t="s">
        <v>766</v>
      </c>
      <c r="CB81" s="26" t="s">
        <v>766</v>
      </c>
      <c r="CC81" s="26" t="s">
        <v>766</v>
      </c>
      <c r="CD81" s="26" t="s">
        <v>766</v>
      </c>
      <c r="CE81" s="26" t="s">
        <v>766</v>
      </c>
      <c r="CF81" s="26" t="s">
        <v>766</v>
      </c>
      <c r="CG81" s="26" t="s">
        <v>766</v>
      </c>
      <c r="CH81" s="26" t="s">
        <v>766</v>
      </c>
      <c r="CI81" s="26" t="s">
        <v>766</v>
      </c>
      <c r="CJ81" s="26" t="s">
        <v>766</v>
      </c>
      <c r="CK81" s="26" t="s">
        <v>766</v>
      </c>
      <c r="CL81" s="26" t="s">
        <v>766</v>
      </c>
      <c r="CM81" s="26" t="s">
        <v>766</v>
      </c>
      <c r="CN81" s="26" t="s">
        <v>766</v>
      </c>
      <c r="CO81" s="26" t="s">
        <v>766</v>
      </c>
      <c r="CP81" s="26" t="s">
        <v>766</v>
      </c>
      <c r="CQ81" s="26" t="s">
        <v>766</v>
      </c>
      <c r="CR81" s="26" t="s">
        <v>766</v>
      </c>
      <c r="CS81" s="26" t="s">
        <v>766</v>
      </c>
      <c r="CT81" s="26" t="s">
        <v>766</v>
      </c>
      <c r="CU81" s="26" t="s">
        <v>766</v>
      </c>
      <c r="CV81" s="26" t="s">
        <v>766</v>
      </c>
      <c r="CW81" s="26" t="s">
        <v>766</v>
      </c>
      <c r="CX81" s="26" t="s">
        <v>766</v>
      </c>
    </row>
    <row r="82" spans="1:102" ht="17" thickBot="1" x14ac:dyDescent="0.25">
      <c r="A82" s="80" t="s">
        <v>818</v>
      </c>
      <c r="B82" s="61">
        <v>0.46350000000000002</v>
      </c>
      <c r="C82" s="61">
        <v>0.70699753694581224</v>
      </c>
      <c r="D82" s="74">
        <v>287.04099999999977</v>
      </c>
      <c r="E82" s="75">
        <v>406</v>
      </c>
      <c r="F82" s="62"/>
      <c r="G82" s="63"/>
      <c r="H82" s="26"/>
      <c r="I82" t="s">
        <v>768</v>
      </c>
      <c r="J82" s="50">
        <v>1.0000000000000007</v>
      </c>
      <c r="K82" s="50">
        <v>0.99014778325123232</v>
      </c>
      <c r="L82" s="50">
        <v>0.96059113300492671</v>
      </c>
      <c r="M82" s="50">
        <v>0.92118226600985287</v>
      </c>
      <c r="N82" s="50">
        <v>0.86206896551724199</v>
      </c>
      <c r="O82" s="50">
        <v>0.79802955665024689</v>
      </c>
      <c r="P82" s="50">
        <v>0.74384236453202035</v>
      </c>
      <c r="Q82" s="50">
        <v>0.66009852216748832</v>
      </c>
      <c r="R82" s="50">
        <v>0.5812807881773403</v>
      </c>
      <c r="S82" s="50">
        <v>0.51724137931034486</v>
      </c>
      <c r="T82" s="50">
        <v>0.43103448275862055</v>
      </c>
      <c r="U82" s="50">
        <v>0.37192118226600973</v>
      </c>
      <c r="V82" s="50">
        <v>0.30049261083743833</v>
      </c>
      <c r="W82" s="50">
        <v>0.26847290640394089</v>
      </c>
      <c r="X82" s="50">
        <v>0.23399014778325117</v>
      </c>
      <c r="Y82" s="50">
        <v>0.18472906403940881</v>
      </c>
      <c r="Z82" s="50">
        <v>0.16502463054187186</v>
      </c>
      <c r="AA82" s="50">
        <v>0.14778325123152705</v>
      </c>
      <c r="AB82" s="50">
        <v>0.11576354679802953</v>
      </c>
      <c r="AC82" s="50">
        <v>0.10344827586206894</v>
      </c>
      <c r="AD82" s="50">
        <v>9.3596059113300475E-2</v>
      </c>
      <c r="AE82" s="50">
        <v>8.3743842364531987E-2</v>
      </c>
      <c r="AF82" s="50">
        <v>8.1280788177339872E-2</v>
      </c>
      <c r="AG82" s="50">
        <v>6.8965517241379282E-2</v>
      </c>
      <c r="AH82" s="50">
        <v>6.4039408866995051E-2</v>
      </c>
      <c r="AI82" s="50">
        <v>4.6798029556650231E-2</v>
      </c>
      <c r="AJ82" s="50">
        <v>4.1871921182266007E-2</v>
      </c>
      <c r="AK82" s="50">
        <v>3.2019704433497539E-2</v>
      </c>
      <c r="AL82" s="50">
        <v>2.9556650246305421E-2</v>
      </c>
      <c r="AM82" s="50">
        <v>2.2167487684729065E-2</v>
      </c>
      <c r="AN82" s="50">
        <v>1.9704433497536946E-2</v>
      </c>
      <c r="AO82" s="50">
        <v>1.7241379310344827E-2</v>
      </c>
      <c r="AP82" s="50">
        <v>1.477832512315271E-2</v>
      </c>
      <c r="AQ82" s="50">
        <v>1.2315270935960592E-2</v>
      </c>
      <c r="AR82" s="50">
        <v>9.852216748768473E-3</v>
      </c>
      <c r="AS82" s="50">
        <v>4.9261083743842365E-3</v>
      </c>
      <c r="AT82" s="50">
        <v>2.4630541871921183E-3</v>
      </c>
      <c r="AU82" s="50" t="s">
        <v>766</v>
      </c>
      <c r="AV82" s="50" t="s">
        <v>766</v>
      </c>
      <c r="AW82" s="50" t="s">
        <v>766</v>
      </c>
      <c r="AX82" s="50" t="s">
        <v>766</v>
      </c>
      <c r="AY82" s="50" t="s">
        <v>766</v>
      </c>
      <c r="AZ82" s="50" t="s">
        <v>766</v>
      </c>
      <c r="BA82" s="50" t="s">
        <v>766</v>
      </c>
      <c r="BB82" s="50" t="s">
        <v>766</v>
      </c>
      <c r="BC82" s="50" t="s">
        <v>766</v>
      </c>
      <c r="BD82" s="50" t="s">
        <v>766</v>
      </c>
      <c r="BE82" s="50" t="s">
        <v>766</v>
      </c>
      <c r="BF82" s="50" t="s">
        <v>766</v>
      </c>
      <c r="BG82" s="50" t="s">
        <v>766</v>
      </c>
      <c r="BH82" s="50" t="s">
        <v>766</v>
      </c>
      <c r="BI82" s="50" t="s">
        <v>766</v>
      </c>
      <c r="BJ82" s="50" t="s">
        <v>766</v>
      </c>
      <c r="BK82" s="50" t="s">
        <v>766</v>
      </c>
      <c r="BL82" s="50" t="s">
        <v>766</v>
      </c>
      <c r="BM82" s="50" t="s">
        <v>766</v>
      </c>
      <c r="BN82" s="50" t="s">
        <v>766</v>
      </c>
      <c r="BO82" s="50" t="s">
        <v>766</v>
      </c>
      <c r="BP82" s="50" t="s">
        <v>766</v>
      </c>
      <c r="BQ82" s="50" t="s">
        <v>766</v>
      </c>
      <c r="BR82" s="50" t="s">
        <v>766</v>
      </c>
      <c r="BS82" s="50" t="s">
        <v>766</v>
      </c>
      <c r="BT82" s="50" t="s">
        <v>766</v>
      </c>
      <c r="BU82" s="50" t="s">
        <v>766</v>
      </c>
      <c r="BV82" s="50" t="s">
        <v>766</v>
      </c>
      <c r="BW82" s="50" t="s">
        <v>766</v>
      </c>
      <c r="BX82" s="50" t="s">
        <v>766</v>
      </c>
      <c r="BY82" s="50" t="s">
        <v>766</v>
      </c>
      <c r="BZ82" s="50" t="s">
        <v>766</v>
      </c>
      <c r="CA82" s="50" t="s">
        <v>766</v>
      </c>
      <c r="CB82" s="50" t="s">
        <v>766</v>
      </c>
      <c r="CC82" s="50" t="s">
        <v>766</v>
      </c>
      <c r="CD82" s="50" t="s">
        <v>766</v>
      </c>
      <c r="CE82" s="50" t="s">
        <v>766</v>
      </c>
      <c r="CF82" s="50" t="s">
        <v>766</v>
      </c>
      <c r="CG82" s="50" t="s">
        <v>766</v>
      </c>
      <c r="CH82" s="50" t="s">
        <v>766</v>
      </c>
      <c r="CI82" s="50" t="s">
        <v>766</v>
      </c>
      <c r="CJ82" s="50" t="s">
        <v>766</v>
      </c>
      <c r="CK82" s="50" t="s">
        <v>766</v>
      </c>
      <c r="CL82" s="50" t="s">
        <v>766</v>
      </c>
      <c r="CM82" s="50" t="s">
        <v>766</v>
      </c>
      <c r="CN82" s="50" t="s">
        <v>766</v>
      </c>
      <c r="CO82" s="50" t="s">
        <v>766</v>
      </c>
      <c r="CP82" s="50" t="s">
        <v>766</v>
      </c>
      <c r="CQ82" s="50" t="s">
        <v>766</v>
      </c>
      <c r="CR82" s="50" t="s">
        <v>766</v>
      </c>
      <c r="CS82" s="50" t="s">
        <v>766</v>
      </c>
      <c r="CT82" s="50" t="s">
        <v>766</v>
      </c>
      <c r="CU82" s="50" t="s">
        <v>766</v>
      </c>
      <c r="CV82" s="50" t="s">
        <v>766</v>
      </c>
      <c r="CW82" s="50" t="s">
        <v>766</v>
      </c>
      <c r="CX82" s="50" t="s">
        <v>766</v>
      </c>
    </row>
    <row r="83" spans="1:102" ht="17" thickBot="1" x14ac:dyDescent="0.25"/>
    <row r="84" spans="1:102" x14ac:dyDescent="0.2">
      <c r="A84" s="81" t="s">
        <v>775</v>
      </c>
      <c r="B84" s="82"/>
      <c r="C84" s="82"/>
      <c r="D84" s="82"/>
      <c r="E84" s="82"/>
      <c r="F84" s="82"/>
      <c r="G84" s="83"/>
    </row>
    <row r="85" spans="1:102" ht="60" x14ac:dyDescent="0.2">
      <c r="A85" s="55"/>
      <c r="B85" s="32" t="s">
        <v>741</v>
      </c>
      <c r="C85" s="32" t="s">
        <v>809</v>
      </c>
      <c r="D85" s="77" t="s">
        <v>811</v>
      </c>
      <c r="E85" s="70" t="s">
        <v>810</v>
      </c>
      <c r="F85" s="56" t="s">
        <v>805</v>
      </c>
      <c r="G85" s="57"/>
      <c r="H85" s="2"/>
      <c r="I85" s="43" t="s">
        <v>765</v>
      </c>
      <c r="J85" s="45">
        <v>1</v>
      </c>
    </row>
    <row r="86" spans="1:102" x14ac:dyDescent="0.2">
      <c r="A86" s="55" t="s">
        <v>12</v>
      </c>
      <c r="B86" s="58">
        <v>0.23649999999999999</v>
      </c>
      <c r="C86" s="58">
        <v>0.93573404255319015</v>
      </c>
      <c r="D86" s="71">
        <v>175.91799999999975</v>
      </c>
      <c r="E86" s="72">
        <v>188</v>
      </c>
      <c r="F86" s="59">
        <v>0.23081551550430812</v>
      </c>
      <c r="G86" s="57"/>
      <c r="H86" s="25"/>
    </row>
    <row r="87" spans="1:102" x14ac:dyDescent="0.2">
      <c r="A87" s="55" t="s">
        <v>816</v>
      </c>
      <c r="B87" s="60">
        <v>0.46750000000000003</v>
      </c>
      <c r="C87" s="60">
        <v>0.76025531914893618</v>
      </c>
      <c r="D87" s="73">
        <v>142.928</v>
      </c>
      <c r="E87" s="72">
        <v>188</v>
      </c>
      <c r="F87" s="59"/>
      <c r="G87" s="57"/>
      <c r="H87" s="26"/>
      <c r="I87" s="43"/>
      <c r="J87" t="s">
        <v>761</v>
      </c>
    </row>
    <row r="88" spans="1:102" x14ac:dyDescent="0.2">
      <c r="A88" s="55" t="s">
        <v>8</v>
      </c>
      <c r="B88" s="58">
        <v>0.28999999999999998</v>
      </c>
      <c r="C88" s="58">
        <v>0.72910891089108898</v>
      </c>
      <c r="D88" s="71">
        <v>147.27999999999997</v>
      </c>
      <c r="E88" s="72">
        <v>202</v>
      </c>
      <c r="F88" s="59">
        <v>6.0178520011517467E-2</v>
      </c>
      <c r="G88" s="57"/>
      <c r="H88" s="25"/>
      <c r="J88" s="6">
        <v>-0.9</v>
      </c>
      <c r="K88" s="6">
        <v>-0.8</v>
      </c>
      <c r="L88" s="6">
        <v>-0.7</v>
      </c>
      <c r="M88" s="6">
        <v>-0.6</v>
      </c>
      <c r="N88" s="6">
        <v>-0.5</v>
      </c>
      <c r="O88" s="6">
        <v>-0.4</v>
      </c>
      <c r="P88" s="6">
        <v>-0.3</v>
      </c>
      <c r="Q88" s="6">
        <v>-0.2</v>
      </c>
      <c r="R88" s="6">
        <v>-0.1</v>
      </c>
      <c r="S88" s="6">
        <v>0</v>
      </c>
      <c r="T88" s="6">
        <v>0.1</v>
      </c>
      <c r="U88" s="6">
        <v>0.2</v>
      </c>
      <c r="V88" s="6">
        <v>0.3</v>
      </c>
      <c r="W88" s="6">
        <v>0.4</v>
      </c>
      <c r="X88" s="6">
        <v>0.5</v>
      </c>
      <c r="Y88" s="6">
        <v>0.6</v>
      </c>
      <c r="Z88" s="6">
        <v>0.7</v>
      </c>
      <c r="AA88" s="6">
        <v>0.8</v>
      </c>
      <c r="AB88" s="6">
        <v>0.9</v>
      </c>
      <c r="AC88" s="6">
        <v>1</v>
      </c>
      <c r="AD88" s="6">
        <v>1.1000000000000001</v>
      </c>
      <c r="AE88" s="6">
        <v>1.2</v>
      </c>
      <c r="AF88" s="6">
        <v>1.3</v>
      </c>
      <c r="AG88" s="6">
        <v>1.4</v>
      </c>
      <c r="AH88" s="6">
        <v>1.6</v>
      </c>
      <c r="AI88" s="6">
        <v>1.8</v>
      </c>
      <c r="AJ88" s="6">
        <v>1.9</v>
      </c>
      <c r="AK88" s="6">
        <v>2</v>
      </c>
      <c r="AL88" s="6">
        <v>2.1</v>
      </c>
      <c r="AM88" s="6">
        <v>2.8</v>
      </c>
      <c r="AN88" s="6">
        <v>2.9</v>
      </c>
      <c r="AO88" s="6">
        <v>3.2</v>
      </c>
    </row>
    <row r="89" spans="1:102" x14ac:dyDescent="0.2">
      <c r="A89" s="55" t="s">
        <v>817</v>
      </c>
      <c r="B89" s="60">
        <v>0.47699999999999998</v>
      </c>
      <c r="C89" s="60">
        <v>0.68772277227722756</v>
      </c>
      <c r="D89" s="73">
        <v>138.91999999999996</v>
      </c>
      <c r="E89" s="72">
        <v>202</v>
      </c>
      <c r="F89" s="59"/>
      <c r="G89" s="57"/>
      <c r="H89" s="26"/>
      <c r="I89" t="s">
        <v>762</v>
      </c>
      <c r="J89" s="6">
        <v>2.5641025641025641E-3</v>
      </c>
      <c r="K89" s="6">
        <v>2.3076923076923078E-2</v>
      </c>
      <c r="L89" s="6">
        <v>6.1538461538461542E-2</v>
      </c>
      <c r="M89" s="6">
        <v>6.6666666666666666E-2</v>
      </c>
      <c r="N89" s="6">
        <v>5.6410256410256411E-2</v>
      </c>
      <c r="O89" s="6">
        <v>8.7179487179487175E-2</v>
      </c>
      <c r="P89" s="6">
        <v>8.2051282051282051E-2</v>
      </c>
      <c r="Q89" s="6">
        <v>6.9230769230769235E-2</v>
      </c>
      <c r="R89" s="6">
        <v>8.9743589743589744E-2</v>
      </c>
      <c r="S89" s="6">
        <v>6.4102564102564097E-2</v>
      </c>
      <c r="T89" s="6">
        <v>7.6923076923076927E-2</v>
      </c>
      <c r="U89" s="6">
        <v>3.5897435897435895E-2</v>
      </c>
      <c r="V89" s="6">
        <v>3.8461538461538464E-2</v>
      </c>
      <c r="W89" s="6">
        <v>5.128205128205128E-2</v>
      </c>
      <c r="X89" s="6">
        <v>2.0512820512820513E-2</v>
      </c>
      <c r="Y89" s="6">
        <v>1.7948717948717947E-2</v>
      </c>
      <c r="Z89" s="6">
        <v>3.5897435897435895E-2</v>
      </c>
      <c r="AA89" s="6">
        <v>1.282051282051282E-2</v>
      </c>
      <c r="AB89" s="6">
        <v>1.282051282051282E-2</v>
      </c>
      <c r="AC89" s="6">
        <v>1.282051282051282E-2</v>
      </c>
      <c r="AD89" s="6">
        <v>2.5641025641025641E-3</v>
      </c>
      <c r="AE89" s="6">
        <v>1.5384615384615385E-2</v>
      </c>
      <c r="AF89" s="6">
        <v>2.5641025641025641E-3</v>
      </c>
      <c r="AG89" s="6">
        <v>7.6923076923076927E-3</v>
      </c>
      <c r="AH89" s="6">
        <v>2.0512820512820513E-2</v>
      </c>
      <c r="AI89" s="6">
        <v>5.1282051282051282E-3</v>
      </c>
      <c r="AJ89" s="6">
        <v>1.0256410256410256E-2</v>
      </c>
      <c r="AK89" s="6">
        <v>2.5641025641025641E-3</v>
      </c>
      <c r="AL89" s="6">
        <v>7.6923076923076927E-3</v>
      </c>
      <c r="AM89" s="6">
        <v>2.5641025641025641E-3</v>
      </c>
      <c r="AN89" s="6">
        <v>2.5641025641025641E-3</v>
      </c>
      <c r="AO89" s="6">
        <v>2.5641025641025641E-3</v>
      </c>
    </row>
    <row r="90" spans="1:102" x14ac:dyDescent="0.2">
      <c r="A90" s="55" t="s">
        <v>744</v>
      </c>
      <c r="B90" s="58">
        <v>0.28100000000000003</v>
      </c>
      <c r="C90" s="58">
        <v>0.82871282051282036</v>
      </c>
      <c r="D90" s="71">
        <v>323.19799999999992</v>
      </c>
      <c r="E90" s="72">
        <v>390</v>
      </c>
      <c r="F90" s="59">
        <v>0.14671028355709526</v>
      </c>
      <c r="G90" s="57"/>
      <c r="H90" s="25"/>
      <c r="I90" t="s">
        <v>769</v>
      </c>
      <c r="J90" s="26">
        <v>2.5641025641025641E-3</v>
      </c>
      <c r="K90" s="26">
        <v>2.5641025641025644E-2</v>
      </c>
      <c r="L90" s="26">
        <v>8.7179487179487189E-2</v>
      </c>
      <c r="M90" s="26">
        <v>0.15384615384615385</v>
      </c>
      <c r="N90" s="26">
        <v>0.21025641025641026</v>
      </c>
      <c r="O90" s="26">
        <v>0.29743589743589743</v>
      </c>
      <c r="P90" s="26">
        <v>0.37948717948717947</v>
      </c>
      <c r="Q90" s="26">
        <v>0.44871794871794868</v>
      </c>
      <c r="R90" s="26">
        <v>0.53846153846153844</v>
      </c>
      <c r="S90" s="26">
        <v>0.60256410256410253</v>
      </c>
      <c r="T90" s="26">
        <v>0.67948717948717952</v>
      </c>
      <c r="U90" s="26">
        <v>0.7153846153846154</v>
      </c>
      <c r="V90" s="26">
        <v>0.75384615384615383</v>
      </c>
      <c r="W90" s="26">
        <v>0.80512820512820515</v>
      </c>
      <c r="X90" s="26">
        <v>0.82564102564102571</v>
      </c>
      <c r="Y90" s="26">
        <v>0.8435897435897437</v>
      </c>
      <c r="Z90" s="26">
        <v>0.87948717948717958</v>
      </c>
      <c r="AA90" s="26">
        <v>0.89230769230769236</v>
      </c>
      <c r="AB90" s="26">
        <v>0.90512820512820513</v>
      </c>
      <c r="AC90" s="26">
        <v>0.91794871794871791</v>
      </c>
      <c r="AD90" s="26">
        <v>0.92051282051282046</v>
      </c>
      <c r="AE90" s="26">
        <v>0.9358974358974359</v>
      </c>
      <c r="AF90" s="26">
        <v>0.93846153846153846</v>
      </c>
      <c r="AG90" s="26">
        <v>0.94615384615384612</v>
      </c>
      <c r="AH90" s="26">
        <v>0.96666666666666667</v>
      </c>
      <c r="AI90" s="26">
        <v>0.97179487179487178</v>
      </c>
      <c r="AJ90" s="26">
        <v>0.982051282051282</v>
      </c>
      <c r="AK90" s="26">
        <v>0.98461538461538456</v>
      </c>
      <c r="AL90" s="26">
        <v>0.99230769230769222</v>
      </c>
      <c r="AM90" s="26">
        <v>0.99487179487179478</v>
      </c>
      <c r="AN90" s="26">
        <v>0.99743589743589733</v>
      </c>
      <c r="AO90" s="26">
        <v>0.99999999999999989</v>
      </c>
      <c r="AP90" s="26" t="s">
        <v>766</v>
      </c>
      <c r="AQ90" s="26" t="s">
        <v>766</v>
      </c>
      <c r="AR90" s="26" t="s">
        <v>766</v>
      </c>
      <c r="AS90" s="26" t="s">
        <v>766</v>
      </c>
      <c r="AT90" s="26" t="s">
        <v>766</v>
      </c>
      <c r="AU90" s="26" t="s">
        <v>766</v>
      </c>
      <c r="AV90" s="26" t="s">
        <v>766</v>
      </c>
      <c r="AW90" s="26" t="s">
        <v>766</v>
      </c>
      <c r="AX90" s="26" t="s">
        <v>766</v>
      </c>
      <c r="AY90" s="26" t="s">
        <v>766</v>
      </c>
      <c r="AZ90" s="26" t="s">
        <v>766</v>
      </c>
      <c r="BA90" s="26" t="s">
        <v>766</v>
      </c>
      <c r="BB90" s="26" t="s">
        <v>766</v>
      </c>
      <c r="BC90" s="26" t="s">
        <v>766</v>
      </c>
      <c r="BD90" s="26" t="s">
        <v>766</v>
      </c>
      <c r="BE90" s="26" t="s">
        <v>766</v>
      </c>
      <c r="BF90" s="26" t="s">
        <v>766</v>
      </c>
      <c r="BG90" s="26" t="s">
        <v>766</v>
      </c>
      <c r="BH90" s="26" t="s">
        <v>766</v>
      </c>
      <c r="BI90" s="26" t="s">
        <v>766</v>
      </c>
      <c r="BJ90" s="26" t="s">
        <v>766</v>
      </c>
      <c r="BK90" s="26" t="s">
        <v>766</v>
      </c>
      <c r="BL90" s="26" t="s">
        <v>766</v>
      </c>
      <c r="BM90" s="26" t="s">
        <v>766</v>
      </c>
      <c r="BN90" s="26" t="s">
        <v>766</v>
      </c>
      <c r="BO90" s="26" t="s">
        <v>766</v>
      </c>
      <c r="BP90" s="26" t="s">
        <v>766</v>
      </c>
      <c r="BQ90" s="26" t="s">
        <v>766</v>
      </c>
      <c r="BR90" s="26" t="s">
        <v>766</v>
      </c>
      <c r="BS90" s="26" t="s">
        <v>766</v>
      </c>
      <c r="BT90" s="26" t="s">
        <v>766</v>
      </c>
      <c r="BU90" s="26" t="s">
        <v>766</v>
      </c>
      <c r="BV90" s="26" t="s">
        <v>766</v>
      </c>
      <c r="BW90" s="26" t="s">
        <v>766</v>
      </c>
      <c r="BX90" s="26" t="s">
        <v>766</v>
      </c>
      <c r="BY90" s="26" t="s">
        <v>766</v>
      </c>
      <c r="BZ90" s="26" t="s">
        <v>766</v>
      </c>
      <c r="CA90" s="26" t="s">
        <v>766</v>
      </c>
      <c r="CB90" s="26" t="s">
        <v>766</v>
      </c>
      <c r="CC90" s="26" t="s">
        <v>766</v>
      </c>
      <c r="CD90" s="26" t="s">
        <v>766</v>
      </c>
      <c r="CE90" s="26" t="s">
        <v>766</v>
      </c>
      <c r="CF90" s="26" t="s">
        <v>766</v>
      </c>
      <c r="CG90" s="26" t="s">
        <v>766</v>
      </c>
      <c r="CH90" s="26" t="s">
        <v>766</v>
      </c>
      <c r="CI90" s="26" t="s">
        <v>766</v>
      </c>
      <c r="CJ90" s="26" t="s">
        <v>766</v>
      </c>
      <c r="CK90" s="26" t="s">
        <v>766</v>
      </c>
      <c r="CL90" s="26" t="s">
        <v>766</v>
      </c>
      <c r="CM90" s="26" t="s">
        <v>766</v>
      </c>
      <c r="CN90" s="26" t="s">
        <v>766</v>
      </c>
      <c r="CO90" s="26" t="s">
        <v>766</v>
      </c>
      <c r="CP90" s="26" t="s">
        <v>766</v>
      </c>
      <c r="CQ90" s="26" t="s">
        <v>766</v>
      </c>
      <c r="CR90" s="26" t="s">
        <v>766</v>
      </c>
      <c r="CS90" s="26" t="s">
        <v>766</v>
      </c>
      <c r="CT90" s="26" t="s">
        <v>766</v>
      </c>
      <c r="CU90" s="26" t="s">
        <v>766</v>
      </c>
      <c r="CV90" s="26" t="s">
        <v>766</v>
      </c>
      <c r="CW90" s="26" t="s">
        <v>766</v>
      </c>
      <c r="CX90" s="26" t="s">
        <v>766</v>
      </c>
    </row>
    <row r="91" spans="1:102" ht="17" thickBot="1" x14ac:dyDescent="0.25">
      <c r="A91" s="80" t="s">
        <v>818</v>
      </c>
      <c r="B91" s="61">
        <v>0.47599999999999998</v>
      </c>
      <c r="C91" s="61">
        <v>0.72268717948717898</v>
      </c>
      <c r="D91" s="74">
        <v>281.84799999999979</v>
      </c>
      <c r="E91" s="75">
        <v>390</v>
      </c>
      <c r="F91" s="62"/>
      <c r="G91" s="63"/>
      <c r="H91" s="26"/>
      <c r="I91" t="s">
        <v>768</v>
      </c>
      <c r="J91" s="50">
        <v>0.99999999999999989</v>
      </c>
      <c r="K91" s="50">
        <v>0.99743589743589733</v>
      </c>
      <c r="L91" s="50">
        <v>0.97435897435897412</v>
      </c>
      <c r="M91" s="50">
        <v>0.9128205128205128</v>
      </c>
      <c r="N91" s="50">
        <v>0.84615384615384592</v>
      </c>
      <c r="O91" s="50">
        <v>0.78974358974358949</v>
      </c>
      <c r="P91" s="50">
        <v>0.7025641025641024</v>
      </c>
      <c r="Q91" s="50">
        <v>0.6205128205128202</v>
      </c>
      <c r="R91" s="50">
        <v>0.55128205128205121</v>
      </c>
      <c r="S91" s="50">
        <v>0.46153846153846145</v>
      </c>
      <c r="T91" s="50">
        <v>0.39743589743589736</v>
      </c>
      <c r="U91" s="50">
        <v>0.32051282051282048</v>
      </c>
      <c r="V91" s="50">
        <v>0.2846153846153846</v>
      </c>
      <c r="W91" s="50">
        <v>0.24615384615384614</v>
      </c>
      <c r="X91" s="50">
        <v>0.19487179487179482</v>
      </c>
      <c r="Y91" s="50">
        <v>0.17435897435897432</v>
      </c>
      <c r="Z91" s="50">
        <v>0.15641025641025635</v>
      </c>
      <c r="AA91" s="50">
        <v>0.12051282051282053</v>
      </c>
      <c r="AB91" s="50">
        <v>0.10769230769230771</v>
      </c>
      <c r="AC91" s="50">
        <v>9.4871794871794896E-2</v>
      </c>
      <c r="AD91" s="50">
        <v>8.2051282051282079E-2</v>
      </c>
      <c r="AE91" s="50">
        <v>7.948717948717951E-2</v>
      </c>
      <c r="AF91" s="50">
        <v>6.4102564102564097E-2</v>
      </c>
      <c r="AG91" s="50">
        <v>6.1538461538461528E-2</v>
      </c>
      <c r="AH91" s="50">
        <v>5.3846153846153835E-2</v>
      </c>
      <c r="AI91" s="50">
        <v>3.333333333333334E-2</v>
      </c>
      <c r="AJ91" s="50">
        <v>2.8205128205128209E-2</v>
      </c>
      <c r="AK91" s="50">
        <v>1.7948717948717947E-2</v>
      </c>
      <c r="AL91" s="50">
        <v>1.5384615384615384E-2</v>
      </c>
      <c r="AM91" s="50">
        <v>7.6923076923076927E-3</v>
      </c>
      <c r="AN91" s="50">
        <v>5.1282051282051282E-3</v>
      </c>
      <c r="AO91" s="50">
        <v>2.5641025641025641E-3</v>
      </c>
      <c r="AP91" s="50" t="s">
        <v>766</v>
      </c>
      <c r="AQ91" s="50" t="s">
        <v>766</v>
      </c>
      <c r="AR91" s="50" t="s">
        <v>766</v>
      </c>
      <c r="AS91" s="50" t="s">
        <v>766</v>
      </c>
      <c r="AT91" s="50" t="s">
        <v>766</v>
      </c>
      <c r="AU91" s="50" t="s">
        <v>766</v>
      </c>
      <c r="AV91" s="50" t="s">
        <v>766</v>
      </c>
      <c r="AW91" s="50" t="s">
        <v>766</v>
      </c>
      <c r="AX91" s="50" t="s">
        <v>766</v>
      </c>
      <c r="AY91" s="50" t="s">
        <v>766</v>
      </c>
      <c r="AZ91" s="50" t="s">
        <v>766</v>
      </c>
      <c r="BA91" s="50" t="s">
        <v>766</v>
      </c>
      <c r="BB91" s="50" t="s">
        <v>766</v>
      </c>
      <c r="BC91" s="50" t="s">
        <v>766</v>
      </c>
      <c r="BD91" s="50" t="s">
        <v>766</v>
      </c>
      <c r="BE91" s="50" t="s">
        <v>766</v>
      </c>
      <c r="BF91" s="50" t="s">
        <v>766</v>
      </c>
      <c r="BG91" s="50" t="s">
        <v>766</v>
      </c>
      <c r="BH91" s="50" t="s">
        <v>766</v>
      </c>
      <c r="BI91" s="50" t="s">
        <v>766</v>
      </c>
      <c r="BJ91" s="50" t="s">
        <v>766</v>
      </c>
      <c r="BK91" s="50" t="s">
        <v>766</v>
      </c>
      <c r="BL91" s="50" t="s">
        <v>766</v>
      </c>
      <c r="BM91" s="50" t="s">
        <v>766</v>
      </c>
      <c r="BN91" s="50" t="s">
        <v>766</v>
      </c>
      <c r="BO91" s="50" t="s">
        <v>766</v>
      </c>
      <c r="BP91" s="50" t="s">
        <v>766</v>
      </c>
      <c r="BQ91" s="50" t="s">
        <v>766</v>
      </c>
      <c r="BR91" s="50" t="s">
        <v>766</v>
      </c>
      <c r="BS91" s="50" t="s">
        <v>766</v>
      </c>
      <c r="BT91" s="50" t="s">
        <v>766</v>
      </c>
      <c r="BU91" s="50" t="s">
        <v>766</v>
      </c>
      <c r="BV91" s="50" t="s">
        <v>766</v>
      </c>
      <c r="BW91" s="50" t="s">
        <v>766</v>
      </c>
      <c r="BX91" s="50" t="s">
        <v>766</v>
      </c>
      <c r="BY91" s="50" t="s">
        <v>766</v>
      </c>
      <c r="BZ91" s="50" t="s">
        <v>766</v>
      </c>
      <c r="CA91" s="50" t="s">
        <v>766</v>
      </c>
      <c r="CB91" s="50" t="s">
        <v>766</v>
      </c>
      <c r="CC91" s="50" t="s">
        <v>766</v>
      </c>
      <c r="CD91" s="50" t="s">
        <v>766</v>
      </c>
      <c r="CE91" s="50" t="s">
        <v>766</v>
      </c>
      <c r="CF91" s="50" t="s">
        <v>766</v>
      </c>
      <c r="CG91" s="50" t="s">
        <v>766</v>
      </c>
      <c r="CH91" s="50" t="s">
        <v>766</v>
      </c>
      <c r="CI91" s="50" t="s">
        <v>766</v>
      </c>
      <c r="CJ91" s="50" t="s">
        <v>766</v>
      </c>
      <c r="CK91" s="50" t="s">
        <v>766</v>
      </c>
      <c r="CL91" s="50" t="s">
        <v>766</v>
      </c>
      <c r="CM91" s="50" t="s">
        <v>766</v>
      </c>
      <c r="CN91" s="50" t="s">
        <v>766</v>
      </c>
      <c r="CO91" s="50" t="s">
        <v>766</v>
      </c>
      <c r="CP91" s="50" t="s">
        <v>766</v>
      </c>
      <c r="CQ91" s="50" t="s">
        <v>766</v>
      </c>
      <c r="CR91" s="50" t="s">
        <v>766</v>
      </c>
      <c r="CS91" s="50" t="s">
        <v>766</v>
      </c>
      <c r="CT91" s="50" t="s">
        <v>766</v>
      </c>
      <c r="CU91" s="50" t="s">
        <v>766</v>
      </c>
      <c r="CV91" s="50" t="s">
        <v>766</v>
      </c>
      <c r="CW91" s="50" t="s">
        <v>766</v>
      </c>
      <c r="CX91" s="50" t="s">
        <v>766</v>
      </c>
    </row>
  </sheetData>
  <sortState xmlns:xlrd2="http://schemas.microsoft.com/office/spreadsheetml/2017/richdata2" columnSort="1" ref="I4:BN6">
    <sortCondition ref="J5"/>
  </sortState>
  <mergeCells count="1">
    <mergeCell ref="H1:H2"/>
  </mergeCells>
  <conditionalFormatting sqref="J7:CX8">
    <cfRule type="colorScale" priority="15">
      <colorScale>
        <cfvo type="percentile" val="45"/>
        <cfvo type="percentile" val="55"/>
        <color rgb="FFFF0000"/>
        <color theme="9"/>
      </colorScale>
    </cfRule>
  </conditionalFormatting>
  <conditionalFormatting sqref="J36:CX37">
    <cfRule type="colorScale" priority="4">
      <colorScale>
        <cfvo type="percentile" val="45"/>
        <cfvo type="percentile" val="55"/>
        <color rgb="FFFF0000"/>
        <color theme="9"/>
      </colorScale>
    </cfRule>
  </conditionalFormatting>
  <conditionalFormatting sqref="J18:CX19">
    <cfRule type="colorScale" priority="14">
      <colorScale>
        <cfvo type="percentile" val="45"/>
        <cfvo type="percentile" val="55"/>
        <color rgb="FFFF0000"/>
        <color theme="9"/>
      </colorScale>
    </cfRule>
  </conditionalFormatting>
  <conditionalFormatting sqref="J63:CX64">
    <cfRule type="colorScale" priority="13">
      <colorScale>
        <cfvo type="percentile" val="45"/>
        <cfvo type="percentile" val="55"/>
        <color rgb="FFFF0000"/>
        <color theme="9"/>
      </colorScale>
    </cfRule>
  </conditionalFormatting>
  <conditionalFormatting sqref="J63:CX64">
    <cfRule type="colorScale" priority="12">
      <colorScale>
        <cfvo type="percentile" val="45"/>
        <cfvo type="percentile" val="55"/>
        <color rgb="FFFF0000"/>
        <color theme="9"/>
      </colorScale>
    </cfRule>
  </conditionalFormatting>
  <conditionalFormatting sqref="J72:CX73">
    <cfRule type="colorScale" priority="11">
      <colorScale>
        <cfvo type="percentile" val="45"/>
        <cfvo type="percentile" val="55"/>
        <color rgb="FFFF0000"/>
        <color theme="9"/>
      </colorScale>
    </cfRule>
  </conditionalFormatting>
  <conditionalFormatting sqref="J63:CX64">
    <cfRule type="colorScale" priority="10">
      <colorScale>
        <cfvo type="percentile" val="45"/>
        <cfvo type="percentile" val="55"/>
        <color rgb="FFFF0000"/>
        <color theme="9"/>
      </colorScale>
    </cfRule>
  </conditionalFormatting>
  <conditionalFormatting sqref="J81:CX82">
    <cfRule type="colorScale" priority="9">
      <colorScale>
        <cfvo type="percentile" val="45"/>
        <cfvo type="percentile" val="55"/>
        <color rgb="FFFF0000"/>
        <color theme="9"/>
      </colorScale>
    </cfRule>
  </conditionalFormatting>
  <conditionalFormatting sqref="J90:CX91">
    <cfRule type="colorScale" priority="8">
      <colorScale>
        <cfvo type="percentile" val="45"/>
        <cfvo type="percentile" val="55"/>
        <color rgb="FFFF0000"/>
        <color theme="9"/>
      </colorScale>
    </cfRule>
  </conditionalFormatting>
  <conditionalFormatting sqref="J27:CX28">
    <cfRule type="colorScale" priority="7">
      <colorScale>
        <cfvo type="percentile" val="45"/>
        <cfvo type="percentile" val="55"/>
        <color rgb="FFFF0000"/>
        <color theme="9"/>
      </colorScale>
    </cfRule>
  </conditionalFormatting>
  <conditionalFormatting sqref="J27:CX28">
    <cfRule type="colorScale" priority="6">
      <colorScale>
        <cfvo type="percentile" val="45"/>
        <cfvo type="percentile" val="55"/>
        <color rgb="FFFF0000"/>
        <color theme="9"/>
      </colorScale>
    </cfRule>
  </conditionalFormatting>
  <conditionalFormatting sqref="J27:CX28">
    <cfRule type="colorScale" priority="5">
      <colorScale>
        <cfvo type="percentile" val="45"/>
        <cfvo type="percentile" val="55"/>
        <color rgb="FFFF0000"/>
        <color theme="9"/>
      </colorScale>
    </cfRule>
  </conditionalFormatting>
  <conditionalFormatting sqref="J36:CX37">
    <cfRule type="colorScale" priority="3">
      <colorScale>
        <cfvo type="percentile" val="45"/>
        <cfvo type="percentile" val="55"/>
        <color rgb="FFFF0000"/>
        <color theme="9"/>
      </colorScale>
    </cfRule>
  </conditionalFormatting>
  <conditionalFormatting sqref="J45:CX46">
    <cfRule type="colorScale" priority="2">
      <colorScale>
        <cfvo type="percentile" val="45"/>
        <cfvo type="percentile" val="55"/>
        <color rgb="FFFF0000"/>
        <color theme="9"/>
      </colorScale>
    </cfRule>
  </conditionalFormatting>
  <conditionalFormatting sqref="J54:CX56">
    <cfRule type="colorScale" priority="1">
      <colorScale>
        <cfvo type="percentile" val="45"/>
        <cfvo type="percentile" val="55"/>
        <color rgb="FFFF0000"/>
        <color theme="9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6AFB4-5E6D-F14F-A48B-31EAD915C069}">
  <dimension ref="A1:Y1335"/>
  <sheetViews>
    <sheetView zoomScale="97" workbookViewId="0">
      <selection activeCell="H2" sqref="H2"/>
    </sheetView>
  </sheetViews>
  <sheetFormatPr baseColWidth="10" defaultRowHeight="16" x14ac:dyDescent="0.2"/>
  <cols>
    <col min="1" max="1" width="10.83203125" style="7"/>
    <col min="6" max="6" width="11.6640625" customWidth="1"/>
    <col min="9" max="9" width="16.33203125" customWidth="1"/>
    <col min="11" max="12" width="10.83203125" style="24"/>
    <col min="13" max="13" width="12.6640625" style="69" customWidth="1"/>
    <col min="14" max="14" width="11.6640625" style="69" customWidth="1"/>
    <col min="15" max="15" width="11.5" customWidth="1"/>
    <col min="16" max="17" width="11.33203125" style="69" customWidth="1"/>
    <col min="18" max="18" width="14.1640625" customWidth="1"/>
    <col min="19" max="21" width="13.83203125" customWidth="1"/>
  </cols>
  <sheetData>
    <row r="1" spans="1:25" ht="60" x14ac:dyDescent="0.2">
      <c r="A1" s="39" t="s">
        <v>812</v>
      </c>
      <c r="B1" s="32" t="s">
        <v>0</v>
      </c>
      <c r="C1" s="32" t="s">
        <v>765</v>
      </c>
      <c r="D1" s="32" t="s">
        <v>767</v>
      </c>
      <c r="E1" s="32" t="s">
        <v>1</v>
      </c>
      <c r="F1" s="32" t="s">
        <v>2</v>
      </c>
      <c r="G1" s="32" t="s">
        <v>3</v>
      </c>
      <c r="H1" s="32" t="s">
        <v>815</v>
      </c>
      <c r="I1" s="32" t="s">
        <v>4</v>
      </c>
      <c r="J1" s="32" t="s">
        <v>814</v>
      </c>
      <c r="K1" s="47" t="s">
        <v>764</v>
      </c>
      <c r="L1" s="47" t="s">
        <v>813</v>
      </c>
      <c r="M1" s="67" t="s">
        <v>807</v>
      </c>
      <c r="N1" s="67" t="s">
        <v>808</v>
      </c>
      <c r="O1" s="32" t="s">
        <v>806</v>
      </c>
      <c r="P1" s="67" t="s">
        <v>802</v>
      </c>
      <c r="Q1" s="67" t="s">
        <v>803</v>
      </c>
      <c r="R1" s="32" t="s">
        <v>755</v>
      </c>
      <c r="S1" s="32" t="s">
        <v>756</v>
      </c>
      <c r="T1" s="32" t="s">
        <v>757</v>
      </c>
      <c r="U1" s="32" t="s">
        <v>752</v>
      </c>
      <c r="V1" s="32" t="s">
        <v>753</v>
      </c>
      <c r="W1" s="32" t="s">
        <v>754</v>
      </c>
    </row>
    <row r="2" spans="1:25" ht="17" x14ac:dyDescent="0.2">
      <c r="A2" s="41">
        <v>38338</v>
      </c>
      <c r="B2" s="10" t="s">
        <v>28</v>
      </c>
      <c r="C2" s="10">
        <f>SUBTOTAL(103,Table1[[#This Row],[Recommendation Date]])</f>
        <v>1</v>
      </c>
      <c r="D2" s="10">
        <f>1</f>
        <v>1</v>
      </c>
      <c r="E2" s="11" t="s">
        <v>29</v>
      </c>
      <c r="F2" s="12" t="s">
        <v>30</v>
      </c>
      <c r="G2" s="12" t="s">
        <v>12</v>
      </c>
      <c r="H2" s="11">
        <v>12</v>
      </c>
      <c r="I2" s="13">
        <v>1.85</v>
      </c>
      <c r="J2" s="14">
        <v>185.85900000000001</v>
      </c>
      <c r="K2" s="46">
        <f>ROUND(LOG10(Table1[[#This Row],[Return (keep sorted by this column!)]]+1),2)</f>
        <v>2.27</v>
      </c>
      <c r="L2" s="46">
        <f>COUNTIF(Table1[Return (keep sorted by this column!)],"&lt;"&amp;Table1[[#This Row],[Return (keep sorted by this column!)]])</f>
        <v>433</v>
      </c>
      <c r="M2" s="14">
        <f>IF(Table1[[#This Row],[Team]]="David",Table1[[#This Row],[Return (keep sorted by this column!)]],"")</f>
        <v>185.85900000000001</v>
      </c>
      <c r="N2" s="14" t="str">
        <f>IF(Table1[[#This Row],[Team]]="Tom",Table1[[#This Row],[Return (keep sorted by this column!)]],"")</f>
        <v/>
      </c>
      <c r="O2" s="14">
        <v>2.1549999999999998</v>
      </c>
      <c r="P2" s="23">
        <f>IF(Table1[[#This Row],[Team]]="David",Table1[[#This Row],[S&amp;P Return, same period]],"")</f>
        <v>2.1549999999999998</v>
      </c>
      <c r="Q2" s="23" t="str">
        <f>IF(Table1[[#This Row],[Team]]="Tom",Table1[[#This Row],[S&amp;P Return, same period]],"")</f>
        <v/>
      </c>
      <c r="R2" s="14">
        <v>183.70400000000001</v>
      </c>
      <c r="S2" s="14">
        <f>IF(Table1[[#This Row],[Team]]="David",Table1[[#This Row],[Difference Vs. S&amp;P Return]],"")</f>
        <v>183.70400000000001</v>
      </c>
      <c r="T2" s="14" t="str">
        <f>IF(Table1[[#This Row],[Team]]="Tom",Table1[[#This Row],[Difference Vs. S&amp;P Return]],"")</f>
        <v/>
      </c>
      <c r="U2" s="14">
        <f>ROUND((1+Table1[[#This Row],[Return (keep sorted by this column!)]])/(1+Table1[[#This Row],[S&amp;P Return, same period]])-1,1)</f>
        <v>58.2</v>
      </c>
      <c r="V2" s="15">
        <f>IF(Table1[[#This Row],[Team]]="David",Table1[[#This Row],[Improvement Vs. S&amp;P Return]],"")</f>
        <v>58.2</v>
      </c>
      <c r="W2" s="15" t="str">
        <f>IF(Table1[[#This Row],[Team]]="Tom",Table1[[#This Row],[Improvement Vs. S&amp;P Return]],"")</f>
        <v/>
      </c>
    </row>
    <row r="3" spans="1:25" ht="17" x14ac:dyDescent="0.2">
      <c r="A3" s="18">
        <v>38261</v>
      </c>
      <c r="B3" s="2" t="s">
        <v>28</v>
      </c>
      <c r="C3" s="2">
        <f>SUBTOTAL(103,Table1[[#This Row],[Recommendation Date]])</f>
        <v>1</v>
      </c>
      <c r="D3" s="2">
        <f>1</f>
        <v>1</v>
      </c>
      <c r="E3" s="16" t="s">
        <v>29</v>
      </c>
      <c r="F3" s="3" t="s">
        <v>30</v>
      </c>
      <c r="G3" s="3" t="s">
        <v>12</v>
      </c>
      <c r="H3" s="16">
        <v>12</v>
      </c>
      <c r="I3" s="4">
        <v>2.33</v>
      </c>
      <c r="J3" s="5">
        <v>147.52600000000001</v>
      </c>
      <c r="K3" s="48">
        <f>ROUND(LOG10(Table1[[#This Row],[Return (keep sorted by this column!)]]+1),2)</f>
        <v>2.17</v>
      </c>
      <c r="L3" s="48">
        <f>COUNTIF(Table1[Return (keep sorted by this column!)],"&lt;"&amp;Table1[[#This Row],[Return (keep sorted by this column!)]])</f>
        <v>432</v>
      </c>
      <c r="M3" s="14">
        <f>IF(Table1[[#This Row],[Team]]="David",Table1[[#This Row],[Return (keep sorted by this column!)]],"")</f>
        <v>147.52600000000001</v>
      </c>
      <c r="N3" s="14" t="str">
        <f>IF(Table1[[#This Row],[Team]]="Tom",Table1[[#This Row],[Return (keep sorted by this column!)]],"")</f>
        <v/>
      </c>
      <c r="O3" s="5">
        <v>2.343</v>
      </c>
      <c r="P3" s="23">
        <f>IF(Table1[[#This Row],[Team]]="David",Table1[[#This Row],[S&amp;P Return, same period]],"")</f>
        <v>2.343</v>
      </c>
      <c r="Q3" s="23" t="str">
        <f>IF(Table1[[#This Row],[Team]]="Tom",Table1[[#This Row],[S&amp;P Return, same period]],"")</f>
        <v/>
      </c>
      <c r="R3" s="5">
        <v>145.18299999999999</v>
      </c>
      <c r="S3" s="14">
        <f>IF(Table1[[#This Row],[Team]]="David",Table1[[#This Row],[Difference Vs. S&amp;P Return]],"")</f>
        <v>145.18299999999999</v>
      </c>
      <c r="T3" s="14" t="str">
        <f>IF(Table1[[#This Row],[Team]]="Tom",Table1[[#This Row],[Difference Vs. S&amp;P Return]],"")</f>
        <v/>
      </c>
      <c r="U3" s="14">
        <f>ROUND((1+Table1[[#This Row],[Return (keep sorted by this column!)]])/(1+Table1[[#This Row],[S&amp;P Return, same period]])-1,1)</f>
        <v>43.4</v>
      </c>
      <c r="V3" s="15">
        <f>IF(Table1[[#This Row],[Team]]="David",Table1[[#This Row],[Improvement Vs. S&amp;P Return]],"")</f>
        <v>43.4</v>
      </c>
      <c r="W3" s="15" t="str">
        <f>IF(Table1[[#This Row],[Team]]="Tom",Table1[[#This Row],[Improvement Vs. S&amp;P Return]],"")</f>
        <v/>
      </c>
    </row>
    <row r="4" spans="1:25" ht="17" x14ac:dyDescent="0.2">
      <c r="A4" s="18">
        <v>39248</v>
      </c>
      <c r="B4" s="2" t="s">
        <v>28</v>
      </c>
      <c r="C4" s="2">
        <f>SUBTOTAL(103,Table1[[#This Row],[Recommendation Date]])</f>
        <v>1</v>
      </c>
      <c r="D4" s="2">
        <f>1</f>
        <v>1</v>
      </c>
      <c r="E4" s="16" t="s">
        <v>29</v>
      </c>
      <c r="F4" s="3" t="s">
        <v>30</v>
      </c>
      <c r="G4" s="3" t="s">
        <v>8</v>
      </c>
      <c r="H4" s="17"/>
      <c r="I4" s="4">
        <v>2.82</v>
      </c>
      <c r="J4" s="5">
        <v>122.056</v>
      </c>
      <c r="K4" s="48">
        <f>ROUND(LOG10(Table1[[#This Row],[Return (keep sorted by this column!)]]+1),2)</f>
        <v>2.09</v>
      </c>
      <c r="L4" s="48">
        <f>COUNTIF(Table1[Return (keep sorted by this column!)],"&lt;"&amp;Table1[[#This Row],[Return (keep sorted by this column!)]])</f>
        <v>431</v>
      </c>
      <c r="M4" s="14" t="str">
        <f>IF(Table1[[#This Row],[Team]]="David",Table1[[#This Row],[Return (keep sorted by this column!)]],"")</f>
        <v/>
      </c>
      <c r="N4" s="14">
        <f>IF(Table1[[#This Row],[Team]]="Tom",Table1[[#This Row],[Return (keep sorted by this column!)]],"")</f>
        <v>122.056</v>
      </c>
      <c r="O4" s="5">
        <v>1.3460000000000001</v>
      </c>
      <c r="P4" s="23" t="str">
        <f>IF(Table1[[#This Row],[Team]]="David",Table1[[#This Row],[S&amp;P Return, same period]],"")</f>
        <v/>
      </c>
      <c r="Q4" s="23">
        <f>IF(Table1[[#This Row],[Team]]="Tom",Table1[[#This Row],[S&amp;P Return, same period]],"")</f>
        <v>1.3460000000000001</v>
      </c>
      <c r="R4" s="5">
        <v>120.709</v>
      </c>
      <c r="S4" s="14" t="str">
        <f>IF(Table1[[#This Row],[Team]]="David",Table1[[#This Row],[Difference Vs. S&amp;P Return]],"")</f>
        <v/>
      </c>
      <c r="T4" s="14">
        <f>IF(Table1[[#This Row],[Team]]="Tom",Table1[[#This Row],[Difference Vs. S&amp;P Return]],"")</f>
        <v>120.709</v>
      </c>
      <c r="U4" s="14">
        <f>ROUND((1+Table1[[#This Row],[Return (keep sorted by this column!)]])/(1+Table1[[#This Row],[S&amp;P Return, same period]])-1,1)</f>
        <v>51.5</v>
      </c>
      <c r="V4" s="15" t="str">
        <f>IF(Table1[[#This Row],[Team]]="David",Table1[[#This Row],[Improvement Vs. S&amp;P Return]],"")</f>
        <v/>
      </c>
      <c r="W4" s="15">
        <f>IF(Table1[[#This Row],[Team]]="Tom",Table1[[#This Row],[Improvement Vs. S&amp;P Return]],"")</f>
        <v>51.5</v>
      </c>
    </row>
    <row r="5" spans="1:25" ht="17" x14ac:dyDescent="0.2">
      <c r="A5" s="18">
        <v>37505</v>
      </c>
      <c r="B5" s="2" t="s">
        <v>90</v>
      </c>
      <c r="C5" s="2">
        <f>SUBTOTAL(103,Table1[[#This Row],[Recommendation Date]])</f>
        <v>1</v>
      </c>
      <c r="D5" s="2">
        <f>1</f>
        <v>1</v>
      </c>
      <c r="E5" s="16" t="s">
        <v>91</v>
      </c>
      <c r="F5" s="3" t="s">
        <v>92</v>
      </c>
      <c r="G5" s="3" t="s">
        <v>12</v>
      </c>
      <c r="H5" s="16">
        <v>9</v>
      </c>
      <c r="I5" s="4">
        <v>15.31</v>
      </c>
      <c r="J5" s="5">
        <v>116.61</v>
      </c>
      <c r="K5" s="48">
        <f>ROUND(LOG10(Table1[[#This Row],[Return (keep sorted by this column!)]]+1),2)</f>
        <v>2.0699999999999998</v>
      </c>
      <c r="L5" s="48">
        <f>COUNTIF(Table1[Return (keep sorted by this column!)],"&lt;"&amp;Table1[[#This Row],[Return (keep sorted by this column!)]])</f>
        <v>430</v>
      </c>
      <c r="M5" s="14">
        <f>IF(Table1[[#This Row],[Team]]="David",Table1[[#This Row],[Return (keep sorted by this column!)]],"")</f>
        <v>116.61</v>
      </c>
      <c r="N5" s="14" t="str">
        <f>IF(Table1[[#This Row],[Team]]="Tom",Table1[[#This Row],[Return (keep sorted by this column!)]],"")</f>
        <v/>
      </c>
      <c r="O5" s="5">
        <v>3.39</v>
      </c>
      <c r="P5" s="23">
        <f>IF(Table1[[#This Row],[Team]]="David",Table1[[#This Row],[S&amp;P Return, same period]],"")</f>
        <v>3.39</v>
      </c>
      <c r="Q5" s="23" t="str">
        <f>IF(Table1[[#This Row],[Team]]="Tom",Table1[[#This Row],[S&amp;P Return, same period]],"")</f>
        <v/>
      </c>
      <c r="R5" s="5">
        <v>113.22</v>
      </c>
      <c r="S5" s="14">
        <f>IF(Table1[[#This Row],[Team]]="David",Table1[[#This Row],[Difference Vs. S&amp;P Return]],"")</f>
        <v>113.22</v>
      </c>
      <c r="T5" s="14" t="str">
        <f>IF(Table1[[#This Row],[Team]]="Tom",Table1[[#This Row],[Difference Vs. S&amp;P Return]],"")</f>
        <v/>
      </c>
      <c r="U5" s="14">
        <f>ROUND((1+Table1[[#This Row],[Return (keep sorted by this column!)]])/(1+Table1[[#This Row],[S&amp;P Return, same period]])-1,1)</f>
        <v>25.8</v>
      </c>
      <c r="V5" s="15">
        <f>IF(Table1[[#This Row],[Team]]="David",Table1[[#This Row],[Improvement Vs. S&amp;P Return]],"")</f>
        <v>25.8</v>
      </c>
      <c r="W5" s="15" t="str">
        <f>IF(Table1[[#This Row],[Team]]="Tom",Table1[[#This Row],[Improvement Vs. S&amp;P Return]],"")</f>
        <v/>
      </c>
    </row>
    <row r="6" spans="1:25" ht="17" x14ac:dyDescent="0.2">
      <c r="A6" s="18">
        <v>38975</v>
      </c>
      <c r="B6" s="2" t="s">
        <v>28</v>
      </c>
      <c r="C6" s="2">
        <f>SUBTOTAL(103,Table1[[#This Row],[Recommendation Date]])</f>
        <v>1</v>
      </c>
      <c r="D6" s="2">
        <f>1</f>
        <v>1</v>
      </c>
      <c r="E6" s="16" t="s">
        <v>29</v>
      </c>
      <c r="F6" s="3" t="s">
        <v>30</v>
      </c>
      <c r="G6" s="3" t="s">
        <v>12</v>
      </c>
      <c r="H6" s="16">
        <v>12</v>
      </c>
      <c r="I6" s="4">
        <v>3.25</v>
      </c>
      <c r="J6" s="5">
        <v>105.753</v>
      </c>
      <c r="K6" s="48">
        <f>ROUND(LOG10(Table1[[#This Row],[Return (keep sorted by this column!)]]+1),2)</f>
        <v>2.0299999999999998</v>
      </c>
      <c r="L6" s="48">
        <f>COUNTIF(Table1[Return (keep sorted by this column!)],"&lt;"&amp;Table1[[#This Row],[Return (keep sorted by this column!)]])</f>
        <v>429</v>
      </c>
      <c r="M6" s="14">
        <f>IF(Table1[[#This Row],[Team]]="David",Table1[[#This Row],[Return (keep sorted by this column!)]],"")</f>
        <v>105.753</v>
      </c>
      <c r="N6" s="14" t="str">
        <f>IF(Table1[[#This Row],[Team]]="Tom",Table1[[#This Row],[Return (keep sorted by this column!)]],"")</f>
        <v/>
      </c>
      <c r="O6" s="5">
        <v>1.764</v>
      </c>
      <c r="P6" s="23">
        <f>IF(Table1[[#This Row],[Team]]="David",Table1[[#This Row],[S&amp;P Return, same period]],"")</f>
        <v>1.764</v>
      </c>
      <c r="Q6" s="23" t="str">
        <f>IF(Table1[[#This Row],[Team]]="Tom",Table1[[#This Row],[S&amp;P Return, same period]],"")</f>
        <v/>
      </c>
      <c r="R6" s="5">
        <v>103.99</v>
      </c>
      <c r="S6" s="14">
        <f>IF(Table1[[#This Row],[Team]]="David",Table1[[#This Row],[Difference Vs. S&amp;P Return]],"")</f>
        <v>103.99</v>
      </c>
      <c r="T6" s="14" t="str">
        <f>IF(Table1[[#This Row],[Team]]="Tom",Table1[[#This Row],[Difference Vs. S&amp;P Return]],"")</f>
        <v/>
      </c>
      <c r="U6" s="14">
        <f>ROUND((1+Table1[[#This Row],[Return (keep sorted by this column!)]])/(1+Table1[[#This Row],[S&amp;P Return, same period]])-1,1)</f>
        <v>37.6</v>
      </c>
      <c r="V6" s="15">
        <f>IF(Table1[[#This Row],[Team]]="David",Table1[[#This Row],[Improvement Vs. S&amp;P Return]],"")</f>
        <v>37.6</v>
      </c>
      <c r="W6" s="15" t="str">
        <f>IF(Table1[[#This Row],[Team]]="Tom",Table1[[#This Row],[Improvement Vs. S&amp;P Return]],"")</f>
        <v/>
      </c>
    </row>
    <row r="7" spans="1:25" ht="17" x14ac:dyDescent="0.2">
      <c r="A7" s="18">
        <v>38884</v>
      </c>
      <c r="B7" s="2" t="s">
        <v>28</v>
      </c>
      <c r="C7" s="2">
        <f>SUBTOTAL(103,Table1[[#This Row],[Recommendation Date]])</f>
        <v>1</v>
      </c>
      <c r="D7" s="2">
        <f>1</f>
        <v>1</v>
      </c>
      <c r="E7" s="16" t="s">
        <v>29</v>
      </c>
      <c r="F7" s="3" t="s">
        <v>30</v>
      </c>
      <c r="G7" s="3" t="s">
        <v>12</v>
      </c>
      <c r="H7" s="16">
        <v>12</v>
      </c>
      <c r="I7" s="4">
        <v>3.87</v>
      </c>
      <c r="J7" s="5">
        <v>88.433000000000007</v>
      </c>
      <c r="K7" s="48">
        <f>ROUND(LOG10(Table1[[#This Row],[Return (keep sorted by this column!)]]+1),2)</f>
        <v>1.95</v>
      </c>
      <c r="L7" s="48">
        <f>COUNTIF(Table1[Return (keep sorted by this column!)],"&lt;"&amp;Table1[[#This Row],[Return (keep sorted by this column!)]])</f>
        <v>428</v>
      </c>
      <c r="M7" s="14">
        <f>IF(Table1[[#This Row],[Team]]="David",Table1[[#This Row],[Return (keep sorted by this column!)]],"")</f>
        <v>88.433000000000007</v>
      </c>
      <c r="N7" s="14" t="str">
        <f>IF(Table1[[#This Row],[Team]]="Tom",Table1[[#This Row],[Return (keep sorted by this column!)]],"")</f>
        <v/>
      </c>
      <c r="O7" s="5">
        <v>1.9279999999999999</v>
      </c>
      <c r="P7" s="23">
        <f>IF(Table1[[#This Row],[Team]]="David",Table1[[#This Row],[S&amp;P Return, same period]],"")</f>
        <v>1.9279999999999999</v>
      </c>
      <c r="Q7" s="23" t="str">
        <f>IF(Table1[[#This Row],[Team]]="Tom",Table1[[#This Row],[S&amp;P Return, same period]],"")</f>
        <v/>
      </c>
      <c r="R7" s="5">
        <v>86.504999999999995</v>
      </c>
      <c r="S7" s="14">
        <f>IF(Table1[[#This Row],[Team]]="David",Table1[[#This Row],[Difference Vs. S&amp;P Return]],"")</f>
        <v>86.504999999999995</v>
      </c>
      <c r="T7" s="14" t="str">
        <f>IF(Table1[[#This Row],[Team]]="Tom",Table1[[#This Row],[Difference Vs. S&amp;P Return]],"")</f>
        <v/>
      </c>
      <c r="U7" s="14">
        <f>ROUND((1+Table1[[#This Row],[Return (keep sorted by this column!)]])/(1+Table1[[#This Row],[S&amp;P Return, same period]])-1,1)</f>
        <v>29.5</v>
      </c>
      <c r="V7" s="15">
        <f>IF(Table1[[#This Row],[Team]]="David",Table1[[#This Row],[Improvement Vs. S&amp;P Return]],"")</f>
        <v>29.5</v>
      </c>
      <c r="W7" s="15" t="str">
        <f>IF(Table1[[#This Row],[Team]]="Tom",Table1[[#This Row],[Improvement Vs. S&amp;P Return]],"")</f>
        <v/>
      </c>
    </row>
    <row r="8" spans="1:25" ht="30" x14ac:dyDescent="0.2">
      <c r="A8" s="18">
        <v>38128</v>
      </c>
      <c r="B8" s="2" t="s">
        <v>291</v>
      </c>
      <c r="C8" s="2">
        <f>SUBTOTAL(103,Table1[[#This Row],[Recommendation Date]])</f>
        <v>1</v>
      </c>
      <c r="D8" s="2">
        <f>1</f>
        <v>1</v>
      </c>
      <c r="E8" s="16" t="s">
        <v>292</v>
      </c>
      <c r="F8" s="3" t="s">
        <v>169</v>
      </c>
      <c r="G8" s="3" t="s">
        <v>12</v>
      </c>
      <c r="H8" s="16">
        <v>7</v>
      </c>
      <c r="I8" s="4">
        <v>23.71</v>
      </c>
      <c r="J8" s="5">
        <v>63.436999999999998</v>
      </c>
      <c r="K8" s="48">
        <f>ROUND(LOG10(Table1[[#This Row],[Return (keep sorted by this column!)]]+1),2)</f>
        <v>1.81</v>
      </c>
      <c r="L8" s="48">
        <f>COUNTIF(Table1[Return (keep sorted by this column!)],"&lt;"&amp;Table1[[#This Row],[Return (keep sorted by this column!)]])</f>
        <v>427</v>
      </c>
      <c r="M8" s="14">
        <f>IF(Table1[[#This Row],[Team]]="David",Table1[[#This Row],[Return (keep sorted by this column!)]],"")</f>
        <v>63.436999999999998</v>
      </c>
      <c r="N8" s="14" t="str">
        <f>IF(Table1[[#This Row],[Team]]="Tom",Table1[[#This Row],[Return (keep sorted by this column!)]],"")</f>
        <v/>
      </c>
      <c r="O8" s="5">
        <v>2.4809999999999999</v>
      </c>
      <c r="P8" s="23">
        <f>IF(Table1[[#This Row],[Team]]="David",Table1[[#This Row],[S&amp;P Return, same period]],"")</f>
        <v>2.4809999999999999</v>
      </c>
      <c r="Q8" s="23" t="str">
        <f>IF(Table1[[#This Row],[Team]]="Tom",Table1[[#This Row],[S&amp;P Return, same period]],"")</f>
        <v/>
      </c>
      <c r="R8" s="5">
        <v>60.956000000000003</v>
      </c>
      <c r="S8" s="14">
        <f>IF(Table1[[#This Row],[Team]]="David",Table1[[#This Row],[Difference Vs. S&amp;P Return]],"")</f>
        <v>60.956000000000003</v>
      </c>
      <c r="T8" s="14" t="str">
        <f>IF(Table1[[#This Row],[Team]]="Tom",Table1[[#This Row],[Difference Vs. S&amp;P Return]],"")</f>
        <v/>
      </c>
      <c r="U8" s="14">
        <f>ROUND((1+Table1[[#This Row],[Return (keep sorted by this column!)]])/(1+Table1[[#This Row],[S&amp;P Return, same period]])-1,1)</f>
        <v>17.5</v>
      </c>
      <c r="V8" s="15">
        <f>IF(Table1[[#This Row],[Team]]="David",Table1[[#This Row],[Improvement Vs. S&amp;P Return]],"")</f>
        <v>17.5</v>
      </c>
      <c r="W8" s="15" t="str">
        <f>IF(Table1[[#This Row],[Team]]="Tom",Table1[[#This Row],[Improvement Vs. S&amp;P Return]],"")</f>
        <v/>
      </c>
    </row>
    <row r="9" spans="1:25" ht="45" x14ac:dyDescent="0.2">
      <c r="A9" s="1">
        <v>37414</v>
      </c>
      <c r="B9" s="2" t="s">
        <v>527</v>
      </c>
      <c r="C9" s="2">
        <f>SUBTOTAL(103,Table1[[#This Row],[Recommendation Date]])</f>
        <v>1</v>
      </c>
      <c r="D9" s="2">
        <f>1</f>
        <v>1</v>
      </c>
      <c r="E9" s="16" t="s">
        <v>528</v>
      </c>
      <c r="F9" s="3" t="s">
        <v>529</v>
      </c>
      <c r="G9" s="3" t="s">
        <v>12</v>
      </c>
      <c r="H9" s="16">
        <v>8</v>
      </c>
      <c r="I9" s="4">
        <v>1.81</v>
      </c>
      <c r="J9" s="5">
        <v>56.753</v>
      </c>
      <c r="K9" s="48">
        <f>ROUND(LOG10(Table1[[#This Row],[Return (keep sorted by this column!)]]+1),2)</f>
        <v>1.76</v>
      </c>
      <c r="L9" s="48">
        <f>COUNTIF(Table1[Return (keep sorted by this column!)],"&lt;"&amp;Table1[[#This Row],[Return (keep sorted by this column!)]])</f>
        <v>426</v>
      </c>
      <c r="M9" s="14">
        <f>IF(Table1[[#This Row],[Team]]="David",Table1[[#This Row],[Return (keep sorted by this column!)]],"")</f>
        <v>56.753</v>
      </c>
      <c r="N9" s="14" t="str">
        <f>IF(Table1[[#This Row],[Team]]="Tom",Table1[[#This Row],[Return (keep sorted by this column!)]],"")</f>
        <v/>
      </c>
      <c r="O9" s="5">
        <v>2.835</v>
      </c>
      <c r="P9" s="23">
        <f>IF(Table1[[#This Row],[Team]]="David",Table1[[#This Row],[S&amp;P Return, same period]],"")</f>
        <v>2.835</v>
      </c>
      <c r="Q9" s="23" t="str">
        <f>IF(Table1[[#This Row],[Team]]="Tom",Table1[[#This Row],[S&amp;P Return, same period]],"")</f>
        <v/>
      </c>
      <c r="R9" s="5">
        <v>53.917999999999999</v>
      </c>
      <c r="S9" s="14">
        <f>IF(Table1[[#This Row],[Team]]="David",Table1[[#This Row],[Difference Vs. S&amp;P Return]],"")</f>
        <v>53.917999999999999</v>
      </c>
      <c r="T9" s="14" t="str">
        <f>IF(Table1[[#This Row],[Team]]="Tom",Table1[[#This Row],[Difference Vs. S&amp;P Return]],"")</f>
        <v/>
      </c>
      <c r="U9" s="14">
        <f>ROUND((1+Table1[[#This Row],[Return (keep sorted by this column!)]])/(1+Table1[[#This Row],[S&amp;P Return, same period]])-1,1)</f>
        <v>14.1</v>
      </c>
      <c r="V9" s="15">
        <f>IF(Table1[[#This Row],[Team]]="David",Table1[[#This Row],[Improvement Vs. S&amp;P Return]],"")</f>
        <v>14.1</v>
      </c>
      <c r="W9" s="15" t="str">
        <f>IF(Table1[[#This Row],[Team]]="Tom",Table1[[#This Row],[Improvement Vs. S&amp;P Return]],"")</f>
        <v/>
      </c>
    </row>
    <row r="10" spans="1:25" ht="17" x14ac:dyDescent="0.2">
      <c r="A10" s="18">
        <v>38457</v>
      </c>
      <c r="B10" s="2" t="s">
        <v>176</v>
      </c>
      <c r="C10" s="2">
        <f>SUBTOTAL(103,Table1[[#This Row],[Recommendation Date]])</f>
        <v>1</v>
      </c>
      <c r="D10" s="2">
        <f>1</f>
        <v>1</v>
      </c>
      <c r="E10" s="16" t="s">
        <v>177</v>
      </c>
      <c r="F10" s="3" t="s">
        <v>178</v>
      </c>
      <c r="G10" s="3" t="s">
        <v>12</v>
      </c>
      <c r="H10" s="16">
        <v>5</v>
      </c>
      <c r="I10" s="4">
        <v>6.55</v>
      </c>
      <c r="J10" s="5">
        <v>36.47</v>
      </c>
      <c r="K10" s="48">
        <f>ROUND(LOG10(Table1[[#This Row],[Return (keep sorted by this column!)]]+1),2)</f>
        <v>1.57</v>
      </c>
      <c r="L10" s="48">
        <f>COUNTIF(Table1[Return (keep sorted by this column!)],"&lt;"&amp;Table1[[#This Row],[Return (keep sorted by this column!)]])</f>
        <v>425</v>
      </c>
      <c r="M10" s="14">
        <f>IF(Table1[[#This Row],[Team]]="David",Table1[[#This Row],[Return (keep sorted by this column!)]],"")</f>
        <v>36.47</v>
      </c>
      <c r="N10" s="14" t="str">
        <f>IF(Table1[[#This Row],[Team]]="Tom",Table1[[#This Row],[Return (keep sorted by this column!)]],"")</f>
        <v/>
      </c>
      <c r="O10" s="5">
        <v>2.2789999999999999</v>
      </c>
      <c r="P10" s="23">
        <f>IF(Table1[[#This Row],[Team]]="David",Table1[[#This Row],[S&amp;P Return, same period]],"")</f>
        <v>2.2789999999999999</v>
      </c>
      <c r="Q10" s="23" t="str">
        <f>IF(Table1[[#This Row],[Team]]="Tom",Table1[[#This Row],[S&amp;P Return, same period]],"")</f>
        <v/>
      </c>
      <c r="R10" s="5">
        <v>34.191000000000003</v>
      </c>
      <c r="S10" s="14">
        <f>IF(Table1[[#This Row],[Team]]="David",Table1[[#This Row],[Difference Vs. S&amp;P Return]],"")</f>
        <v>34.191000000000003</v>
      </c>
      <c r="T10" s="14" t="str">
        <f>IF(Table1[[#This Row],[Team]]="Tom",Table1[[#This Row],[Difference Vs. S&amp;P Return]],"")</f>
        <v/>
      </c>
      <c r="U10" s="14">
        <f>ROUND((1+Table1[[#This Row],[Return (keep sorted by this column!)]])/(1+Table1[[#This Row],[S&amp;P Return, same period]])-1,1)</f>
        <v>10.4</v>
      </c>
      <c r="V10" s="15">
        <f>IF(Table1[[#This Row],[Team]]="David",Table1[[#This Row],[Improvement Vs. S&amp;P Return]],"")</f>
        <v>10.4</v>
      </c>
      <c r="W10" s="15" t="str">
        <f>IF(Table1[[#This Row],[Team]]="Tom",Table1[[#This Row],[Improvement Vs. S&amp;P Return]],"")</f>
        <v/>
      </c>
    </row>
    <row r="11" spans="1:25" ht="45" x14ac:dyDescent="0.2">
      <c r="A11" s="1">
        <v>37568</v>
      </c>
      <c r="B11" s="2" t="s">
        <v>527</v>
      </c>
      <c r="C11" s="2">
        <f>SUBTOTAL(103,Table1[[#This Row],[Recommendation Date]])</f>
        <v>1</v>
      </c>
      <c r="D11" s="2">
        <f>1</f>
        <v>1</v>
      </c>
      <c r="E11" s="16" t="s">
        <v>528</v>
      </c>
      <c r="F11" s="3" t="s">
        <v>529</v>
      </c>
      <c r="G11" s="3" t="s">
        <v>12</v>
      </c>
      <c r="H11" s="16">
        <v>8</v>
      </c>
      <c r="I11" s="4">
        <v>2.9</v>
      </c>
      <c r="J11" s="5">
        <v>34.948999999999998</v>
      </c>
      <c r="K11" s="48">
        <f>ROUND(LOG10(Table1[[#This Row],[Return (keep sorted by this column!)]]+1),2)</f>
        <v>1.56</v>
      </c>
      <c r="L11" s="48">
        <f>COUNTIF(Table1[Return (keep sorted by this column!)],"&lt;"&amp;Table1[[#This Row],[Return (keep sorted by this column!)]])</f>
        <v>424</v>
      </c>
      <c r="M11" s="14">
        <f>IF(Table1[[#This Row],[Team]]="David",Table1[[#This Row],[Return (keep sorted by this column!)]],"")</f>
        <v>34.948999999999998</v>
      </c>
      <c r="N11" s="14" t="str">
        <f>IF(Table1[[#This Row],[Team]]="Tom",Table1[[#This Row],[Return (keep sorted by this column!)]],"")</f>
        <v/>
      </c>
      <c r="O11" s="5">
        <v>3.3719999999999999</v>
      </c>
      <c r="P11" s="23">
        <f>IF(Table1[[#This Row],[Team]]="David",Table1[[#This Row],[S&amp;P Return, same period]],"")</f>
        <v>3.3719999999999999</v>
      </c>
      <c r="Q11" s="23" t="str">
        <f>IF(Table1[[#This Row],[Team]]="Tom",Table1[[#This Row],[S&amp;P Return, same period]],"")</f>
        <v/>
      </c>
      <c r="R11" s="5">
        <v>31.577000000000002</v>
      </c>
      <c r="S11" s="14">
        <f>IF(Table1[[#This Row],[Team]]="David",Table1[[#This Row],[Difference Vs. S&amp;P Return]],"")</f>
        <v>31.577000000000002</v>
      </c>
      <c r="T11" s="14" t="str">
        <f>IF(Table1[[#This Row],[Team]]="Tom",Table1[[#This Row],[Difference Vs. S&amp;P Return]],"")</f>
        <v/>
      </c>
      <c r="U11" s="14">
        <f>ROUND((1+Table1[[#This Row],[Return (keep sorted by this column!)]])/(1+Table1[[#This Row],[S&amp;P Return, same period]])-1,1)</f>
        <v>7.2</v>
      </c>
      <c r="V11" s="15">
        <f>IF(Table1[[#This Row],[Team]]="David",Table1[[#This Row],[Improvement Vs. S&amp;P Return]],"")</f>
        <v>7.2</v>
      </c>
      <c r="W11" s="15" t="str">
        <f>IF(Table1[[#This Row],[Team]]="Tom",Table1[[#This Row],[Improvement Vs. S&amp;P Return]],"")</f>
        <v/>
      </c>
    </row>
    <row r="12" spans="1:25" ht="60" x14ac:dyDescent="0.2">
      <c r="A12" s="1">
        <v>37659</v>
      </c>
      <c r="B12" s="2" t="s">
        <v>719</v>
      </c>
      <c r="C12" s="2">
        <f>SUBTOTAL(103,Table1[[#This Row],[Recommendation Date]])</f>
        <v>1</v>
      </c>
      <c r="D12" s="2">
        <f>1</f>
        <v>1</v>
      </c>
      <c r="E12" s="16" t="s">
        <v>279</v>
      </c>
      <c r="F12" s="3" t="s">
        <v>280</v>
      </c>
      <c r="G12" s="3" t="s">
        <v>12</v>
      </c>
      <c r="H12" s="16">
        <v>7</v>
      </c>
      <c r="I12" s="4">
        <v>1.61</v>
      </c>
      <c r="J12" s="5">
        <v>34.591999999999999</v>
      </c>
      <c r="K12" s="48">
        <f>ROUND(LOG10(Table1[[#This Row],[Return (keep sorted by this column!)]]+1),2)</f>
        <v>1.55</v>
      </c>
      <c r="L12" s="48">
        <f>COUNTIF(Table1[Return (keep sorted by this column!)],"&lt;"&amp;Table1[[#This Row],[Return (keep sorted by this column!)]])</f>
        <v>423</v>
      </c>
      <c r="M12" s="14">
        <f>IF(Table1[[#This Row],[Team]]="David",Table1[[#This Row],[Return (keep sorted by this column!)]],"")</f>
        <v>34.591999999999999</v>
      </c>
      <c r="N12" s="14" t="str">
        <f>IF(Table1[[#This Row],[Team]]="Tom",Table1[[#This Row],[Return (keep sorted by this column!)]],"")</f>
        <v/>
      </c>
      <c r="O12" s="5">
        <v>3.6930000000000001</v>
      </c>
      <c r="P12" s="23">
        <f>IF(Table1[[#This Row],[Team]]="David",Table1[[#This Row],[S&amp;P Return, same period]],"")</f>
        <v>3.6930000000000001</v>
      </c>
      <c r="Q12" s="23" t="str">
        <f>IF(Table1[[#This Row],[Team]]="Tom",Table1[[#This Row],[S&amp;P Return, same period]],"")</f>
        <v/>
      </c>
      <c r="R12" s="5">
        <v>30.899000000000001</v>
      </c>
      <c r="S12" s="14">
        <f>IF(Table1[[#This Row],[Team]]="David",Table1[[#This Row],[Difference Vs. S&amp;P Return]],"")</f>
        <v>30.899000000000001</v>
      </c>
      <c r="T12" s="14" t="str">
        <f>IF(Table1[[#This Row],[Team]]="Tom",Table1[[#This Row],[Difference Vs. S&amp;P Return]],"")</f>
        <v/>
      </c>
      <c r="U12" s="14">
        <f>ROUND((1+Table1[[#This Row],[Return (keep sorted by this column!)]])/(1+Table1[[#This Row],[S&amp;P Return, same period]])-1,1)</f>
        <v>6.6</v>
      </c>
      <c r="V12" s="15">
        <f>IF(Table1[[#This Row],[Team]]="David",Table1[[#This Row],[Improvement Vs. S&amp;P Return]],"")</f>
        <v>6.6</v>
      </c>
      <c r="W12" s="15" t="str">
        <f>IF(Table1[[#This Row],[Team]]="Tom",Table1[[#This Row],[Improvement Vs. S&amp;P Return]],"")</f>
        <v/>
      </c>
    </row>
    <row r="13" spans="1:25" ht="60" x14ac:dyDescent="0.2">
      <c r="A13" s="1">
        <v>37603</v>
      </c>
      <c r="B13" s="2" t="s">
        <v>721</v>
      </c>
      <c r="C13" s="2">
        <f>SUBTOTAL(103,Table1[[#This Row],[Recommendation Date]])</f>
        <v>1</v>
      </c>
      <c r="D13" s="2">
        <f>1</f>
        <v>1</v>
      </c>
      <c r="E13" s="16" t="s">
        <v>681</v>
      </c>
      <c r="F13" s="3" t="s">
        <v>682</v>
      </c>
      <c r="G13" s="3" t="s">
        <v>8</v>
      </c>
      <c r="H13" s="17"/>
      <c r="I13" s="4">
        <v>12.52</v>
      </c>
      <c r="J13" s="5">
        <v>20.847999999999999</v>
      </c>
      <c r="K13" s="48">
        <f>ROUND(LOG10(Table1[[#This Row],[Return (keep sorted by this column!)]]+1),2)</f>
        <v>1.34</v>
      </c>
      <c r="L13" s="48">
        <f>COUNTIF(Table1[Return (keep sorted by this column!)],"&lt;"&amp;Table1[[#This Row],[Return (keep sorted by this column!)]])</f>
        <v>422</v>
      </c>
      <c r="M13" s="14" t="str">
        <f>IF(Table1[[#This Row],[Team]]="David",Table1[[#This Row],[Return (keep sorted by this column!)]],"")</f>
        <v/>
      </c>
      <c r="N13" s="14">
        <f>IF(Table1[[#This Row],[Team]]="Tom",Table1[[#This Row],[Return (keep sorted by this column!)]],"")</f>
        <v>20.847999999999999</v>
      </c>
      <c r="O13" s="5">
        <v>3.39</v>
      </c>
      <c r="P13" s="23" t="str">
        <f>IF(Table1[[#This Row],[Team]]="David",Table1[[#This Row],[S&amp;P Return, same period]],"")</f>
        <v/>
      </c>
      <c r="Q13" s="23">
        <f>IF(Table1[[#This Row],[Team]]="Tom",Table1[[#This Row],[S&amp;P Return, same period]],"")</f>
        <v>3.39</v>
      </c>
      <c r="R13" s="5">
        <v>17.457999999999998</v>
      </c>
      <c r="S13" s="14" t="str">
        <f>IF(Table1[[#This Row],[Team]]="David",Table1[[#This Row],[Difference Vs. S&amp;P Return]],"")</f>
        <v/>
      </c>
      <c r="T13" s="14">
        <f>IF(Table1[[#This Row],[Team]]="Tom",Table1[[#This Row],[Difference Vs. S&amp;P Return]],"")</f>
        <v>17.457999999999998</v>
      </c>
      <c r="U13" s="14">
        <f>ROUND((1+Table1[[#This Row],[Return (keep sorted by this column!)]])/(1+Table1[[#This Row],[S&amp;P Return, same period]])-1,1)</f>
        <v>4</v>
      </c>
      <c r="V13" s="15" t="str">
        <f>IF(Table1[[#This Row],[Team]]="David",Table1[[#This Row],[Improvement Vs. S&amp;P Return]],"")</f>
        <v/>
      </c>
      <c r="W13" s="15">
        <f>IF(Table1[[#This Row],[Team]]="Tom",Table1[[#This Row],[Improvement Vs. S&amp;P Return]],"")</f>
        <v>4</v>
      </c>
    </row>
    <row r="14" spans="1:25" ht="17" x14ac:dyDescent="0.2">
      <c r="A14" s="31">
        <v>41229</v>
      </c>
      <c r="B14" s="32" t="s">
        <v>19</v>
      </c>
      <c r="C14" s="32">
        <f>SUBTOTAL(103,Table1[[#This Row],[Recommendation Date]])</f>
        <v>1</v>
      </c>
      <c r="D14" s="32">
        <f>1</f>
        <v>1</v>
      </c>
      <c r="E14" s="33" t="s">
        <v>20</v>
      </c>
      <c r="F14" s="34" t="s">
        <v>21</v>
      </c>
      <c r="G14" s="34" t="s">
        <v>8</v>
      </c>
      <c r="H14" s="38"/>
      <c r="I14" s="36">
        <v>31.84</v>
      </c>
      <c r="J14" s="37">
        <v>18.096</v>
      </c>
      <c r="K14" s="49">
        <f>ROUND(LOG10(Table1[[#This Row],[Return (keep sorted by this column!)]]+1),2)</f>
        <v>1.28</v>
      </c>
      <c r="L14" s="49">
        <f>COUNTIF(Table1[Return (keep sorted by this column!)],"&lt;"&amp;Table1[[#This Row],[Return (keep sorted by this column!)]])</f>
        <v>421</v>
      </c>
      <c r="M14" s="76" t="str">
        <f>IF(Table1[[#This Row],[Team]]="David",Table1[[#This Row],[Return (keep sorted by this column!)]],"")</f>
        <v/>
      </c>
      <c r="N14" s="76">
        <f>IF(Table1[[#This Row],[Team]]="Tom",Table1[[#This Row],[Return (keep sorted by this column!)]],"")</f>
        <v>18.096</v>
      </c>
      <c r="O14" s="37">
        <v>1.3480000000000001</v>
      </c>
      <c r="P14" s="68" t="str">
        <f>IF(Table1[[#This Row],[Team]]="David",Table1[[#This Row],[S&amp;P Return, same period]],"")</f>
        <v/>
      </c>
      <c r="Q14" s="68">
        <f>IF(Table1[[#This Row],[Team]]="Tom",Table1[[#This Row],[S&amp;P Return, same period]],"")</f>
        <v>1.3480000000000001</v>
      </c>
      <c r="R14" s="37">
        <v>16.747</v>
      </c>
      <c r="S14" s="14" t="str">
        <f>IF(Table1[[#This Row],[Team]]="David",Table1[[#This Row],[Difference Vs. S&amp;P Return]],"")</f>
        <v/>
      </c>
      <c r="T14" s="14">
        <f>IF(Table1[[#This Row],[Team]]="Tom",Table1[[#This Row],[Difference Vs. S&amp;P Return]],"")</f>
        <v>16.747</v>
      </c>
      <c r="U14" s="14">
        <f>ROUND((1+Table1[[#This Row],[Return (keep sorted by this column!)]])/(1+Table1[[#This Row],[S&amp;P Return, same period]])-1,1)</f>
        <v>7.1</v>
      </c>
      <c r="V14" s="15" t="str">
        <f>IF(Table1[[#This Row],[Team]]="David",Table1[[#This Row],[Improvement Vs. S&amp;P Return]],"")</f>
        <v/>
      </c>
      <c r="W14" s="15">
        <f>IF(Table1[[#This Row],[Team]]="Tom",Table1[[#This Row],[Improvement Vs. S&amp;P Return]],"")</f>
        <v>7.1</v>
      </c>
    </row>
    <row r="15" spans="1:25" ht="60" x14ac:dyDescent="0.2">
      <c r="A15" s="1">
        <v>37477</v>
      </c>
      <c r="B15" s="2" t="s">
        <v>719</v>
      </c>
      <c r="C15" s="2">
        <f>SUBTOTAL(103,Table1[[#This Row],[Recommendation Date]])</f>
        <v>1</v>
      </c>
      <c r="D15" s="2">
        <f>1</f>
        <v>1</v>
      </c>
      <c r="E15" s="16" t="s">
        <v>279</v>
      </c>
      <c r="F15" s="3" t="s">
        <v>280</v>
      </c>
      <c r="G15" s="3" t="s">
        <v>12</v>
      </c>
      <c r="H15" s="16">
        <v>7</v>
      </c>
      <c r="I15" s="4">
        <v>3.14</v>
      </c>
      <c r="J15" s="5">
        <v>17.276</v>
      </c>
      <c r="K15" s="48">
        <f>ROUND(LOG10(Table1[[#This Row],[Return (keep sorted by this column!)]]+1),2)</f>
        <v>1.26</v>
      </c>
      <c r="L15" s="48">
        <f>COUNTIF(Table1[Return (keep sorted by this column!)],"&lt;"&amp;Table1[[#This Row],[Return (keep sorted by this column!)]])</f>
        <v>420</v>
      </c>
      <c r="M15" s="14">
        <f>IF(Table1[[#This Row],[Team]]="David",Table1[[#This Row],[Return (keep sorted by this column!)]],"")</f>
        <v>17.276</v>
      </c>
      <c r="N15" s="14" t="str">
        <f>IF(Table1[[#This Row],[Team]]="Tom",Table1[[#This Row],[Return (keep sorted by this column!)]],"")</f>
        <v/>
      </c>
      <c r="O15" s="5">
        <v>3.3250000000000002</v>
      </c>
      <c r="P15" s="23">
        <f>IF(Table1[[#This Row],[Team]]="David",Table1[[#This Row],[S&amp;P Return, same period]],"")</f>
        <v>3.3250000000000002</v>
      </c>
      <c r="Q15" s="23" t="str">
        <f>IF(Table1[[#This Row],[Team]]="Tom",Table1[[#This Row],[S&amp;P Return, same period]],"")</f>
        <v/>
      </c>
      <c r="R15" s="5">
        <v>13.951000000000001</v>
      </c>
      <c r="S15" s="14">
        <f>IF(Table1[[#This Row],[Team]]="David",Table1[[#This Row],[Difference Vs. S&amp;P Return]],"")</f>
        <v>13.951000000000001</v>
      </c>
      <c r="T15" s="14" t="str">
        <f>IF(Table1[[#This Row],[Team]]="Tom",Table1[[#This Row],[Difference Vs. S&amp;P Return]],"")</f>
        <v/>
      </c>
      <c r="U15" s="14">
        <f>ROUND((1+Table1[[#This Row],[Return (keep sorted by this column!)]])/(1+Table1[[#This Row],[S&amp;P Return, same period]])-1,1)</f>
        <v>3.2</v>
      </c>
      <c r="V15" s="15">
        <f>IF(Table1[[#This Row],[Team]]="David",Table1[[#This Row],[Improvement Vs. S&amp;P Return]],"")</f>
        <v>3.2</v>
      </c>
      <c r="W15" s="15" t="str">
        <f>IF(Table1[[#This Row],[Team]]="Tom",Table1[[#This Row],[Improvement Vs. S&amp;P Return]],"")</f>
        <v/>
      </c>
    </row>
    <row r="16" spans="1:25" ht="17" x14ac:dyDescent="0.2">
      <c r="A16" s="18">
        <v>40165</v>
      </c>
      <c r="B16" s="2" t="s">
        <v>176</v>
      </c>
      <c r="C16" s="2">
        <f>SUBTOTAL(103,Table1[[#This Row],[Recommendation Date]])</f>
        <v>1</v>
      </c>
      <c r="D16" s="2">
        <f>1</f>
        <v>1</v>
      </c>
      <c r="E16" s="16" t="s">
        <v>177</v>
      </c>
      <c r="F16" s="3" t="s">
        <v>178</v>
      </c>
      <c r="G16" s="3" t="s">
        <v>12</v>
      </c>
      <c r="H16" s="16">
        <v>5</v>
      </c>
      <c r="I16" s="4">
        <v>15.48</v>
      </c>
      <c r="J16" s="5">
        <v>14.853999999999999</v>
      </c>
      <c r="K16" s="48">
        <f>ROUND(LOG10(Table1[[#This Row],[Return (keep sorted by this column!)]]+1),2)</f>
        <v>1.2</v>
      </c>
      <c r="L16" s="48">
        <f>COUNTIF(Table1[Return (keep sorted by this column!)],"&lt;"&amp;Table1[[#This Row],[Return (keep sorted by this column!)]])</f>
        <v>419</v>
      </c>
      <c r="M16" s="14">
        <f>IF(Table1[[#This Row],[Team]]="David",Table1[[#This Row],[Return (keep sorted by this column!)]],"")</f>
        <v>14.853999999999999</v>
      </c>
      <c r="N16" s="14" t="str">
        <f>IF(Table1[[#This Row],[Team]]="Tom",Table1[[#This Row],[Return (keep sorted by this column!)]],"")</f>
        <v/>
      </c>
      <c r="O16" s="5">
        <v>2.08</v>
      </c>
      <c r="P16" s="23">
        <f>IF(Table1[[#This Row],[Team]]="David",Table1[[#This Row],[S&amp;P Return, same period]],"")</f>
        <v>2.08</v>
      </c>
      <c r="Q16" s="23" t="str">
        <f>IF(Table1[[#This Row],[Team]]="Tom",Table1[[#This Row],[S&amp;P Return, same period]],"")</f>
        <v/>
      </c>
      <c r="R16" s="5">
        <v>12.773999999999999</v>
      </c>
      <c r="S16" s="14">
        <f>IF(Table1[[#This Row],[Team]]="David",Table1[[#This Row],[Difference Vs. S&amp;P Return]],"")</f>
        <v>12.773999999999999</v>
      </c>
      <c r="T16" s="14" t="str">
        <f>IF(Table1[[#This Row],[Team]]="Tom",Table1[[#This Row],[Difference Vs. S&amp;P Return]],"")</f>
        <v/>
      </c>
      <c r="U16" s="14">
        <f>ROUND((1+Table1[[#This Row],[Return (keep sorted by this column!)]])/(1+Table1[[#This Row],[S&amp;P Return, same period]])-1,1)</f>
        <v>4.0999999999999996</v>
      </c>
      <c r="V16" s="15">
        <f>IF(Table1[[#This Row],[Team]]="David",Table1[[#This Row],[Improvement Vs. S&amp;P Return]],"")</f>
        <v>4.0999999999999996</v>
      </c>
      <c r="W16" s="15" t="str">
        <f>IF(Table1[[#This Row],[Team]]="Tom",Table1[[#This Row],[Improvement Vs. S&amp;P Return]],"")</f>
        <v/>
      </c>
      <c r="Y16" s="8">
        <f>SUBTOTAL(1,'Raw Data from MF (filter this!)'!$V$1:$V$435)</f>
        <v>1.2851851851851852</v>
      </c>
    </row>
    <row r="17" spans="1:25" ht="45" x14ac:dyDescent="0.2">
      <c r="A17" s="1">
        <v>38219</v>
      </c>
      <c r="B17" s="2" t="s">
        <v>527</v>
      </c>
      <c r="C17" s="2">
        <f>SUBTOTAL(103,Table1[[#This Row],[Recommendation Date]])</f>
        <v>1</v>
      </c>
      <c r="D17" s="2">
        <f>1</f>
        <v>1</v>
      </c>
      <c r="E17" s="16" t="s">
        <v>528</v>
      </c>
      <c r="F17" s="3" t="s">
        <v>529</v>
      </c>
      <c r="G17" s="3" t="s">
        <v>12</v>
      </c>
      <c r="H17" s="16">
        <v>8</v>
      </c>
      <c r="I17" s="4">
        <v>7.27</v>
      </c>
      <c r="J17" s="5">
        <v>13.349</v>
      </c>
      <c r="K17" s="48">
        <f>ROUND(LOG10(Table1[[#This Row],[Return (keep sorted by this column!)]]+1),2)</f>
        <v>1.1599999999999999</v>
      </c>
      <c r="L17" s="48">
        <f>COUNTIF(Table1[Return (keep sorted by this column!)],"&lt;"&amp;Table1[[#This Row],[Return (keep sorted by this column!)]])</f>
        <v>418</v>
      </c>
      <c r="M17" s="14">
        <f>IF(Table1[[#This Row],[Team]]="David",Table1[[#This Row],[Return (keep sorted by this column!)]],"")</f>
        <v>13.349</v>
      </c>
      <c r="N17" s="14" t="str">
        <f>IF(Table1[[#This Row],[Team]]="Tom",Table1[[#This Row],[Return (keep sorted by this column!)]],"")</f>
        <v/>
      </c>
      <c r="O17" s="5">
        <v>2.4510000000000001</v>
      </c>
      <c r="P17" s="23">
        <f>IF(Table1[[#This Row],[Team]]="David",Table1[[#This Row],[S&amp;P Return, same period]],"")</f>
        <v>2.4510000000000001</v>
      </c>
      <c r="Q17" s="23" t="str">
        <f>IF(Table1[[#This Row],[Team]]="Tom",Table1[[#This Row],[S&amp;P Return, same period]],"")</f>
        <v/>
      </c>
      <c r="R17" s="5">
        <v>10.898</v>
      </c>
      <c r="S17" s="14">
        <f>IF(Table1[[#This Row],[Team]]="David",Table1[[#This Row],[Difference Vs. S&amp;P Return]],"")</f>
        <v>10.898</v>
      </c>
      <c r="T17" s="14" t="str">
        <f>IF(Table1[[#This Row],[Team]]="Tom",Table1[[#This Row],[Difference Vs. S&amp;P Return]],"")</f>
        <v/>
      </c>
      <c r="U17" s="14">
        <f>ROUND((1+Table1[[#This Row],[Return (keep sorted by this column!)]])/(1+Table1[[#This Row],[S&amp;P Return, same period]])-1,1)</f>
        <v>3.2</v>
      </c>
      <c r="V17" s="15">
        <f>IF(Table1[[#This Row],[Team]]="David",Table1[[#This Row],[Improvement Vs. S&amp;P Return]],"")</f>
        <v>3.2</v>
      </c>
      <c r="W17" s="15" t="str">
        <f>IF(Table1[[#This Row],[Team]]="Tom",Table1[[#This Row],[Improvement Vs. S&amp;P Return]],"")</f>
        <v/>
      </c>
      <c r="Y17" s="8">
        <f>SUBTOTAL(1,'Raw Data from MF (filter this!)'!$W$1:$W$435)</f>
        <v>0.33990825688073412</v>
      </c>
    </row>
    <row r="18" spans="1:25" ht="17" x14ac:dyDescent="0.2">
      <c r="A18" s="18">
        <v>39801</v>
      </c>
      <c r="B18" s="2" t="s">
        <v>524</v>
      </c>
      <c r="C18" s="2">
        <f>SUBTOTAL(103,Table1[[#This Row],[Recommendation Date]])</f>
        <v>1</v>
      </c>
      <c r="D18" s="2">
        <f>1</f>
        <v>1</v>
      </c>
      <c r="E18" s="16" t="s">
        <v>525</v>
      </c>
      <c r="F18" s="3" t="s">
        <v>526</v>
      </c>
      <c r="G18" s="3" t="s">
        <v>8</v>
      </c>
      <c r="H18" s="17"/>
      <c r="I18" s="4">
        <v>18.579999999999998</v>
      </c>
      <c r="J18" s="5">
        <v>12.504</v>
      </c>
      <c r="K18" s="48">
        <f>ROUND(LOG10(Table1[[#This Row],[Return (keep sorted by this column!)]]+1),2)</f>
        <v>1.1299999999999999</v>
      </c>
      <c r="L18" s="48">
        <f>COUNTIF(Table1[Return (keep sorted by this column!)],"&lt;"&amp;Table1[[#This Row],[Return (keep sorted by this column!)]])</f>
        <v>417</v>
      </c>
      <c r="M18" s="14" t="str">
        <f>IF(Table1[[#This Row],[Team]]="David",Table1[[#This Row],[Return (keep sorted by this column!)]],"")</f>
        <v/>
      </c>
      <c r="N18" s="14">
        <f>IF(Table1[[#This Row],[Team]]="Tom",Table1[[#This Row],[Return (keep sorted by this column!)]],"")</f>
        <v>12.504</v>
      </c>
      <c r="O18" s="5">
        <v>2.92</v>
      </c>
      <c r="P18" s="23" t="str">
        <f>IF(Table1[[#This Row],[Team]]="David",Table1[[#This Row],[S&amp;P Return, same period]],"")</f>
        <v/>
      </c>
      <c r="Q18" s="23">
        <f>IF(Table1[[#This Row],[Team]]="Tom",Table1[[#This Row],[S&amp;P Return, same period]],"")</f>
        <v>2.92</v>
      </c>
      <c r="R18" s="5">
        <v>9.5839999999999996</v>
      </c>
      <c r="S18" s="14" t="str">
        <f>IF(Table1[[#This Row],[Team]]="David",Table1[[#This Row],[Difference Vs. S&amp;P Return]],"")</f>
        <v/>
      </c>
      <c r="T18" s="14">
        <f>IF(Table1[[#This Row],[Team]]="Tom",Table1[[#This Row],[Difference Vs. S&amp;P Return]],"")</f>
        <v>9.5839999999999996</v>
      </c>
      <c r="U18" s="14">
        <f>ROUND((1+Table1[[#This Row],[Return (keep sorted by this column!)]])/(1+Table1[[#This Row],[S&amp;P Return, same period]])-1,1)</f>
        <v>2.4</v>
      </c>
      <c r="V18" s="15" t="str">
        <f>IF(Table1[[#This Row],[Team]]="David",Table1[[#This Row],[Improvement Vs. S&amp;P Return]],"")</f>
        <v/>
      </c>
      <c r="W18" s="15">
        <f>IF(Table1[[#This Row],[Team]]="Tom",Table1[[#This Row],[Improvement Vs. S&amp;P Return]],"")</f>
        <v>2.4</v>
      </c>
    </row>
    <row r="19" spans="1:25" ht="17" x14ac:dyDescent="0.2">
      <c r="A19" s="18">
        <v>39465</v>
      </c>
      <c r="B19" s="2" t="s">
        <v>413</v>
      </c>
      <c r="C19" s="2">
        <f>SUBTOTAL(103,Table1[[#This Row],[Recommendation Date]])</f>
        <v>1</v>
      </c>
      <c r="D19" s="2">
        <f>1</f>
        <v>1</v>
      </c>
      <c r="E19" s="16" t="s">
        <v>414</v>
      </c>
      <c r="F19" s="3" t="s">
        <v>415</v>
      </c>
      <c r="G19" s="3" t="s">
        <v>12</v>
      </c>
      <c r="H19" s="16">
        <v>6</v>
      </c>
      <c r="I19" s="4">
        <v>20.010000000000002</v>
      </c>
      <c r="J19" s="5">
        <v>12.302</v>
      </c>
      <c r="K19" s="48">
        <f>ROUND(LOG10(Table1[[#This Row],[Return (keep sorted by this column!)]]+1),2)</f>
        <v>1.1200000000000001</v>
      </c>
      <c r="L19" s="48">
        <f>COUNTIF(Table1[Return (keep sorted by this column!)],"&lt;"&amp;Table1[[#This Row],[Return (keep sorted by this column!)]])</f>
        <v>416</v>
      </c>
      <c r="M19" s="14">
        <f>IF(Table1[[#This Row],[Team]]="David",Table1[[#This Row],[Return (keep sorted by this column!)]],"")</f>
        <v>12.302</v>
      </c>
      <c r="N19" s="14" t="str">
        <f>IF(Table1[[#This Row],[Team]]="Tom",Table1[[#This Row],[Return (keep sorted by this column!)]],"")</f>
        <v/>
      </c>
      <c r="O19" s="5">
        <v>1.6839999999999999</v>
      </c>
      <c r="P19" s="23">
        <f>IF(Table1[[#This Row],[Team]]="David",Table1[[#This Row],[S&amp;P Return, same period]],"")</f>
        <v>1.6839999999999999</v>
      </c>
      <c r="Q19" s="23" t="str">
        <f>IF(Table1[[#This Row],[Team]]="Tom",Table1[[#This Row],[S&amp;P Return, same period]],"")</f>
        <v/>
      </c>
      <c r="R19" s="5">
        <v>10.618</v>
      </c>
      <c r="S19" s="14">
        <f>IF(Table1[[#This Row],[Team]]="David",Table1[[#This Row],[Difference Vs. S&amp;P Return]],"")</f>
        <v>10.618</v>
      </c>
      <c r="T19" s="14" t="str">
        <f>IF(Table1[[#This Row],[Team]]="Tom",Table1[[#This Row],[Difference Vs. S&amp;P Return]],"")</f>
        <v/>
      </c>
      <c r="U19" s="14">
        <f>ROUND((1+Table1[[#This Row],[Return (keep sorted by this column!)]])/(1+Table1[[#This Row],[S&amp;P Return, same period]])-1,1)</f>
        <v>4</v>
      </c>
      <c r="V19" s="15">
        <f>IF(Table1[[#This Row],[Team]]="David",Table1[[#This Row],[Improvement Vs. S&amp;P Return]],"")</f>
        <v>4</v>
      </c>
      <c r="W19" s="15" t="str">
        <f>IF(Table1[[#This Row],[Team]]="Tom",Table1[[#This Row],[Improvement Vs. S&amp;P Return]],"")</f>
        <v/>
      </c>
    </row>
    <row r="20" spans="1:25" ht="17" x14ac:dyDescent="0.2">
      <c r="A20" s="18">
        <v>42566</v>
      </c>
      <c r="B20" s="2" t="s">
        <v>112</v>
      </c>
      <c r="C20" s="2">
        <f>SUBTOTAL(103,Table1[[#This Row],[Recommendation Date]])</f>
        <v>1</v>
      </c>
      <c r="D20" s="2">
        <f>1</f>
        <v>1</v>
      </c>
      <c r="E20" s="16" t="s">
        <v>113</v>
      </c>
      <c r="F20" s="3" t="s">
        <v>114</v>
      </c>
      <c r="G20" s="3" t="s">
        <v>8</v>
      </c>
      <c r="H20" s="17"/>
      <c r="I20" s="4">
        <v>32.32</v>
      </c>
      <c r="J20" s="5">
        <v>11.943</v>
      </c>
      <c r="K20" s="48">
        <f>ROUND(LOG10(Table1[[#This Row],[Return (keep sorted by this column!)]]+1),2)</f>
        <v>1.1100000000000001</v>
      </c>
      <c r="L20" s="48">
        <f>COUNTIF(Table1[Return (keep sorted by this column!)],"&lt;"&amp;Table1[[#This Row],[Return (keep sorted by this column!)]])</f>
        <v>415</v>
      </c>
      <c r="M20" s="76" t="str">
        <f>IF(Table1[[#This Row],[Team]]="David",Table1[[#This Row],[Return (keep sorted by this column!)]],"")</f>
        <v/>
      </c>
      <c r="N20" s="76">
        <f>IF(Table1[[#This Row],[Team]]="Tom",Table1[[#This Row],[Return (keep sorted by this column!)]],"")</f>
        <v>11.943</v>
      </c>
      <c r="O20" s="5">
        <v>0.36699999999999999</v>
      </c>
      <c r="P20" s="68" t="str">
        <f>IF(Table1[[#This Row],[Team]]="David",Table1[[#This Row],[S&amp;P Return, same period]],"")</f>
        <v/>
      </c>
      <c r="Q20" s="68">
        <f>IF(Table1[[#This Row],[Team]]="Tom",Table1[[#This Row],[S&amp;P Return, same period]],"")</f>
        <v>0.36699999999999999</v>
      </c>
      <c r="R20" s="5">
        <v>11.576000000000001</v>
      </c>
      <c r="S20" s="14" t="str">
        <f>IF(Table1[[#This Row],[Team]]="David",Table1[[#This Row],[Difference Vs. S&amp;P Return]],"")</f>
        <v/>
      </c>
      <c r="T20" s="14">
        <f>IF(Table1[[#This Row],[Team]]="Tom",Table1[[#This Row],[Difference Vs. S&amp;P Return]],"")</f>
        <v>11.576000000000001</v>
      </c>
      <c r="U20" s="14">
        <f>ROUND((1+Table1[[#This Row],[Return (keep sorted by this column!)]])/(1+Table1[[#This Row],[S&amp;P Return, same period]])-1,1)</f>
        <v>8.5</v>
      </c>
      <c r="V20" s="15" t="str">
        <f>IF(Table1[[#This Row],[Team]]="David",Table1[[#This Row],[Improvement Vs. S&amp;P Return]],"")</f>
        <v/>
      </c>
      <c r="W20" s="15">
        <f>IF(Table1[[#This Row],[Team]]="Tom",Table1[[#This Row],[Improvement Vs. S&amp;P Return]],"")</f>
        <v>8.5</v>
      </c>
    </row>
    <row r="21" spans="1:25" ht="17" x14ac:dyDescent="0.2">
      <c r="A21" s="18">
        <v>39619</v>
      </c>
      <c r="B21" s="2" t="s">
        <v>413</v>
      </c>
      <c r="C21" s="2">
        <f>SUBTOTAL(103,Table1[[#This Row],[Recommendation Date]])</f>
        <v>1</v>
      </c>
      <c r="D21" s="2">
        <f>1</f>
        <v>1</v>
      </c>
      <c r="E21" s="16" t="s">
        <v>414</v>
      </c>
      <c r="F21" s="3" t="s">
        <v>415</v>
      </c>
      <c r="G21" s="3" t="s">
        <v>12</v>
      </c>
      <c r="H21" s="16">
        <v>6</v>
      </c>
      <c r="I21" s="4">
        <v>21.73</v>
      </c>
      <c r="J21" s="5">
        <v>11.246</v>
      </c>
      <c r="K21" s="48">
        <f>ROUND(LOG10(Table1[[#This Row],[Return (keep sorted by this column!)]]+1),2)</f>
        <v>1.0900000000000001</v>
      </c>
      <c r="L21" s="48">
        <f>COUNTIF(Table1[Return (keep sorted by this column!)],"&lt;"&amp;Table1[[#This Row],[Return (keep sorted by this column!)]])</f>
        <v>414</v>
      </c>
      <c r="M21" s="14">
        <f>IF(Table1[[#This Row],[Team]]="David",Table1[[#This Row],[Return (keep sorted by this column!)]],"")</f>
        <v>11.246</v>
      </c>
      <c r="N21" s="14" t="str">
        <f>IF(Table1[[#This Row],[Team]]="Tom",Table1[[#This Row],[Return (keep sorted by this column!)]],"")</f>
        <v/>
      </c>
      <c r="O21" s="5">
        <v>1.6739999999999999</v>
      </c>
      <c r="P21" s="23">
        <f>IF(Table1[[#This Row],[Team]]="David",Table1[[#This Row],[S&amp;P Return, same period]],"")</f>
        <v>1.6739999999999999</v>
      </c>
      <c r="Q21" s="23" t="str">
        <f>IF(Table1[[#This Row],[Team]]="Tom",Table1[[#This Row],[S&amp;P Return, same period]],"")</f>
        <v/>
      </c>
      <c r="R21" s="5">
        <v>9.5719999999999992</v>
      </c>
      <c r="S21" s="14">
        <f>IF(Table1[[#This Row],[Team]]="David",Table1[[#This Row],[Difference Vs. S&amp;P Return]],"")</f>
        <v>9.5719999999999992</v>
      </c>
      <c r="T21" s="14" t="str">
        <f>IF(Table1[[#This Row],[Team]]="Tom",Table1[[#This Row],[Difference Vs. S&amp;P Return]],"")</f>
        <v/>
      </c>
      <c r="U21" s="14">
        <f>ROUND((1+Table1[[#This Row],[Return (keep sorted by this column!)]])/(1+Table1[[#This Row],[S&amp;P Return, same period]])-1,1)</f>
        <v>3.6</v>
      </c>
      <c r="V21" s="15">
        <f>IF(Table1[[#This Row],[Team]]="David",Table1[[#This Row],[Improvement Vs. S&amp;P Return]],"")</f>
        <v>3.6</v>
      </c>
      <c r="W21" s="15" t="str">
        <f>IF(Table1[[#This Row],[Team]]="Tom",Table1[[#This Row],[Improvement Vs. S&amp;P Return]],"")</f>
        <v/>
      </c>
    </row>
    <row r="22" spans="1:25" ht="30" x14ac:dyDescent="0.2">
      <c r="A22" s="18">
        <v>39527</v>
      </c>
      <c r="B22" s="2" t="s">
        <v>299</v>
      </c>
      <c r="C22" s="2">
        <f>SUBTOTAL(103,Table1[[#This Row],[Recommendation Date]])</f>
        <v>1</v>
      </c>
      <c r="D22" s="2">
        <f>1</f>
        <v>1</v>
      </c>
      <c r="E22" s="16" t="s">
        <v>300</v>
      </c>
      <c r="F22" s="3" t="s">
        <v>280</v>
      </c>
      <c r="G22" s="3" t="s">
        <v>8</v>
      </c>
      <c r="H22" s="17"/>
      <c r="I22" s="4">
        <v>45.44</v>
      </c>
      <c r="J22" s="5">
        <v>10.602</v>
      </c>
      <c r="K22" s="48">
        <f>ROUND(LOG10(Table1[[#This Row],[Return (keep sorted by this column!)]]+1),2)</f>
        <v>1.06</v>
      </c>
      <c r="L22" s="48">
        <f>COUNTIF(Table1[Return (keep sorted by this column!)],"&lt;"&amp;Table1[[#This Row],[Return (keep sorted by this column!)]])</f>
        <v>413</v>
      </c>
      <c r="M22" s="14" t="str">
        <f>IF(Table1[[#This Row],[Team]]="David",Table1[[#This Row],[Return (keep sorted by this column!)]],"")</f>
        <v/>
      </c>
      <c r="N22" s="14">
        <f>IF(Table1[[#This Row],[Team]]="Tom",Table1[[#This Row],[Return (keep sorted by this column!)]],"")</f>
        <v>10.602</v>
      </c>
      <c r="O22" s="5">
        <v>1.665</v>
      </c>
      <c r="P22" s="23" t="str">
        <f>IF(Table1[[#This Row],[Team]]="David",Table1[[#This Row],[S&amp;P Return, same period]],"")</f>
        <v/>
      </c>
      <c r="Q22" s="23">
        <f>IF(Table1[[#This Row],[Team]]="Tom",Table1[[#This Row],[S&amp;P Return, same period]],"")</f>
        <v>1.665</v>
      </c>
      <c r="R22" s="5">
        <v>8.9369999999999994</v>
      </c>
      <c r="S22" s="14" t="str">
        <f>IF(Table1[[#This Row],[Team]]="David",Table1[[#This Row],[Difference Vs. S&amp;P Return]],"")</f>
        <v/>
      </c>
      <c r="T22" s="14">
        <f>IF(Table1[[#This Row],[Team]]="Tom",Table1[[#This Row],[Difference Vs. S&amp;P Return]],"")</f>
        <v>8.9369999999999994</v>
      </c>
      <c r="U22" s="14">
        <f>ROUND((1+Table1[[#This Row],[Return (keep sorted by this column!)]])/(1+Table1[[#This Row],[S&amp;P Return, same period]])-1,1)</f>
        <v>3.4</v>
      </c>
      <c r="V22" s="15" t="str">
        <f>IF(Table1[[#This Row],[Team]]="David",Table1[[#This Row],[Improvement Vs. S&amp;P Return]],"")</f>
        <v/>
      </c>
      <c r="W22" s="15">
        <f>IF(Table1[[#This Row],[Team]]="Tom",Table1[[#This Row],[Improvement Vs. S&amp;P Return]],"")</f>
        <v>3.4</v>
      </c>
    </row>
    <row r="23" spans="1:25" ht="17" x14ac:dyDescent="0.2">
      <c r="A23" s="18">
        <v>41446</v>
      </c>
      <c r="B23" s="2" t="s">
        <v>28</v>
      </c>
      <c r="C23" s="2">
        <f>SUBTOTAL(103,Table1[[#This Row],[Recommendation Date]])</f>
        <v>1</v>
      </c>
      <c r="D23" s="2">
        <f>1</f>
        <v>1</v>
      </c>
      <c r="E23" s="16" t="s">
        <v>29</v>
      </c>
      <c r="F23" s="3" t="s">
        <v>30</v>
      </c>
      <c r="G23" s="3" t="s">
        <v>12</v>
      </c>
      <c r="H23" s="16">
        <v>12</v>
      </c>
      <c r="I23" s="4">
        <v>30.99</v>
      </c>
      <c r="J23" s="5">
        <v>10.182</v>
      </c>
      <c r="K23" s="48">
        <f>ROUND(LOG10(Table1[[#This Row],[Return (keep sorted by this column!)]]+1),2)</f>
        <v>1.05</v>
      </c>
      <c r="L23" s="48">
        <f>COUNTIF(Table1[Return (keep sorted by this column!)],"&lt;"&amp;Table1[[#This Row],[Return (keep sorted by this column!)]])</f>
        <v>412</v>
      </c>
      <c r="M23" s="76">
        <f>IF(Table1[[#This Row],[Team]]="David",Table1[[#This Row],[Return (keep sorted by this column!)]],"")</f>
        <v>10.182</v>
      </c>
      <c r="N23" s="76" t="str">
        <f>IF(Table1[[#This Row],[Team]]="Tom",Table1[[#This Row],[Return (keep sorted by this column!)]],"")</f>
        <v/>
      </c>
      <c r="O23" s="5">
        <v>0.97899999999999998</v>
      </c>
      <c r="P23" s="68">
        <f>IF(Table1[[#This Row],[Team]]="David",Table1[[#This Row],[S&amp;P Return, same period]],"")</f>
        <v>0.97899999999999998</v>
      </c>
      <c r="Q23" s="68" t="str">
        <f>IF(Table1[[#This Row],[Team]]="Tom",Table1[[#This Row],[S&amp;P Return, same period]],"")</f>
        <v/>
      </c>
      <c r="R23" s="5">
        <v>9.2029999999999994</v>
      </c>
      <c r="S23" s="14">
        <f>IF(Table1[[#This Row],[Team]]="David",Table1[[#This Row],[Difference Vs. S&amp;P Return]],"")</f>
        <v>9.2029999999999994</v>
      </c>
      <c r="T23" s="14" t="str">
        <f>IF(Table1[[#This Row],[Team]]="Tom",Table1[[#This Row],[Difference Vs. S&amp;P Return]],"")</f>
        <v/>
      </c>
      <c r="U23" s="14">
        <f>ROUND((1+Table1[[#This Row],[Return (keep sorted by this column!)]])/(1+Table1[[#This Row],[S&amp;P Return, same period]])-1,1)</f>
        <v>4.7</v>
      </c>
      <c r="V23" s="15">
        <f>IF(Table1[[#This Row],[Team]]="David",Table1[[#This Row],[Improvement Vs. S&amp;P Return]],"")</f>
        <v>4.7</v>
      </c>
      <c r="W23" s="15" t="str">
        <f>IF(Table1[[#This Row],[Team]]="Tom",Table1[[#This Row],[Improvement Vs. S&amp;P Return]],"")</f>
        <v/>
      </c>
    </row>
    <row r="24" spans="1:25" ht="45" x14ac:dyDescent="0.2">
      <c r="A24" s="1">
        <v>37687</v>
      </c>
      <c r="B24" s="2" t="s">
        <v>527</v>
      </c>
      <c r="C24" s="2">
        <f>SUBTOTAL(103,Table1[[#This Row],[Recommendation Date]])</f>
        <v>1</v>
      </c>
      <c r="D24" s="2">
        <f>1</f>
        <v>1</v>
      </c>
      <c r="E24" s="16" t="s">
        <v>528</v>
      </c>
      <c r="F24" s="3" t="s">
        <v>529</v>
      </c>
      <c r="G24" s="3" t="s">
        <v>12</v>
      </c>
      <c r="H24" s="16">
        <v>8</v>
      </c>
      <c r="I24" s="4">
        <v>9.42</v>
      </c>
      <c r="J24" s="5">
        <v>10.074999999999999</v>
      </c>
      <c r="K24" s="48">
        <f>ROUND(LOG10(Table1[[#This Row],[Return (keep sorted by this column!)]]+1),2)</f>
        <v>1.04</v>
      </c>
      <c r="L24" s="48">
        <f>COUNTIF(Table1[Return (keep sorted by this column!)],"&lt;"&amp;Table1[[#This Row],[Return (keep sorted by this column!)]])</f>
        <v>411</v>
      </c>
      <c r="M24" s="14">
        <f>IF(Table1[[#This Row],[Team]]="David",Table1[[#This Row],[Return (keep sorted by this column!)]],"")</f>
        <v>10.074999999999999</v>
      </c>
      <c r="N24" s="14" t="str">
        <f>IF(Table1[[#This Row],[Team]]="Tom",Table1[[#This Row],[Return (keep sorted by this column!)]],"")</f>
        <v/>
      </c>
      <c r="O24" s="5">
        <v>3.6890000000000001</v>
      </c>
      <c r="P24" s="23">
        <f>IF(Table1[[#This Row],[Team]]="David",Table1[[#This Row],[S&amp;P Return, same period]],"")</f>
        <v>3.6890000000000001</v>
      </c>
      <c r="Q24" s="23" t="str">
        <f>IF(Table1[[#This Row],[Team]]="Tom",Table1[[#This Row],[S&amp;P Return, same period]],"")</f>
        <v/>
      </c>
      <c r="R24" s="5">
        <v>6.3869999999999996</v>
      </c>
      <c r="S24" s="14">
        <f>IF(Table1[[#This Row],[Team]]="David",Table1[[#This Row],[Difference Vs. S&amp;P Return]],"")</f>
        <v>6.3869999999999996</v>
      </c>
      <c r="T24" s="14" t="str">
        <f>IF(Table1[[#This Row],[Team]]="Tom",Table1[[#This Row],[Difference Vs. S&amp;P Return]],"")</f>
        <v/>
      </c>
      <c r="U24" s="14">
        <f>ROUND((1+Table1[[#This Row],[Return (keep sorted by this column!)]])/(1+Table1[[#This Row],[S&amp;P Return, same period]])-1,1)</f>
        <v>1.4</v>
      </c>
      <c r="V24" s="15">
        <f>IF(Table1[[#This Row],[Team]]="David",Table1[[#This Row],[Improvement Vs. S&amp;P Return]],"")</f>
        <v>1.4</v>
      </c>
      <c r="W24" s="15" t="str">
        <f>IF(Table1[[#This Row],[Team]]="Tom",Table1[[#This Row],[Improvement Vs. S&amp;P Return]],"")</f>
        <v/>
      </c>
    </row>
    <row r="25" spans="1:25" ht="17" x14ac:dyDescent="0.2">
      <c r="A25" s="18">
        <v>40529</v>
      </c>
      <c r="B25" s="2" t="s">
        <v>90</v>
      </c>
      <c r="C25" s="2">
        <f>SUBTOTAL(103,Table1[[#This Row],[Recommendation Date]])</f>
        <v>1</v>
      </c>
      <c r="D25" s="2">
        <f>1</f>
        <v>1</v>
      </c>
      <c r="E25" s="16" t="s">
        <v>91</v>
      </c>
      <c r="F25" s="3" t="s">
        <v>92</v>
      </c>
      <c r="G25" s="3" t="s">
        <v>12</v>
      </c>
      <c r="H25" s="16">
        <v>9</v>
      </c>
      <c r="I25" s="4">
        <v>177.58</v>
      </c>
      <c r="J25" s="5">
        <v>9.14</v>
      </c>
      <c r="K25" s="48">
        <f>ROUND(LOG10(Table1[[#This Row],[Return (keep sorted by this column!)]]+1),2)</f>
        <v>1.01</v>
      </c>
      <c r="L25" s="48">
        <f>COUNTIF(Table1[Return (keep sorted by this column!)],"&lt;"&amp;Table1[[#This Row],[Return (keep sorted by this column!)]])</f>
        <v>410</v>
      </c>
      <c r="M25" s="76">
        <f>IF(Table1[[#This Row],[Team]]="David",Table1[[#This Row],[Return (keep sorted by this column!)]],"")</f>
        <v>9.14</v>
      </c>
      <c r="N25" s="76" t="str">
        <f>IF(Table1[[#This Row],[Team]]="Tom",Table1[[#This Row],[Return (keep sorted by this column!)]],"")</f>
        <v/>
      </c>
      <c r="O25" s="5">
        <v>1.6759999999999999</v>
      </c>
      <c r="P25" s="68">
        <f>IF(Table1[[#This Row],[Team]]="David",Table1[[#This Row],[S&amp;P Return, same period]],"")</f>
        <v>1.6759999999999999</v>
      </c>
      <c r="Q25" s="68" t="str">
        <f>IF(Table1[[#This Row],[Team]]="Tom",Table1[[#This Row],[S&amp;P Return, same period]],"")</f>
        <v/>
      </c>
      <c r="R25" s="5">
        <v>7.4640000000000004</v>
      </c>
      <c r="S25" s="14">
        <f>IF(Table1[[#This Row],[Team]]="David",Table1[[#This Row],[Difference Vs. S&amp;P Return]],"")</f>
        <v>7.4640000000000004</v>
      </c>
      <c r="T25" s="14" t="str">
        <f>IF(Table1[[#This Row],[Team]]="Tom",Table1[[#This Row],[Difference Vs. S&amp;P Return]],"")</f>
        <v/>
      </c>
      <c r="U25" s="14">
        <f>ROUND((1+Table1[[#This Row],[Return (keep sorted by this column!)]])/(1+Table1[[#This Row],[S&amp;P Return, same period]])-1,1)</f>
        <v>2.8</v>
      </c>
      <c r="V25" s="15">
        <f>IF(Table1[[#This Row],[Team]]="David",Table1[[#This Row],[Improvement Vs. S&amp;P Return]],"")</f>
        <v>2.8</v>
      </c>
      <c r="W25" s="15" t="str">
        <f>IF(Table1[[#This Row],[Team]]="Tom",Table1[[#This Row],[Improvement Vs. S&amp;P Return]],"")</f>
        <v/>
      </c>
    </row>
    <row r="26" spans="1:25" ht="30" x14ac:dyDescent="0.2">
      <c r="A26" s="18">
        <v>38128</v>
      </c>
      <c r="B26" s="2" t="s">
        <v>680</v>
      </c>
      <c r="C26" s="2">
        <f>SUBTOTAL(103,Table1[[#This Row],[Recommendation Date]])</f>
        <v>1</v>
      </c>
      <c r="D26" s="2">
        <f>1</f>
        <v>1</v>
      </c>
      <c r="E26" s="16" t="s">
        <v>681</v>
      </c>
      <c r="F26" s="3" t="s">
        <v>682</v>
      </c>
      <c r="G26" s="3" t="s">
        <v>8</v>
      </c>
      <c r="H26" s="17"/>
      <c r="I26" s="4">
        <v>27.09</v>
      </c>
      <c r="J26" s="5">
        <v>9.0960000000000001</v>
      </c>
      <c r="K26" s="48">
        <f>ROUND(LOG10(Table1[[#This Row],[Return (keep sorted by this column!)]]+1),2)</f>
        <v>1</v>
      </c>
      <c r="L26" s="48">
        <f>COUNTIF(Table1[Return (keep sorted by this column!)],"&lt;"&amp;Table1[[#This Row],[Return (keep sorted by this column!)]])</f>
        <v>409</v>
      </c>
      <c r="M26" s="14" t="str">
        <f>IF(Table1[[#This Row],[Team]]="David",Table1[[#This Row],[Return (keep sorted by this column!)]],"")</f>
        <v/>
      </c>
      <c r="N26" s="14">
        <f>IF(Table1[[#This Row],[Team]]="Tom",Table1[[#This Row],[Return (keep sorted by this column!)]],"")</f>
        <v>9.0960000000000001</v>
      </c>
      <c r="O26" s="5">
        <v>2.4809999999999999</v>
      </c>
      <c r="P26" s="23" t="str">
        <f>IF(Table1[[#This Row],[Team]]="David",Table1[[#This Row],[S&amp;P Return, same period]],"")</f>
        <v/>
      </c>
      <c r="Q26" s="23">
        <f>IF(Table1[[#This Row],[Team]]="Tom",Table1[[#This Row],[S&amp;P Return, same period]],"")</f>
        <v>2.4809999999999999</v>
      </c>
      <c r="R26" s="5">
        <v>6.6150000000000002</v>
      </c>
      <c r="S26" s="14" t="str">
        <f>IF(Table1[[#This Row],[Team]]="David",Table1[[#This Row],[Difference Vs. S&amp;P Return]],"")</f>
        <v/>
      </c>
      <c r="T26" s="14">
        <f>IF(Table1[[#This Row],[Team]]="Tom",Table1[[#This Row],[Difference Vs. S&amp;P Return]],"")</f>
        <v>6.6150000000000002</v>
      </c>
      <c r="U26" s="14">
        <f>ROUND((1+Table1[[#This Row],[Return (keep sorted by this column!)]])/(1+Table1[[#This Row],[S&amp;P Return, same period]])-1,1)</f>
        <v>1.9</v>
      </c>
      <c r="V26" s="15" t="str">
        <f>IF(Table1[[#This Row],[Team]]="David",Table1[[#This Row],[Improvement Vs. S&amp;P Return]],"")</f>
        <v/>
      </c>
      <c r="W26" s="15">
        <f>IF(Table1[[#This Row],[Team]]="Tom",Table1[[#This Row],[Improvement Vs. S&amp;P Return]],"")</f>
        <v>1.9</v>
      </c>
    </row>
    <row r="27" spans="1:25" ht="30" x14ac:dyDescent="0.2">
      <c r="A27" s="18">
        <v>37358</v>
      </c>
      <c r="B27" s="2" t="s">
        <v>738</v>
      </c>
      <c r="C27" s="2">
        <f>SUBTOTAL(103,Table1[[#This Row],[Recommendation Date]])</f>
        <v>1</v>
      </c>
      <c r="D27" s="2">
        <f>1</f>
        <v>1</v>
      </c>
      <c r="E27" s="16" t="s">
        <v>739</v>
      </c>
      <c r="F27" s="3" t="s">
        <v>740</v>
      </c>
      <c r="G27" s="3" t="s">
        <v>8</v>
      </c>
      <c r="H27" s="17"/>
      <c r="I27" s="4">
        <v>30.52</v>
      </c>
      <c r="J27" s="5">
        <v>8.8960000000000008</v>
      </c>
      <c r="K27" s="48">
        <f>ROUND(LOG10(Table1[[#This Row],[Return (keep sorted by this column!)]]+1),2)</f>
        <v>1</v>
      </c>
      <c r="L27" s="48">
        <f>COUNTIF(Table1[Return (keep sorted by this column!)],"&lt;"&amp;Table1[[#This Row],[Return (keep sorted by this column!)]])</f>
        <v>408</v>
      </c>
      <c r="M27" s="14" t="str">
        <f>IF(Table1[[#This Row],[Team]]="David",Table1[[#This Row],[Return (keep sorted by this column!)]],"")</f>
        <v/>
      </c>
      <c r="N27" s="14">
        <f>IF(Table1[[#This Row],[Team]]="Tom",Table1[[#This Row],[Return (keep sorted by this column!)]],"")</f>
        <v>8.8960000000000008</v>
      </c>
      <c r="O27" s="5">
        <v>2.5550000000000002</v>
      </c>
      <c r="P27" s="23" t="str">
        <f>IF(Table1[[#This Row],[Team]]="David",Table1[[#This Row],[S&amp;P Return, same period]],"")</f>
        <v/>
      </c>
      <c r="Q27" s="23">
        <f>IF(Table1[[#This Row],[Team]]="Tom",Table1[[#This Row],[S&amp;P Return, same period]],"")</f>
        <v>2.5550000000000002</v>
      </c>
      <c r="R27" s="5">
        <v>6.34</v>
      </c>
      <c r="S27" s="14" t="str">
        <f>IF(Table1[[#This Row],[Team]]="David",Table1[[#This Row],[Difference Vs. S&amp;P Return]],"")</f>
        <v/>
      </c>
      <c r="T27" s="14">
        <f>IF(Table1[[#This Row],[Team]]="Tom",Table1[[#This Row],[Difference Vs. S&amp;P Return]],"")</f>
        <v>6.34</v>
      </c>
      <c r="U27" s="14">
        <f>ROUND((1+Table1[[#This Row],[Return (keep sorted by this column!)]])/(1+Table1[[#This Row],[S&amp;P Return, same period]])-1,1)</f>
        <v>1.8</v>
      </c>
      <c r="V27" s="15" t="str">
        <f>IF(Table1[[#This Row],[Team]]="David",Table1[[#This Row],[Improvement Vs. S&amp;P Return]],"")</f>
        <v/>
      </c>
      <c r="W27" s="15">
        <f>IF(Table1[[#This Row],[Team]]="Tom",Table1[[#This Row],[Improvement Vs. S&amp;P Return]],"")</f>
        <v>1.8</v>
      </c>
    </row>
    <row r="28" spans="1:25" ht="30" x14ac:dyDescent="0.2">
      <c r="A28" s="18">
        <v>40046</v>
      </c>
      <c r="B28" s="2" t="s">
        <v>496</v>
      </c>
      <c r="C28" s="2">
        <f>SUBTOTAL(103,Table1[[#This Row],[Recommendation Date]])</f>
        <v>1</v>
      </c>
      <c r="D28" s="2">
        <f>1</f>
        <v>1</v>
      </c>
      <c r="E28" s="16" t="s">
        <v>497</v>
      </c>
      <c r="F28" s="3" t="s">
        <v>498</v>
      </c>
      <c r="G28" s="3" t="s">
        <v>12</v>
      </c>
      <c r="H28" s="16">
        <v>8</v>
      </c>
      <c r="I28" s="4">
        <v>32.840000000000003</v>
      </c>
      <c r="J28" s="5">
        <v>8.3119999999999994</v>
      </c>
      <c r="K28" s="48">
        <f>ROUND(LOG10(Table1[[#This Row],[Return (keep sorted by this column!)]]+1),2)</f>
        <v>0.97</v>
      </c>
      <c r="L28" s="48">
        <f>COUNTIF(Table1[Return (keep sorted by this column!)],"&lt;"&amp;Table1[[#This Row],[Return (keep sorted by this column!)]])</f>
        <v>407</v>
      </c>
      <c r="M28" s="14">
        <f>IF(Table1[[#This Row],[Team]]="David",Table1[[#This Row],[Return (keep sorted by this column!)]],"")</f>
        <v>8.3119999999999994</v>
      </c>
      <c r="N28" s="14" t="str">
        <f>IF(Table1[[#This Row],[Team]]="Tom",Table1[[#This Row],[Return (keep sorted by this column!)]],"")</f>
        <v/>
      </c>
      <c r="O28" s="5">
        <v>2.331</v>
      </c>
      <c r="P28" s="23">
        <f>IF(Table1[[#This Row],[Team]]="David",Table1[[#This Row],[S&amp;P Return, same period]],"")</f>
        <v>2.331</v>
      </c>
      <c r="Q28" s="23" t="str">
        <f>IF(Table1[[#This Row],[Team]]="Tom",Table1[[#This Row],[S&amp;P Return, same period]],"")</f>
        <v/>
      </c>
      <c r="R28" s="5">
        <v>5.9809999999999999</v>
      </c>
      <c r="S28" s="14">
        <f>IF(Table1[[#This Row],[Team]]="David",Table1[[#This Row],[Difference Vs. S&amp;P Return]],"")</f>
        <v>5.9809999999999999</v>
      </c>
      <c r="T28" s="14" t="str">
        <f>IF(Table1[[#This Row],[Team]]="Tom",Table1[[#This Row],[Difference Vs. S&amp;P Return]],"")</f>
        <v/>
      </c>
      <c r="U28" s="14">
        <f>ROUND((1+Table1[[#This Row],[Return (keep sorted by this column!)]])/(1+Table1[[#This Row],[S&amp;P Return, same period]])-1,1)</f>
        <v>1.8</v>
      </c>
      <c r="V28" s="15">
        <f>IF(Table1[[#This Row],[Team]]="David",Table1[[#This Row],[Improvement Vs. S&amp;P Return]],"")</f>
        <v>1.8</v>
      </c>
      <c r="W28" s="15" t="str">
        <f>IF(Table1[[#This Row],[Team]]="Tom",Table1[[#This Row],[Improvement Vs. S&amp;P Return]],"")</f>
        <v/>
      </c>
    </row>
    <row r="29" spans="1:25" ht="45" x14ac:dyDescent="0.2">
      <c r="A29" s="1">
        <v>37813</v>
      </c>
      <c r="B29" s="2" t="s">
        <v>527</v>
      </c>
      <c r="C29" s="2">
        <f>SUBTOTAL(103,Table1[[#This Row],[Recommendation Date]])</f>
        <v>1</v>
      </c>
      <c r="D29" s="2">
        <f>1</f>
        <v>1</v>
      </c>
      <c r="E29" s="16" t="s">
        <v>528</v>
      </c>
      <c r="F29" s="3" t="s">
        <v>529</v>
      </c>
      <c r="G29" s="3" t="s">
        <v>12</v>
      </c>
      <c r="H29" s="16">
        <v>8</v>
      </c>
      <c r="I29" s="4">
        <v>12.03</v>
      </c>
      <c r="J29" s="5">
        <v>7.6760000000000002</v>
      </c>
      <c r="K29" s="48">
        <f>ROUND(LOG10(Table1[[#This Row],[Return (keep sorted by this column!)]]+1),2)</f>
        <v>0.94</v>
      </c>
      <c r="L29" s="48">
        <f>COUNTIF(Table1[Return (keep sorted by this column!)],"&lt;"&amp;Table1[[#This Row],[Return (keep sorted by this column!)]])</f>
        <v>406</v>
      </c>
      <c r="M29" s="14">
        <f>IF(Table1[[#This Row],[Team]]="David",Table1[[#This Row],[Return (keep sorted by this column!)]],"")</f>
        <v>7.6760000000000002</v>
      </c>
      <c r="N29" s="14" t="str">
        <f>IF(Table1[[#This Row],[Team]]="Tom",Table1[[#This Row],[Return (keep sorted by this column!)]],"")</f>
        <v/>
      </c>
      <c r="O29" s="5">
        <v>2.87</v>
      </c>
      <c r="P29" s="23">
        <f>IF(Table1[[#This Row],[Team]]="David",Table1[[#This Row],[S&amp;P Return, same period]],"")</f>
        <v>2.87</v>
      </c>
      <c r="Q29" s="23" t="str">
        <f>IF(Table1[[#This Row],[Team]]="Tom",Table1[[#This Row],[S&amp;P Return, same period]],"")</f>
        <v/>
      </c>
      <c r="R29" s="5">
        <v>4.8049999999999997</v>
      </c>
      <c r="S29" s="14">
        <f>IF(Table1[[#This Row],[Team]]="David",Table1[[#This Row],[Difference Vs. S&amp;P Return]],"")</f>
        <v>4.8049999999999997</v>
      </c>
      <c r="T29" s="14" t="str">
        <f>IF(Table1[[#This Row],[Team]]="Tom",Table1[[#This Row],[Difference Vs. S&amp;P Return]],"")</f>
        <v/>
      </c>
      <c r="U29" s="14">
        <f>ROUND((1+Table1[[#This Row],[Return (keep sorted by this column!)]])/(1+Table1[[#This Row],[S&amp;P Return, same period]])-1,1)</f>
        <v>1.2</v>
      </c>
      <c r="V29" s="15">
        <f>IF(Table1[[#This Row],[Team]]="David",Table1[[#This Row],[Improvement Vs. S&amp;P Return]],"")</f>
        <v>1.2</v>
      </c>
      <c r="W29" s="15" t="str">
        <f>IF(Table1[[#This Row],[Team]]="Tom",Table1[[#This Row],[Improvement Vs. S&amp;P Return]],"")</f>
        <v/>
      </c>
    </row>
    <row r="30" spans="1:25" ht="60" x14ac:dyDescent="0.2">
      <c r="A30" s="1">
        <v>37687</v>
      </c>
      <c r="B30" s="2" t="s">
        <v>718</v>
      </c>
      <c r="C30" s="2">
        <f>SUBTOTAL(103,Table1[[#This Row],[Recommendation Date]])</f>
        <v>1</v>
      </c>
      <c r="D30" s="2">
        <f>1</f>
        <v>1</v>
      </c>
      <c r="E30" s="16" t="s">
        <v>637</v>
      </c>
      <c r="F30" s="3" t="s">
        <v>638</v>
      </c>
      <c r="G30" s="3" t="s">
        <v>8</v>
      </c>
      <c r="H30" s="17"/>
      <c r="I30" s="4">
        <v>1.97</v>
      </c>
      <c r="J30" s="5">
        <v>7.5179999999999998</v>
      </c>
      <c r="K30" s="48">
        <f>ROUND(LOG10(Table1[[#This Row],[Return (keep sorted by this column!)]]+1),2)</f>
        <v>0.93</v>
      </c>
      <c r="L30" s="48">
        <f>COUNTIF(Table1[Return (keep sorted by this column!)],"&lt;"&amp;Table1[[#This Row],[Return (keep sorted by this column!)]])</f>
        <v>405</v>
      </c>
      <c r="M30" s="14" t="str">
        <f>IF(Table1[[#This Row],[Team]]="David",Table1[[#This Row],[Return (keep sorted by this column!)]],"")</f>
        <v/>
      </c>
      <c r="N30" s="14">
        <f>IF(Table1[[#This Row],[Team]]="Tom",Table1[[#This Row],[Return (keep sorted by this column!)]],"")</f>
        <v>7.5179999999999998</v>
      </c>
      <c r="O30" s="5">
        <v>2.2589999999999999</v>
      </c>
      <c r="P30" s="23" t="str">
        <f>IF(Table1[[#This Row],[Team]]="David",Table1[[#This Row],[S&amp;P Return, same period]],"")</f>
        <v/>
      </c>
      <c r="Q30" s="23">
        <f>IF(Table1[[#This Row],[Team]]="Tom",Table1[[#This Row],[S&amp;P Return, same period]],"")</f>
        <v>2.2589999999999999</v>
      </c>
      <c r="R30" s="5">
        <v>5.26</v>
      </c>
      <c r="S30" s="14" t="str">
        <f>IF(Table1[[#This Row],[Team]]="David",Table1[[#This Row],[Difference Vs. S&amp;P Return]],"")</f>
        <v/>
      </c>
      <c r="T30" s="14">
        <f>IF(Table1[[#This Row],[Team]]="Tom",Table1[[#This Row],[Difference Vs. S&amp;P Return]],"")</f>
        <v>5.26</v>
      </c>
      <c r="U30" s="14">
        <f>ROUND((1+Table1[[#This Row],[Return (keep sorted by this column!)]])/(1+Table1[[#This Row],[S&amp;P Return, same period]])-1,1)</f>
        <v>1.6</v>
      </c>
      <c r="V30" s="15" t="str">
        <f>IF(Table1[[#This Row],[Team]]="David",Table1[[#This Row],[Improvement Vs. S&amp;P Return]],"")</f>
        <v/>
      </c>
      <c r="W30" s="15">
        <f>IF(Table1[[#This Row],[Team]]="Tom",Table1[[#This Row],[Improvement Vs. S&amp;P Return]],"")</f>
        <v>1.6</v>
      </c>
    </row>
    <row r="31" spans="1:25" ht="75" x14ac:dyDescent="0.2">
      <c r="A31" s="1">
        <v>37386</v>
      </c>
      <c r="B31" s="2" t="s">
        <v>736</v>
      </c>
      <c r="C31" s="2">
        <f>SUBTOTAL(103,Table1[[#This Row],[Recommendation Date]])</f>
        <v>1</v>
      </c>
      <c r="D31" s="2">
        <f>1</f>
        <v>1</v>
      </c>
      <c r="E31" s="3" t="s">
        <v>737</v>
      </c>
      <c r="F31" s="3" t="s">
        <v>267</v>
      </c>
      <c r="G31" s="3" t="s">
        <v>12</v>
      </c>
      <c r="H31" s="16">
        <v>7</v>
      </c>
      <c r="I31" s="3" t="s">
        <v>268</v>
      </c>
      <c r="J31" s="5">
        <v>6.97</v>
      </c>
      <c r="K31" s="48">
        <f>ROUND(LOG10(Table1[[#This Row],[Return (keep sorted by this column!)]]+1),2)</f>
        <v>0.9</v>
      </c>
      <c r="L31" s="48">
        <f>COUNTIF(Table1[Return (keep sorted by this column!)],"&lt;"&amp;Table1[[#This Row],[Return (keep sorted by this column!)]])</f>
        <v>404</v>
      </c>
      <c r="M31" s="14">
        <f>IF(Table1[[#This Row],[Team]]="David",Table1[[#This Row],[Return (keep sorted by this column!)]],"")</f>
        <v>6.97</v>
      </c>
      <c r="N31" s="14" t="str">
        <f>IF(Table1[[#This Row],[Team]]="Tom",Table1[[#This Row],[Return (keep sorted by this column!)]],"")</f>
        <v/>
      </c>
      <c r="O31" s="5">
        <v>2.7410000000000001</v>
      </c>
      <c r="P31" s="23">
        <f>IF(Table1[[#This Row],[Team]]="David",Table1[[#This Row],[S&amp;P Return, same period]],"")</f>
        <v>2.7410000000000001</v>
      </c>
      <c r="Q31" s="23" t="str">
        <f>IF(Table1[[#This Row],[Team]]="Tom",Table1[[#This Row],[S&amp;P Return, same period]],"")</f>
        <v/>
      </c>
      <c r="R31" s="5">
        <v>4.2300000000000004</v>
      </c>
      <c r="S31" s="14">
        <f>IF(Table1[[#This Row],[Team]]="David",Table1[[#This Row],[Difference Vs. S&amp;P Return]],"")</f>
        <v>4.2300000000000004</v>
      </c>
      <c r="T31" s="14" t="str">
        <f>IF(Table1[[#This Row],[Team]]="Tom",Table1[[#This Row],[Difference Vs. S&amp;P Return]],"")</f>
        <v/>
      </c>
      <c r="U31" s="14">
        <f>ROUND((1+Table1[[#This Row],[Return (keep sorted by this column!)]])/(1+Table1[[#This Row],[S&amp;P Return, same period]])-1,1)</f>
        <v>1.1000000000000001</v>
      </c>
      <c r="V31" s="15">
        <f>IF(Table1[[#This Row],[Team]]="David",Table1[[#This Row],[Improvement Vs. S&amp;P Return]],"")</f>
        <v>1.1000000000000001</v>
      </c>
      <c r="W31" s="15" t="str">
        <f>IF(Table1[[#This Row],[Team]]="Tom",Table1[[#This Row],[Improvement Vs. S&amp;P Return]],"")</f>
        <v/>
      </c>
    </row>
    <row r="32" spans="1:25" ht="30" x14ac:dyDescent="0.2">
      <c r="A32" s="18">
        <v>40347</v>
      </c>
      <c r="B32" s="2" t="s">
        <v>291</v>
      </c>
      <c r="C32" s="2">
        <f>SUBTOTAL(103,Table1[[#This Row],[Recommendation Date]])</f>
        <v>1</v>
      </c>
      <c r="D32" s="2">
        <f>1</f>
        <v>1</v>
      </c>
      <c r="E32" s="16" t="s">
        <v>292</v>
      </c>
      <c r="F32" s="3" t="s">
        <v>169</v>
      </c>
      <c r="G32" s="3" t="s">
        <v>12</v>
      </c>
      <c r="H32" s="16">
        <v>7</v>
      </c>
      <c r="I32" s="4">
        <v>193.09</v>
      </c>
      <c r="J32" s="5">
        <v>6.9119999999999999</v>
      </c>
      <c r="K32" s="48">
        <f>ROUND(LOG10(Table1[[#This Row],[Return (keep sorted by this column!)]]+1),2)</f>
        <v>0.9</v>
      </c>
      <c r="L32" s="48">
        <f>COUNTIF(Table1[Return (keep sorted by this column!)],"&lt;"&amp;Table1[[#This Row],[Return (keep sorted by this column!)]])</f>
        <v>403</v>
      </c>
      <c r="M32" s="76">
        <f>IF(Table1[[#This Row],[Team]]="David",Table1[[#This Row],[Return (keep sorted by this column!)]],"")</f>
        <v>6.9119999999999999</v>
      </c>
      <c r="N32" s="76" t="str">
        <f>IF(Table1[[#This Row],[Team]]="Tom",Table1[[#This Row],[Return (keep sorted by this column!)]],"")</f>
        <v/>
      </c>
      <c r="O32" s="5">
        <v>2.008</v>
      </c>
      <c r="P32" s="68">
        <f>IF(Table1[[#This Row],[Team]]="David",Table1[[#This Row],[S&amp;P Return, same period]],"")</f>
        <v>2.008</v>
      </c>
      <c r="Q32" s="68" t="str">
        <f>IF(Table1[[#This Row],[Team]]="Tom",Table1[[#This Row],[S&amp;P Return, same period]],"")</f>
        <v/>
      </c>
      <c r="R32" s="5">
        <v>4.9039999999999999</v>
      </c>
      <c r="S32" s="14">
        <f>IF(Table1[[#This Row],[Team]]="David",Table1[[#This Row],[Difference Vs. S&amp;P Return]],"")</f>
        <v>4.9039999999999999</v>
      </c>
      <c r="T32" s="14" t="str">
        <f>IF(Table1[[#This Row],[Team]]="Tom",Table1[[#This Row],[Difference Vs. S&amp;P Return]],"")</f>
        <v/>
      </c>
      <c r="U32" s="14">
        <f>ROUND((1+Table1[[#This Row],[Return (keep sorted by this column!)]])/(1+Table1[[#This Row],[S&amp;P Return, same period]])-1,1)</f>
        <v>1.6</v>
      </c>
      <c r="V32" s="15">
        <f>IF(Table1[[#This Row],[Team]]="David",Table1[[#This Row],[Improvement Vs. S&amp;P Return]],"")</f>
        <v>1.6</v>
      </c>
      <c r="W32" s="15" t="str">
        <f>IF(Table1[[#This Row],[Team]]="Tom",Table1[[#This Row],[Improvement Vs. S&amp;P Return]],"")</f>
        <v/>
      </c>
    </row>
    <row r="33" spans="1:23" ht="60" x14ac:dyDescent="0.2">
      <c r="A33" s="1">
        <v>37659</v>
      </c>
      <c r="B33" s="2" t="s">
        <v>720</v>
      </c>
      <c r="C33" s="2">
        <f>SUBTOTAL(103,Table1[[#This Row],[Recommendation Date]])</f>
        <v>1</v>
      </c>
      <c r="D33" s="2">
        <f>1</f>
        <v>1</v>
      </c>
      <c r="E33" s="16" t="s">
        <v>637</v>
      </c>
      <c r="F33" s="3" t="s">
        <v>638</v>
      </c>
      <c r="G33" s="3" t="s">
        <v>8</v>
      </c>
      <c r="H33" s="17"/>
      <c r="I33" s="4">
        <v>2.4300000000000002</v>
      </c>
      <c r="J33" s="5">
        <v>6.3920000000000003</v>
      </c>
      <c r="K33" s="48">
        <f>ROUND(LOG10(Table1[[#This Row],[Return (keep sorted by this column!)]]+1),2)</f>
        <v>0.87</v>
      </c>
      <c r="L33" s="48">
        <f>COUNTIF(Table1[Return (keep sorted by this column!)],"&lt;"&amp;Table1[[#This Row],[Return (keep sorted by this column!)]])</f>
        <v>402</v>
      </c>
      <c r="M33" s="14" t="str">
        <f>IF(Table1[[#This Row],[Team]]="David",Table1[[#This Row],[Return (keep sorted by this column!)]],"")</f>
        <v/>
      </c>
      <c r="N33" s="14">
        <f>IF(Table1[[#This Row],[Team]]="Tom",Table1[[#This Row],[Return (keep sorted by this column!)]],"")</f>
        <v>6.3920000000000003</v>
      </c>
      <c r="O33" s="5">
        <v>1.371</v>
      </c>
      <c r="P33" s="23" t="str">
        <f>IF(Table1[[#This Row],[Team]]="David",Table1[[#This Row],[S&amp;P Return, same period]],"")</f>
        <v/>
      </c>
      <c r="Q33" s="23">
        <f>IF(Table1[[#This Row],[Team]]="Tom",Table1[[#This Row],[S&amp;P Return, same period]],"")</f>
        <v>1.371</v>
      </c>
      <c r="R33" s="5">
        <v>5.0209999999999999</v>
      </c>
      <c r="S33" s="14" t="str">
        <f>IF(Table1[[#This Row],[Team]]="David",Table1[[#This Row],[Difference Vs. S&amp;P Return]],"")</f>
        <v/>
      </c>
      <c r="T33" s="14">
        <f>IF(Table1[[#This Row],[Team]]="Tom",Table1[[#This Row],[Difference Vs. S&amp;P Return]],"")</f>
        <v>5.0209999999999999</v>
      </c>
      <c r="U33" s="14">
        <f>ROUND((1+Table1[[#This Row],[Return (keep sorted by this column!)]])/(1+Table1[[#This Row],[S&amp;P Return, same period]])-1,1)</f>
        <v>2.1</v>
      </c>
      <c r="V33" s="15" t="str">
        <f>IF(Table1[[#This Row],[Team]]="David",Table1[[#This Row],[Improvement Vs. S&amp;P Return]],"")</f>
        <v/>
      </c>
      <c r="W33" s="15">
        <f>IF(Table1[[#This Row],[Team]]="Tom",Table1[[#This Row],[Improvement Vs. S&amp;P Return]],"")</f>
        <v>2.1</v>
      </c>
    </row>
    <row r="34" spans="1:23" ht="45" x14ac:dyDescent="0.2">
      <c r="A34" s="1">
        <v>39801</v>
      </c>
      <c r="B34" s="2" t="s">
        <v>527</v>
      </c>
      <c r="C34" s="2">
        <f>SUBTOTAL(103,Table1[[#This Row],[Recommendation Date]])</f>
        <v>1</v>
      </c>
      <c r="D34" s="2">
        <f>1</f>
        <v>1</v>
      </c>
      <c r="E34" s="16" t="s">
        <v>528</v>
      </c>
      <c r="F34" s="3" t="s">
        <v>529</v>
      </c>
      <c r="G34" s="3" t="s">
        <v>12</v>
      </c>
      <c r="H34" s="16">
        <v>8</v>
      </c>
      <c r="I34" s="4">
        <v>15.22</v>
      </c>
      <c r="J34" s="5">
        <v>5.8579999999999997</v>
      </c>
      <c r="K34" s="48">
        <f>ROUND(LOG10(Table1[[#This Row],[Return (keep sorted by this column!)]]+1),2)</f>
        <v>0.84</v>
      </c>
      <c r="L34" s="48">
        <f>COUNTIF(Table1[Return (keep sorted by this column!)],"&lt;"&amp;Table1[[#This Row],[Return (keep sorted by this column!)]])</f>
        <v>401</v>
      </c>
      <c r="M34" s="14">
        <f>IF(Table1[[#This Row],[Team]]="David",Table1[[#This Row],[Return (keep sorted by this column!)]],"")</f>
        <v>5.8579999999999997</v>
      </c>
      <c r="N34" s="14" t="str">
        <f>IF(Table1[[#This Row],[Team]]="Tom",Table1[[#This Row],[Return (keep sorted by this column!)]],"")</f>
        <v/>
      </c>
      <c r="O34" s="5">
        <v>2.92</v>
      </c>
      <c r="P34" s="23">
        <f>IF(Table1[[#This Row],[Team]]="David",Table1[[#This Row],[S&amp;P Return, same period]],"")</f>
        <v>2.92</v>
      </c>
      <c r="Q34" s="23" t="str">
        <f>IF(Table1[[#This Row],[Team]]="Tom",Table1[[#This Row],[S&amp;P Return, same period]],"")</f>
        <v/>
      </c>
      <c r="R34" s="5">
        <v>2.9380000000000002</v>
      </c>
      <c r="S34" s="14">
        <f>IF(Table1[[#This Row],[Team]]="David",Table1[[#This Row],[Difference Vs. S&amp;P Return]],"")</f>
        <v>2.9380000000000002</v>
      </c>
      <c r="T34" s="14" t="str">
        <f>IF(Table1[[#This Row],[Team]]="Tom",Table1[[#This Row],[Difference Vs. S&amp;P Return]],"")</f>
        <v/>
      </c>
      <c r="U34" s="14">
        <f>ROUND((1+Table1[[#This Row],[Return (keep sorted by this column!)]])/(1+Table1[[#This Row],[S&amp;P Return, same period]])-1,1)</f>
        <v>0.7</v>
      </c>
      <c r="V34" s="15">
        <f>IF(Table1[[#This Row],[Team]]="David",Table1[[#This Row],[Improvement Vs. S&amp;P Return]],"")</f>
        <v>0.7</v>
      </c>
      <c r="W34" s="15" t="str">
        <f>IF(Table1[[#This Row],[Team]]="Tom",Table1[[#This Row],[Improvement Vs. S&amp;P Return]],"")</f>
        <v/>
      </c>
    </row>
    <row r="35" spans="1:23" ht="17" x14ac:dyDescent="0.2">
      <c r="A35" s="18">
        <v>37722</v>
      </c>
      <c r="B35" s="2" t="s">
        <v>488</v>
      </c>
      <c r="C35" s="2">
        <f>SUBTOTAL(103,Table1[[#This Row],[Recommendation Date]])</f>
        <v>1</v>
      </c>
      <c r="D35" s="2">
        <f>1</f>
        <v>1</v>
      </c>
      <c r="E35" s="16" t="s">
        <v>489</v>
      </c>
      <c r="F35" s="3" t="s">
        <v>7</v>
      </c>
      <c r="G35" s="3" t="s">
        <v>12</v>
      </c>
      <c r="H35" s="16">
        <v>10</v>
      </c>
      <c r="I35" s="4">
        <v>9.7100000000000009</v>
      </c>
      <c r="J35" s="5">
        <v>5.8209999999999997</v>
      </c>
      <c r="K35" s="48">
        <f>ROUND(LOG10(Table1[[#This Row],[Return (keep sorted by this column!)]]+1),2)</f>
        <v>0.83</v>
      </c>
      <c r="L35" s="48">
        <f>COUNTIF(Table1[Return (keep sorted by this column!)],"&lt;"&amp;Table1[[#This Row],[Return (keep sorted by this column!)]])</f>
        <v>400</v>
      </c>
      <c r="M35" s="14">
        <f>IF(Table1[[#This Row],[Team]]="David",Table1[[#This Row],[Return (keep sorted by this column!)]],"")</f>
        <v>5.8209999999999997</v>
      </c>
      <c r="N35" s="14" t="str">
        <f>IF(Table1[[#This Row],[Team]]="Tom",Table1[[#This Row],[Return (keep sorted by this column!)]],"")</f>
        <v/>
      </c>
      <c r="O35" s="5">
        <v>3.468</v>
      </c>
      <c r="P35" s="23">
        <f>IF(Table1[[#This Row],[Team]]="David",Table1[[#This Row],[S&amp;P Return, same period]],"")</f>
        <v>3.468</v>
      </c>
      <c r="Q35" s="23" t="str">
        <f>IF(Table1[[#This Row],[Team]]="Tom",Table1[[#This Row],[S&amp;P Return, same period]],"")</f>
        <v/>
      </c>
      <c r="R35" s="5">
        <v>2.3530000000000002</v>
      </c>
      <c r="S35" s="14">
        <f>IF(Table1[[#This Row],[Team]]="David",Table1[[#This Row],[Difference Vs. S&amp;P Return]],"")</f>
        <v>2.3530000000000002</v>
      </c>
      <c r="T35" s="14" t="str">
        <f>IF(Table1[[#This Row],[Team]]="Tom",Table1[[#This Row],[Difference Vs. S&amp;P Return]],"")</f>
        <v/>
      </c>
      <c r="U35" s="14">
        <f>ROUND((1+Table1[[#This Row],[Return (keep sorted by this column!)]])/(1+Table1[[#This Row],[S&amp;P Return, same period]])-1,1)</f>
        <v>0.5</v>
      </c>
      <c r="V35" s="15">
        <f>IF(Table1[[#This Row],[Team]]="David",Table1[[#This Row],[Improvement Vs. S&amp;P Return]],"")</f>
        <v>0.5</v>
      </c>
      <c r="W35" s="15" t="str">
        <f>IF(Table1[[#This Row],[Team]]="Tom",Table1[[#This Row],[Improvement Vs. S&amp;P Return]],"")</f>
        <v/>
      </c>
    </row>
    <row r="36" spans="1:23" ht="30" x14ac:dyDescent="0.2">
      <c r="A36" s="18">
        <v>41110</v>
      </c>
      <c r="B36" s="2" t="s">
        <v>373</v>
      </c>
      <c r="C36" s="2">
        <f>SUBTOTAL(103,Table1[[#This Row],[Recommendation Date]])</f>
        <v>1</v>
      </c>
      <c r="D36" s="2">
        <f>1</f>
        <v>1</v>
      </c>
      <c r="E36" s="16" t="s">
        <v>374</v>
      </c>
      <c r="F36" s="3" t="s">
        <v>11</v>
      </c>
      <c r="G36" s="3" t="s">
        <v>12</v>
      </c>
      <c r="H36" s="16">
        <v>13</v>
      </c>
      <c r="I36" s="4">
        <v>67</v>
      </c>
      <c r="J36" s="5">
        <v>5.7460000000000004</v>
      </c>
      <c r="K36" s="48">
        <f>ROUND(LOG10(Table1[[#This Row],[Return (keep sorted by this column!)]]+1),2)</f>
        <v>0.83</v>
      </c>
      <c r="L36" s="48">
        <f>COUNTIF(Table1[Return (keep sorted by this column!)],"&lt;"&amp;Table1[[#This Row],[Return (keep sorted by this column!)]])</f>
        <v>399</v>
      </c>
      <c r="M36" s="76">
        <f>IF(Table1[[#This Row],[Team]]="David",Table1[[#This Row],[Return (keep sorted by this column!)]],"")</f>
        <v>5.7460000000000004</v>
      </c>
      <c r="N36" s="76" t="str">
        <f>IF(Table1[[#This Row],[Team]]="Tom",Table1[[#This Row],[Return (keep sorted by this column!)]],"")</f>
        <v/>
      </c>
      <c r="O36" s="5">
        <v>1.3620000000000001</v>
      </c>
      <c r="P36" s="68">
        <f>IF(Table1[[#This Row],[Team]]="David",Table1[[#This Row],[S&amp;P Return, same period]],"")</f>
        <v>1.3620000000000001</v>
      </c>
      <c r="Q36" s="68" t="str">
        <f>IF(Table1[[#This Row],[Team]]="Tom",Table1[[#This Row],[S&amp;P Return, same period]],"")</f>
        <v/>
      </c>
      <c r="R36" s="5">
        <v>4.3840000000000003</v>
      </c>
      <c r="S36" s="14">
        <f>IF(Table1[[#This Row],[Team]]="David",Table1[[#This Row],[Difference Vs. S&amp;P Return]],"")</f>
        <v>4.3840000000000003</v>
      </c>
      <c r="T36" s="14" t="str">
        <f>IF(Table1[[#This Row],[Team]]="Tom",Table1[[#This Row],[Difference Vs. S&amp;P Return]],"")</f>
        <v/>
      </c>
      <c r="U36" s="14">
        <f>ROUND((1+Table1[[#This Row],[Return (keep sorted by this column!)]])/(1+Table1[[#This Row],[S&amp;P Return, same period]])-1,1)</f>
        <v>1.9</v>
      </c>
      <c r="V36" s="15">
        <f>IF(Table1[[#This Row],[Team]]="David",Table1[[#This Row],[Improvement Vs. S&amp;P Return]],"")</f>
        <v>1.9</v>
      </c>
      <c r="W36" s="15" t="str">
        <f>IF(Table1[[#This Row],[Team]]="Tom",Table1[[#This Row],[Improvement Vs. S&amp;P Return]],"")</f>
        <v/>
      </c>
    </row>
    <row r="37" spans="1:23" ht="17" x14ac:dyDescent="0.2">
      <c r="A37" s="18">
        <v>40711</v>
      </c>
      <c r="B37" s="2" t="s">
        <v>413</v>
      </c>
      <c r="C37" s="2">
        <f>SUBTOTAL(103,Table1[[#This Row],[Recommendation Date]])</f>
        <v>1</v>
      </c>
      <c r="D37" s="2">
        <f>1</f>
        <v>1</v>
      </c>
      <c r="E37" s="16" t="s">
        <v>414</v>
      </c>
      <c r="F37" s="3" t="s">
        <v>415</v>
      </c>
      <c r="G37" s="3" t="s">
        <v>12</v>
      </c>
      <c r="H37" s="16">
        <v>6</v>
      </c>
      <c r="I37" s="4">
        <v>39.71</v>
      </c>
      <c r="J37" s="5">
        <v>5.702</v>
      </c>
      <c r="K37" s="48">
        <f>ROUND(LOG10(Table1[[#This Row],[Return (keep sorted by this column!)]]+1),2)</f>
        <v>0.83</v>
      </c>
      <c r="L37" s="48">
        <f>COUNTIF(Table1[Return (keep sorted by this column!)],"&lt;"&amp;Table1[[#This Row],[Return (keep sorted by this column!)]])</f>
        <v>398</v>
      </c>
      <c r="M37" s="76">
        <f>IF(Table1[[#This Row],[Team]]="David",Table1[[#This Row],[Return (keep sorted by this column!)]],"")</f>
        <v>5.702</v>
      </c>
      <c r="N37" s="76" t="str">
        <f>IF(Table1[[#This Row],[Team]]="Tom",Table1[[#This Row],[Return (keep sorted by this column!)]],"")</f>
        <v/>
      </c>
      <c r="O37" s="5">
        <v>1.5920000000000001</v>
      </c>
      <c r="P37" s="68">
        <f>IF(Table1[[#This Row],[Team]]="David",Table1[[#This Row],[S&amp;P Return, same period]],"")</f>
        <v>1.5920000000000001</v>
      </c>
      <c r="Q37" s="68" t="str">
        <f>IF(Table1[[#This Row],[Team]]="Tom",Table1[[#This Row],[S&amp;P Return, same period]],"")</f>
        <v/>
      </c>
      <c r="R37" s="5">
        <v>4.1100000000000003</v>
      </c>
      <c r="S37" s="14">
        <f>IF(Table1[[#This Row],[Team]]="David",Table1[[#This Row],[Difference Vs. S&amp;P Return]],"")</f>
        <v>4.1100000000000003</v>
      </c>
      <c r="T37" s="14" t="str">
        <f>IF(Table1[[#This Row],[Team]]="Tom",Table1[[#This Row],[Difference Vs. S&amp;P Return]],"")</f>
        <v/>
      </c>
      <c r="U37" s="14">
        <f>ROUND((1+Table1[[#This Row],[Return (keep sorted by this column!)]])/(1+Table1[[#This Row],[S&amp;P Return, same period]])-1,1)</f>
        <v>1.6</v>
      </c>
      <c r="V37" s="15">
        <f>IF(Table1[[#This Row],[Team]]="David",Table1[[#This Row],[Improvement Vs. S&amp;P Return]],"")</f>
        <v>1.6</v>
      </c>
      <c r="W37" s="15" t="str">
        <f>IF(Table1[[#This Row],[Team]]="Tom",Table1[[#This Row],[Improvement Vs. S&amp;P Return]],"")</f>
        <v/>
      </c>
    </row>
    <row r="38" spans="1:23" ht="17" x14ac:dyDescent="0.2">
      <c r="A38" s="18">
        <v>41019</v>
      </c>
      <c r="B38" s="2" t="s">
        <v>383</v>
      </c>
      <c r="C38" s="2">
        <f>SUBTOTAL(103,Table1[[#This Row],[Recommendation Date]])</f>
        <v>1</v>
      </c>
      <c r="D38" s="2">
        <f>1</f>
        <v>1</v>
      </c>
      <c r="E38" s="16" t="s">
        <v>384</v>
      </c>
      <c r="F38" s="3" t="s">
        <v>47</v>
      </c>
      <c r="G38" s="3" t="s">
        <v>8</v>
      </c>
      <c r="H38" s="17"/>
      <c r="I38" s="4">
        <v>15.74</v>
      </c>
      <c r="J38" s="5">
        <v>5.1429999999999998</v>
      </c>
      <c r="K38" s="48">
        <f>ROUND(LOG10(Table1[[#This Row],[Return (keep sorted by this column!)]]+1),2)</f>
        <v>0.79</v>
      </c>
      <c r="L38" s="48">
        <f>COUNTIF(Table1[Return (keep sorted by this column!)],"&lt;"&amp;Table1[[#This Row],[Return (keep sorted by this column!)]])</f>
        <v>397</v>
      </c>
      <c r="M38" s="76" t="str">
        <f>IF(Table1[[#This Row],[Team]]="David",Table1[[#This Row],[Return (keep sorted by this column!)]],"")</f>
        <v/>
      </c>
      <c r="N38" s="76">
        <f>IF(Table1[[#This Row],[Team]]="Tom",Table1[[#This Row],[Return (keep sorted by this column!)]],"")</f>
        <v>5.1429999999999998</v>
      </c>
      <c r="O38" s="5">
        <v>1.3480000000000001</v>
      </c>
      <c r="P38" s="68" t="str">
        <f>IF(Table1[[#This Row],[Team]]="David",Table1[[#This Row],[S&amp;P Return, same period]],"")</f>
        <v/>
      </c>
      <c r="Q38" s="68">
        <f>IF(Table1[[#This Row],[Team]]="Tom",Table1[[#This Row],[S&amp;P Return, same period]],"")</f>
        <v>1.3480000000000001</v>
      </c>
      <c r="R38" s="5">
        <v>3.7949999999999999</v>
      </c>
      <c r="S38" s="14" t="str">
        <f>IF(Table1[[#This Row],[Team]]="David",Table1[[#This Row],[Difference Vs. S&amp;P Return]],"")</f>
        <v/>
      </c>
      <c r="T38" s="14">
        <f>IF(Table1[[#This Row],[Team]]="Tom",Table1[[#This Row],[Difference Vs. S&amp;P Return]],"")</f>
        <v>3.7949999999999999</v>
      </c>
      <c r="U38" s="14">
        <f>ROUND((1+Table1[[#This Row],[Return (keep sorted by this column!)]])/(1+Table1[[#This Row],[S&amp;P Return, same period]])-1,1)</f>
        <v>1.6</v>
      </c>
      <c r="V38" s="15" t="str">
        <f>IF(Table1[[#This Row],[Team]]="David",Table1[[#This Row],[Improvement Vs. S&amp;P Return]],"")</f>
        <v/>
      </c>
      <c r="W38" s="15">
        <f>IF(Table1[[#This Row],[Team]]="Tom",Table1[[#This Row],[Improvement Vs. S&amp;P Return]],"")</f>
        <v>1.6</v>
      </c>
    </row>
    <row r="39" spans="1:23" ht="17" x14ac:dyDescent="0.2">
      <c r="A39" s="18">
        <v>39647</v>
      </c>
      <c r="B39" s="2" t="s">
        <v>216</v>
      </c>
      <c r="C39" s="2">
        <f>SUBTOTAL(103,Table1[[#This Row],[Recommendation Date]])</f>
        <v>1</v>
      </c>
      <c r="D39" s="2">
        <f>1</f>
        <v>1</v>
      </c>
      <c r="E39" s="16" t="s">
        <v>217</v>
      </c>
      <c r="F39" s="3" t="s">
        <v>218</v>
      </c>
      <c r="G39" s="3" t="s">
        <v>12</v>
      </c>
      <c r="H39" s="16">
        <v>8</v>
      </c>
      <c r="I39" s="4">
        <v>43.13</v>
      </c>
      <c r="J39" s="5">
        <v>5.024</v>
      </c>
      <c r="K39" s="48">
        <f>ROUND(LOG10(Table1[[#This Row],[Return (keep sorted by this column!)]]+1),2)</f>
        <v>0.78</v>
      </c>
      <c r="L39" s="48">
        <f>COUNTIF(Table1[Return (keep sorted by this column!)],"&lt;"&amp;Table1[[#This Row],[Return (keep sorted by this column!)]])</f>
        <v>396</v>
      </c>
      <c r="M39" s="14">
        <f>IF(Table1[[#This Row],[Team]]="David",Table1[[#This Row],[Return (keep sorted by this column!)]],"")</f>
        <v>5.024</v>
      </c>
      <c r="N39" s="14" t="str">
        <f>IF(Table1[[#This Row],[Team]]="Tom",Table1[[#This Row],[Return (keep sorted by this column!)]],"")</f>
        <v/>
      </c>
      <c r="O39" s="5">
        <v>1.792</v>
      </c>
      <c r="P39" s="23">
        <f>IF(Table1[[#This Row],[Team]]="David",Table1[[#This Row],[S&amp;P Return, same period]],"")</f>
        <v>1.792</v>
      </c>
      <c r="Q39" s="23" t="str">
        <f>IF(Table1[[#This Row],[Team]]="Tom",Table1[[#This Row],[S&amp;P Return, same period]],"")</f>
        <v/>
      </c>
      <c r="R39" s="5">
        <v>3.2320000000000002</v>
      </c>
      <c r="S39" s="14">
        <f>IF(Table1[[#This Row],[Team]]="David",Table1[[#This Row],[Difference Vs. S&amp;P Return]],"")</f>
        <v>3.2320000000000002</v>
      </c>
      <c r="T39" s="14" t="str">
        <f>IF(Table1[[#This Row],[Team]]="Tom",Table1[[#This Row],[Difference Vs. S&amp;P Return]],"")</f>
        <v/>
      </c>
      <c r="U39" s="14">
        <f>ROUND((1+Table1[[#This Row],[Return (keep sorted by this column!)]])/(1+Table1[[#This Row],[S&amp;P Return, same period]])-1,1)</f>
        <v>1.2</v>
      </c>
      <c r="V39" s="15">
        <f>IF(Table1[[#This Row],[Team]]="David",Table1[[#This Row],[Improvement Vs. S&amp;P Return]],"")</f>
        <v>1.2</v>
      </c>
      <c r="W39" s="15" t="str">
        <f>IF(Table1[[#This Row],[Team]]="Tom",Table1[[#This Row],[Improvement Vs. S&amp;P Return]],"")</f>
        <v/>
      </c>
    </row>
    <row r="40" spans="1:23" ht="17" x14ac:dyDescent="0.2">
      <c r="A40" s="18">
        <v>42475</v>
      </c>
      <c r="B40" s="2" t="s">
        <v>196</v>
      </c>
      <c r="C40" s="2">
        <f>SUBTOTAL(103,Table1[[#This Row],[Recommendation Date]])</f>
        <v>1</v>
      </c>
      <c r="D40" s="2">
        <f>1</f>
        <v>1</v>
      </c>
      <c r="E40" s="16" t="s">
        <v>197</v>
      </c>
      <c r="F40" s="3" t="s">
        <v>157</v>
      </c>
      <c r="G40" s="3" t="s">
        <v>12</v>
      </c>
      <c r="H40" s="16">
        <v>10</v>
      </c>
      <c r="I40" s="4">
        <v>10.79</v>
      </c>
      <c r="J40" s="5">
        <v>4.9340000000000002</v>
      </c>
      <c r="K40" s="48">
        <f>ROUND(LOG10(Table1[[#This Row],[Return (keep sorted by this column!)]]+1),2)</f>
        <v>0.77</v>
      </c>
      <c r="L40" s="48">
        <f>COUNTIF(Table1[Return (keep sorted by this column!)],"&lt;"&amp;Table1[[#This Row],[Return (keep sorted by this column!)]])</f>
        <v>395</v>
      </c>
      <c r="M40" s="76">
        <f>IF(Table1[[#This Row],[Team]]="David",Table1[[#This Row],[Return (keep sorted by this column!)]],"")</f>
        <v>4.9340000000000002</v>
      </c>
      <c r="N40" s="76" t="str">
        <f>IF(Table1[[#This Row],[Team]]="Tom",Table1[[#This Row],[Return (keep sorted by this column!)]],"")</f>
        <v/>
      </c>
      <c r="O40" s="5">
        <v>0.42799999999999999</v>
      </c>
      <c r="P40" s="68">
        <f>IF(Table1[[#This Row],[Team]]="David",Table1[[#This Row],[S&amp;P Return, same period]],"")</f>
        <v>0.42799999999999999</v>
      </c>
      <c r="Q40" s="68" t="str">
        <f>IF(Table1[[#This Row],[Team]]="Tom",Table1[[#This Row],[S&amp;P Return, same period]],"")</f>
        <v/>
      </c>
      <c r="R40" s="5">
        <v>4.5060000000000002</v>
      </c>
      <c r="S40" s="14">
        <f>IF(Table1[[#This Row],[Team]]="David",Table1[[#This Row],[Difference Vs. S&amp;P Return]],"")</f>
        <v>4.5060000000000002</v>
      </c>
      <c r="T40" s="14" t="str">
        <f>IF(Table1[[#This Row],[Team]]="Tom",Table1[[#This Row],[Difference Vs. S&amp;P Return]],"")</f>
        <v/>
      </c>
      <c r="U40" s="14">
        <f>ROUND((1+Table1[[#This Row],[Return (keep sorted by this column!)]])/(1+Table1[[#This Row],[S&amp;P Return, same period]])-1,1)</f>
        <v>3.2</v>
      </c>
      <c r="V40" s="15">
        <f>IF(Table1[[#This Row],[Team]]="David",Table1[[#This Row],[Improvement Vs. S&amp;P Return]],"")</f>
        <v>3.2</v>
      </c>
      <c r="W40" s="15" t="str">
        <f>IF(Table1[[#This Row],[Team]]="Tom",Table1[[#This Row],[Improvement Vs. S&amp;P Return]],"")</f>
        <v/>
      </c>
    </row>
    <row r="41" spans="1:23" ht="17" x14ac:dyDescent="0.2">
      <c r="A41" s="18">
        <v>40319</v>
      </c>
      <c r="B41" s="2" t="s">
        <v>463</v>
      </c>
      <c r="C41" s="2">
        <f>SUBTOTAL(103,Table1[[#This Row],[Recommendation Date]])</f>
        <v>1</v>
      </c>
      <c r="D41" s="2">
        <f>1</f>
        <v>1</v>
      </c>
      <c r="E41" s="16" t="s">
        <v>464</v>
      </c>
      <c r="F41" s="3" t="s">
        <v>58</v>
      </c>
      <c r="G41" s="3" t="s">
        <v>12</v>
      </c>
      <c r="H41" s="16">
        <v>10</v>
      </c>
      <c r="I41" s="4">
        <v>58.62</v>
      </c>
      <c r="J41" s="5">
        <v>4.923</v>
      </c>
      <c r="K41" s="48">
        <f>ROUND(LOG10(Table1[[#This Row],[Return (keep sorted by this column!)]]+1),2)</f>
        <v>0.77</v>
      </c>
      <c r="L41" s="48">
        <f>COUNTIF(Table1[Return (keep sorted by this column!)],"&lt;"&amp;Table1[[#This Row],[Return (keep sorted by this column!)]])</f>
        <v>394</v>
      </c>
      <c r="M41" s="76">
        <f>IF(Table1[[#This Row],[Team]]="David",Table1[[#This Row],[Return (keep sorted by this column!)]],"")</f>
        <v>4.923</v>
      </c>
      <c r="N41" s="76" t="str">
        <f>IF(Table1[[#This Row],[Team]]="Tom",Table1[[#This Row],[Return (keep sorted by this column!)]],"")</f>
        <v/>
      </c>
      <c r="O41" s="5">
        <v>2.0960000000000001</v>
      </c>
      <c r="P41" s="68">
        <f>IF(Table1[[#This Row],[Team]]="David",Table1[[#This Row],[S&amp;P Return, same period]],"")</f>
        <v>2.0960000000000001</v>
      </c>
      <c r="Q41" s="68" t="str">
        <f>IF(Table1[[#This Row],[Team]]="Tom",Table1[[#This Row],[S&amp;P Return, same period]],"")</f>
        <v/>
      </c>
      <c r="R41" s="5">
        <v>2.827</v>
      </c>
      <c r="S41" s="14">
        <f>IF(Table1[[#This Row],[Team]]="David",Table1[[#This Row],[Difference Vs. S&amp;P Return]],"")</f>
        <v>2.827</v>
      </c>
      <c r="T41" s="14" t="str">
        <f>IF(Table1[[#This Row],[Team]]="Tom",Table1[[#This Row],[Difference Vs. S&amp;P Return]],"")</f>
        <v/>
      </c>
      <c r="U41" s="14">
        <f>ROUND((1+Table1[[#This Row],[Return (keep sorted by this column!)]])/(1+Table1[[#This Row],[S&amp;P Return, same period]])-1,1)</f>
        <v>0.9</v>
      </c>
      <c r="V41" s="15">
        <f>IF(Table1[[#This Row],[Team]]="David",Table1[[#This Row],[Improvement Vs. S&amp;P Return]],"")</f>
        <v>0.9</v>
      </c>
      <c r="W41" s="15" t="str">
        <f>IF(Table1[[#This Row],[Team]]="Tom",Table1[[#This Row],[Improvement Vs. S&amp;P Return]],"")</f>
        <v/>
      </c>
    </row>
    <row r="42" spans="1:23" ht="17" x14ac:dyDescent="0.2">
      <c r="A42" s="18">
        <v>40564</v>
      </c>
      <c r="B42" s="2" t="s">
        <v>151</v>
      </c>
      <c r="C42" s="2">
        <f>SUBTOTAL(103,Table1[[#This Row],[Recommendation Date]])</f>
        <v>1</v>
      </c>
      <c r="D42" s="2">
        <f>1</f>
        <v>1</v>
      </c>
      <c r="E42" s="16" t="s">
        <v>152</v>
      </c>
      <c r="F42" s="3" t="s">
        <v>130</v>
      </c>
      <c r="G42" s="3" t="s">
        <v>12</v>
      </c>
      <c r="H42" s="16">
        <v>9</v>
      </c>
      <c r="I42" s="4">
        <v>6.86</v>
      </c>
      <c r="J42" s="5">
        <v>4.7869999999999999</v>
      </c>
      <c r="K42" s="48">
        <f>ROUND(LOG10(Table1[[#This Row],[Return (keep sorted by this column!)]]+1),2)</f>
        <v>0.76</v>
      </c>
      <c r="L42" s="48">
        <f>COUNTIF(Table1[Return (keep sorted by this column!)],"&lt;"&amp;Table1[[#This Row],[Return (keep sorted by this column!)]])</f>
        <v>393</v>
      </c>
      <c r="M42" s="76">
        <f>IF(Table1[[#This Row],[Team]]="David",Table1[[#This Row],[Return (keep sorted by this column!)]],"")</f>
        <v>4.7869999999999999</v>
      </c>
      <c r="N42" s="76" t="str">
        <f>IF(Table1[[#This Row],[Team]]="Tom",Table1[[#This Row],[Return (keep sorted by this column!)]],"")</f>
        <v/>
      </c>
      <c r="O42" s="5">
        <v>1.59</v>
      </c>
      <c r="P42" s="68">
        <f>IF(Table1[[#This Row],[Team]]="David",Table1[[#This Row],[S&amp;P Return, same period]],"")</f>
        <v>1.59</v>
      </c>
      <c r="Q42" s="68" t="str">
        <f>IF(Table1[[#This Row],[Team]]="Tom",Table1[[#This Row],[S&amp;P Return, same period]],"")</f>
        <v/>
      </c>
      <c r="R42" s="5">
        <v>3.198</v>
      </c>
      <c r="S42" s="14">
        <f>IF(Table1[[#This Row],[Team]]="David",Table1[[#This Row],[Difference Vs. S&amp;P Return]],"")</f>
        <v>3.198</v>
      </c>
      <c r="T42" s="14" t="str">
        <f>IF(Table1[[#This Row],[Team]]="Tom",Table1[[#This Row],[Difference Vs. S&amp;P Return]],"")</f>
        <v/>
      </c>
      <c r="U42" s="14">
        <f>ROUND((1+Table1[[#This Row],[Return (keep sorted by this column!)]])/(1+Table1[[#This Row],[S&amp;P Return, same period]])-1,1)</f>
        <v>1.2</v>
      </c>
      <c r="V42" s="15">
        <f>IF(Table1[[#This Row],[Team]]="David",Table1[[#This Row],[Improvement Vs. S&amp;P Return]],"")</f>
        <v>1.2</v>
      </c>
      <c r="W42" s="15" t="str">
        <f>IF(Table1[[#This Row],[Team]]="Tom",Table1[[#This Row],[Improvement Vs. S&amp;P Return]],"")</f>
        <v/>
      </c>
    </row>
    <row r="43" spans="1:23" ht="30" x14ac:dyDescent="0.2">
      <c r="A43" s="18">
        <v>40074</v>
      </c>
      <c r="B43" s="2" t="s">
        <v>492</v>
      </c>
      <c r="C43" s="2">
        <f>SUBTOTAL(103,Table1[[#This Row],[Recommendation Date]])</f>
        <v>1</v>
      </c>
      <c r="D43" s="2">
        <f>1</f>
        <v>1</v>
      </c>
      <c r="E43" s="16" t="s">
        <v>493</v>
      </c>
      <c r="F43" s="3" t="s">
        <v>162</v>
      </c>
      <c r="G43" s="3" t="s">
        <v>12</v>
      </c>
      <c r="H43" s="16">
        <v>9</v>
      </c>
      <c r="I43" s="4">
        <v>26.45</v>
      </c>
      <c r="J43" s="5">
        <v>4.5579999999999998</v>
      </c>
      <c r="K43" s="48">
        <f>ROUND(LOG10(Table1[[#This Row],[Return (keep sorted by this column!)]]+1),2)</f>
        <v>0.74</v>
      </c>
      <c r="L43" s="48">
        <f>COUNTIF(Table1[Return (keep sorted by this column!)],"&lt;"&amp;Table1[[#This Row],[Return (keep sorted by this column!)]])</f>
        <v>392</v>
      </c>
      <c r="M43" s="14">
        <f>IF(Table1[[#This Row],[Team]]="David",Table1[[#This Row],[Return (keep sorted by this column!)]],"")</f>
        <v>4.5579999999999998</v>
      </c>
      <c r="N43" s="14" t="str">
        <f>IF(Table1[[#This Row],[Team]]="Tom",Table1[[#This Row],[Return (keep sorted by this column!)]],"")</f>
        <v/>
      </c>
      <c r="O43" s="5">
        <v>2.194</v>
      </c>
      <c r="P43" s="23">
        <f>IF(Table1[[#This Row],[Team]]="David",Table1[[#This Row],[S&amp;P Return, same period]],"")</f>
        <v>2.194</v>
      </c>
      <c r="Q43" s="23" t="str">
        <f>IF(Table1[[#This Row],[Team]]="Tom",Table1[[#This Row],[S&amp;P Return, same period]],"")</f>
        <v/>
      </c>
      <c r="R43" s="5">
        <v>2.363</v>
      </c>
      <c r="S43" s="14">
        <f>IF(Table1[[#This Row],[Team]]="David",Table1[[#This Row],[Difference Vs. S&amp;P Return]],"")</f>
        <v>2.363</v>
      </c>
      <c r="T43" s="14" t="str">
        <f>IF(Table1[[#This Row],[Team]]="Tom",Table1[[#This Row],[Difference Vs. S&amp;P Return]],"")</f>
        <v/>
      </c>
      <c r="U43" s="14">
        <f>ROUND((1+Table1[[#This Row],[Return (keep sorted by this column!)]])/(1+Table1[[#This Row],[S&amp;P Return, same period]])-1,1)</f>
        <v>0.7</v>
      </c>
      <c r="V43" s="15">
        <f>IF(Table1[[#This Row],[Team]]="David",Table1[[#This Row],[Improvement Vs. S&amp;P Return]],"")</f>
        <v>0.7</v>
      </c>
      <c r="W43" s="15" t="str">
        <f>IF(Table1[[#This Row],[Team]]="Tom",Table1[[#This Row],[Improvement Vs. S&amp;P Return]],"")</f>
        <v/>
      </c>
    </row>
    <row r="44" spans="1:23" ht="17" x14ac:dyDescent="0.2">
      <c r="A44" s="18">
        <v>40375</v>
      </c>
      <c r="B44" s="2" t="s">
        <v>183</v>
      </c>
      <c r="C44" s="2">
        <f>SUBTOTAL(103,Table1[[#This Row],[Recommendation Date]])</f>
        <v>1</v>
      </c>
      <c r="D44" s="2">
        <f>1</f>
        <v>1</v>
      </c>
      <c r="E44" s="16" t="s">
        <v>184</v>
      </c>
      <c r="F44" s="3" t="s">
        <v>185</v>
      </c>
      <c r="G44" s="3" t="s">
        <v>8</v>
      </c>
      <c r="H44" s="17"/>
      <c r="I44" s="4">
        <v>15.25</v>
      </c>
      <c r="J44" s="5">
        <v>4.5149999999999997</v>
      </c>
      <c r="K44" s="48">
        <f>ROUND(LOG10(Table1[[#This Row],[Return (keep sorted by this column!)]]+1),2)</f>
        <v>0.74</v>
      </c>
      <c r="L44" s="48">
        <f>COUNTIF(Table1[Return (keep sorted by this column!)],"&lt;"&amp;Table1[[#This Row],[Return (keep sorted by this column!)]])</f>
        <v>391</v>
      </c>
      <c r="M44" s="76" t="str">
        <f>IF(Table1[[#This Row],[Team]]="David",Table1[[#This Row],[Return (keep sorted by this column!)]],"")</f>
        <v/>
      </c>
      <c r="N44" s="76">
        <f>IF(Table1[[#This Row],[Team]]="Tom",Table1[[#This Row],[Return (keep sorted by this column!)]],"")</f>
        <v>4.5149999999999997</v>
      </c>
      <c r="O44" s="5">
        <v>2.153</v>
      </c>
      <c r="P44" s="68" t="str">
        <f>IF(Table1[[#This Row],[Team]]="David",Table1[[#This Row],[S&amp;P Return, same period]],"")</f>
        <v/>
      </c>
      <c r="Q44" s="68">
        <f>IF(Table1[[#This Row],[Team]]="Tom",Table1[[#This Row],[S&amp;P Return, same period]],"")</f>
        <v>2.153</v>
      </c>
      <c r="R44" s="5">
        <v>2.3620000000000001</v>
      </c>
      <c r="S44" s="14" t="str">
        <f>IF(Table1[[#This Row],[Team]]="David",Table1[[#This Row],[Difference Vs. S&amp;P Return]],"")</f>
        <v/>
      </c>
      <c r="T44" s="14">
        <f>IF(Table1[[#This Row],[Team]]="Tom",Table1[[#This Row],[Difference Vs. S&amp;P Return]],"")</f>
        <v>2.3620000000000001</v>
      </c>
      <c r="U44" s="14">
        <f>ROUND((1+Table1[[#This Row],[Return (keep sorted by this column!)]])/(1+Table1[[#This Row],[S&amp;P Return, same period]])-1,1)</f>
        <v>0.7</v>
      </c>
      <c r="V44" s="15" t="str">
        <f>IF(Table1[[#This Row],[Team]]="David",Table1[[#This Row],[Improvement Vs. S&amp;P Return]],"")</f>
        <v/>
      </c>
      <c r="W44" s="15">
        <f>IF(Table1[[#This Row],[Team]]="Tom",Table1[[#This Row],[Improvement Vs. S&amp;P Return]],"")</f>
        <v>0.7</v>
      </c>
    </row>
    <row r="45" spans="1:23" ht="17" x14ac:dyDescent="0.2">
      <c r="A45" s="18">
        <v>41383</v>
      </c>
      <c r="B45" s="2" t="s">
        <v>83</v>
      </c>
      <c r="C45" s="2">
        <f>SUBTOTAL(103,Table1[[#This Row],[Recommendation Date]])</f>
        <v>1</v>
      </c>
      <c r="D45" s="2">
        <f>1</f>
        <v>1</v>
      </c>
      <c r="E45" s="16" t="s">
        <v>84</v>
      </c>
      <c r="F45" s="3" t="s">
        <v>85</v>
      </c>
      <c r="G45" s="3" t="s">
        <v>8</v>
      </c>
      <c r="H45" s="17"/>
      <c r="I45" s="4">
        <v>50.02</v>
      </c>
      <c r="J45" s="5">
        <v>4.2380000000000004</v>
      </c>
      <c r="K45" s="48">
        <f>ROUND(LOG10(Table1[[#This Row],[Return (keep sorted by this column!)]]+1),2)</f>
        <v>0.72</v>
      </c>
      <c r="L45" s="48">
        <f>COUNTIF(Table1[Return (keep sorted by this column!)],"&lt;"&amp;Table1[[#This Row],[Return (keep sorted by this column!)]])</f>
        <v>390</v>
      </c>
      <c r="M45" s="76" t="str">
        <f>IF(Table1[[#This Row],[Team]]="David",Table1[[#This Row],[Return (keep sorted by this column!)]],"")</f>
        <v/>
      </c>
      <c r="N45" s="76">
        <f>IF(Table1[[#This Row],[Team]]="Tom",Table1[[#This Row],[Return (keep sorted by this column!)]],"")</f>
        <v>4.2380000000000004</v>
      </c>
      <c r="O45" s="5">
        <v>1.0349999999999999</v>
      </c>
      <c r="P45" s="68" t="str">
        <f>IF(Table1[[#This Row],[Team]]="David",Table1[[#This Row],[S&amp;P Return, same period]],"")</f>
        <v/>
      </c>
      <c r="Q45" s="68">
        <f>IF(Table1[[#This Row],[Team]]="Tom",Table1[[#This Row],[S&amp;P Return, same period]],"")</f>
        <v>1.0349999999999999</v>
      </c>
      <c r="R45" s="5">
        <v>3.2029999999999998</v>
      </c>
      <c r="S45" s="14" t="str">
        <f>IF(Table1[[#This Row],[Team]]="David",Table1[[#This Row],[Difference Vs. S&amp;P Return]],"")</f>
        <v/>
      </c>
      <c r="T45" s="14">
        <f>IF(Table1[[#This Row],[Team]]="Tom",Table1[[#This Row],[Difference Vs. S&amp;P Return]],"")</f>
        <v>3.2029999999999998</v>
      </c>
      <c r="U45" s="14">
        <f>ROUND((1+Table1[[#This Row],[Return (keep sorted by this column!)]])/(1+Table1[[#This Row],[S&amp;P Return, same period]])-1,1)</f>
        <v>1.6</v>
      </c>
      <c r="V45" s="15" t="str">
        <f>IF(Table1[[#This Row],[Team]]="David",Table1[[#This Row],[Improvement Vs. S&amp;P Return]],"")</f>
        <v/>
      </c>
      <c r="W45" s="15">
        <f>IF(Table1[[#This Row],[Team]]="Tom",Table1[[#This Row],[Improvement Vs. S&amp;P Return]],"")</f>
        <v>1.6</v>
      </c>
    </row>
    <row r="46" spans="1:23" ht="30" x14ac:dyDescent="0.2">
      <c r="A46" s="18">
        <v>40438</v>
      </c>
      <c r="B46" s="2" t="s">
        <v>447</v>
      </c>
      <c r="C46" s="2">
        <f>SUBTOTAL(103,Table1[[#This Row],[Recommendation Date]])</f>
        <v>1</v>
      </c>
      <c r="D46" s="2">
        <f>1</f>
        <v>1</v>
      </c>
      <c r="E46" s="16" t="s">
        <v>448</v>
      </c>
      <c r="F46" s="3" t="s">
        <v>449</v>
      </c>
      <c r="G46" s="3" t="s">
        <v>12</v>
      </c>
      <c r="H46" s="16">
        <v>12</v>
      </c>
      <c r="I46" s="4">
        <v>15.14</v>
      </c>
      <c r="J46" s="5">
        <v>3.8570000000000002</v>
      </c>
      <c r="K46" s="48">
        <f>ROUND(LOG10(Table1[[#This Row],[Return (keep sorted by this column!)]]+1),2)</f>
        <v>0.69</v>
      </c>
      <c r="L46" s="48">
        <f>COUNTIF(Table1[Return (keep sorted by this column!)],"&lt;"&amp;Table1[[#This Row],[Return (keep sorted by this column!)]])</f>
        <v>389</v>
      </c>
      <c r="M46" s="76">
        <f>IF(Table1[[#This Row],[Team]]="David",Table1[[#This Row],[Return (keep sorted by this column!)]],"")</f>
        <v>3.8570000000000002</v>
      </c>
      <c r="N46" s="76" t="str">
        <f>IF(Table1[[#This Row],[Team]]="Tom",Table1[[#This Row],[Return (keep sorted by this column!)]],"")</f>
        <v/>
      </c>
      <c r="O46" s="5">
        <v>1.9710000000000001</v>
      </c>
      <c r="P46" s="68">
        <f>IF(Table1[[#This Row],[Team]]="David",Table1[[#This Row],[S&amp;P Return, same period]],"")</f>
        <v>1.9710000000000001</v>
      </c>
      <c r="Q46" s="68" t="str">
        <f>IF(Table1[[#This Row],[Team]]="Tom",Table1[[#This Row],[S&amp;P Return, same period]],"")</f>
        <v/>
      </c>
      <c r="R46" s="5">
        <v>1.885</v>
      </c>
      <c r="S46" s="14">
        <f>IF(Table1[[#This Row],[Team]]="David",Table1[[#This Row],[Difference Vs. S&amp;P Return]],"")</f>
        <v>1.885</v>
      </c>
      <c r="T46" s="14" t="str">
        <f>IF(Table1[[#This Row],[Team]]="Tom",Table1[[#This Row],[Difference Vs. S&amp;P Return]],"")</f>
        <v/>
      </c>
      <c r="U46" s="14">
        <f>ROUND((1+Table1[[#This Row],[Return (keep sorted by this column!)]])/(1+Table1[[#This Row],[S&amp;P Return, same period]])-1,1)</f>
        <v>0.6</v>
      </c>
      <c r="V46" s="15">
        <f>IF(Table1[[#This Row],[Team]]="David",Table1[[#This Row],[Improvement Vs. S&amp;P Return]],"")</f>
        <v>0.6</v>
      </c>
      <c r="W46" s="15" t="str">
        <f>IF(Table1[[#This Row],[Team]]="Tom",Table1[[#This Row],[Improvement Vs. S&amp;P Return]],"")</f>
        <v/>
      </c>
    </row>
    <row r="47" spans="1:23" ht="17" x14ac:dyDescent="0.2">
      <c r="A47" s="18">
        <v>41446</v>
      </c>
      <c r="B47" s="2" t="s">
        <v>83</v>
      </c>
      <c r="C47" s="2">
        <f>SUBTOTAL(103,Table1[[#This Row],[Recommendation Date]])</f>
        <v>1</v>
      </c>
      <c r="D47" s="2">
        <f>1</f>
        <v>1</v>
      </c>
      <c r="E47" s="16" t="s">
        <v>84</v>
      </c>
      <c r="F47" s="3" t="s">
        <v>85</v>
      </c>
      <c r="G47" s="3" t="s">
        <v>8</v>
      </c>
      <c r="H47" s="17"/>
      <c r="I47" s="4">
        <v>54.94</v>
      </c>
      <c r="J47" s="5">
        <v>3.7690000000000001</v>
      </c>
      <c r="K47" s="48">
        <f>ROUND(LOG10(Table1[[#This Row],[Return (keep sorted by this column!)]]+1),2)</f>
        <v>0.68</v>
      </c>
      <c r="L47" s="48">
        <f>COUNTIF(Table1[Return (keep sorted by this column!)],"&lt;"&amp;Table1[[#This Row],[Return (keep sorted by this column!)]])</f>
        <v>388</v>
      </c>
      <c r="M47" s="76" t="str">
        <f>IF(Table1[[#This Row],[Team]]="David",Table1[[#This Row],[Return (keep sorted by this column!)]],"")</f>
        <v/>
      </c>
      <c r="N47" s="76">
        <f>IF(Table1[[#This Row],[Team]]="Tom",Table1[[#This Row],[Return (keep sorted by this column!)]],"")</f>
        <v>3.7690000000000001</v>
      </c>
      <c r="O47" s="5">
        <v>0.97899999999999998</v>
      </c>
      <c r="P47" s="68" t="str">
        <f>IF(Table1[[#This Row],[Team]]="David",Table1[[#This Row],[S&amp;P Return, same period]],"")</f>
        <v/>
      </c>
      <c r="Q47" s="68">
        <f>IF(Table1[[#This Row],[Team]]="Tom",Table1[[#This Row],[S&amp;P Return, same period]],"")</f>
        <v>0.97899999999999998</v>
      </c>
      <c r="R47" s="5">
        <v>2.79</v>
      </c>
      <c r="S47" s="14" t="str">
        <f>IF(Table1[[#This Row],[Team]]="David",Table1[[#This Row],[Difference Vs. S&amp;P Return]],"")</f>
        <v/>
      </c>
      <c r="T47" s="14">
        <f>IF(Table1[[#This Row],[Team]]="Tom",Table1[[#This Row],[Difference Vs. S&amp;P Return]],"")</f>
        <v>2.79</v>
      </c>
      <c r="U47" s="14">
        <f>ROUND((1+Table1[[#This Row],[Return (keep sorted by this column!)]])/(1+Table1[[#This Row],[S&amp;P Return, same period]])-1,1)</f>
        <v>1.4</v>
      </c>
      <c r="V47" s="15" t="str">
        <f>IF(Table1[[#This Row],[Team]]="David",Table1[[#This Row],[Improvement Vs. S&amp;P Return]],"")</f>
        <v/>
      </c>
      <c r="W47" s="15">
        <f>IF(Table1[[#This Row],[Team]]="Tom",Table1[[#This Row],[Improvement Vs. S&amp;P Return]],"")</f>
        <v>1.4</v>
      </c>
    </row>
    <row r="48" spans="1:23" ht="17" x14ac:dyDescent="0.2">
      <c r="A48" s="18">
        <v>41229</v>
      </c>
      <c r="B48" s="2" t="s">
        <v>360</v>
      </c>
      <c r="C48" s="2">
        <f>SUBTOTAL(103,Table1[[#This Row],[Recommendation Date]])</f>
        <v>1</v>
      </c>
      <c r="D48" s="2">
        <f>1</f>
        <v>1</v>
      </c>
      <c r="E48" s="16" t="s">
        <v>361</v>
      </c>
      <c r="F48" s="3" t="s">
        <v>200</v>
      </c>
      <c r="G48" s="3" t="s">
        <v>12</v>
      </c>
      <c r="H48" s="16">
        <v>8</v>
      </c>
      <c r="I48" s="4">
        <v>55.05</v>
      </c>
      <c r="J48" s="5">
        <v>3.7229999999999999</v>
      </c>
      <c r="K48" s="48">
        <f>ROUND(LOG10(Table1[[#This Row],[Return (keep sorted by this column!)]]+1),2)</f>
        <v>0.67</v>
      </c>
      <c r="L48" s="48">
        <f>COUNTIF(Table1[Return (keep sorted by this column!)],"&lt;"&amp;Table1[[#This Row],[Return (keep sorted by this column!)]])</f>
        <v>387</v>
      </c>
      <c r="M48" s="76">
        <f>IF(Table1[[#This Row],[Team]]="David",Table1[[#This Row],[Return (keep sorted by this column!)]],"")</f>
        <v>3.7229999999999999</v>
      </c>
      <c r="N48" s="76" t="str">
        <f>IF(Table1[[#This Row],[Team]]="Tom",Table1[[#This Row],[Return (keep sorted by this column!)]],"")</f>
        <v/>
      </c>
      <c r="O48" s="5">
        <v>1.3480000000000001</v>
      </c>
      <c r="P48" s="68">
        <f>IF(Table1[[#This Row],[Team]]="David",Table1[[#This Row],[S&amp;P Return, same period]],"")</f>
        <v>1.3480000000000001</v>
      </c>
      <c r="Q48" s="68" t="str">
        <f>IF(Table1[[#This Row],[Team]]="Tom",Table1[[#This Row],[S&amp;P Return, same period]],"")</f>
        <v/>
      </c>
      <c r="R48" s="5">
        <v>2.375</v>
      </c>
      <c r="S48" s="14">
        <f>IF(Table1[[#This Row],[Team]]="David",Table1[[#This Row],[Difference Vs. S&amp;P Return]],"")</f>
        <v>2.375</v>
      </c>
      <c r="T48" s="14" t="str">
        <f>IF(Table1[[#This Row],[Team]]="Tom",Table1[[#This Row],[Difference Vs. S&amp;P Return]],"")</f>
        <v/>
      </c>
      <c r="U48" s="14">
        <f>ROUND((1+Table1[[#This Row],[Return (keep sorted by this column!)]])/(1+Table1[[#This Row],[S&amp;P Return, same period]])-1,1)</f>
        <v>1</v>
      </c>
      <c r="V48" s="15">
        <f>IF(Table1[[#This Row],[Team]]="David",Table1[[#This Row],[Improvement Vs. S&amp;P Return]],"")</f>
        <v>1</v>
      </c>
      <c r="W48" s="15" t="str">
        <f>IF(Table1[[#This Row],[Team]]="Tom",Table1[[#This Row],[Improvement Vs. S&amp;P Return]],"")</f>
        <v/>
      </c>
    </row>
    <row r="49" spans="1:23" ht="17" x14ac:dyDescent="0.2">
      <c r="A49" s="18">
        <v>38765</v>
      </c>
      <c r="B49" s="2" t="s">
        <v>189</v>
      </c>
      <c r="C49" s="2">
        <f>SUBTOTAL(103,Table1[[#This Row],[Recommendation Date]])</f>
        <v>1</v>
      </c>
      <c r="D49" s="2">
        <f>1</f>
        <v>1</v>
      </c>
      <c r="E49" s="16" t="s">
        <v>190</v>
      </c>
      <c r="F49" s="3" t="s">
        <v>142</v>
      </c>
      <c r="G49" s="3" t="s">
        <v>12</v>
      </c>
      <c r="H49" s="16">
        <v>7</v>
      </c>
      <c r="I49" s="4">
        <v>15.02</v>
      </c>
      <c r="J49" s="5">
        <v>3.714</v>
      </c>
      <c r="K49" s="48">
        <f>ROUND(LOG10(Table1[[#This Row],[Return (keep sorted by this column!)]]+1),2)</f>
        <v>0.67</v>
      </c>
      <c r="L49" s="48">
        <f>COUNTIF(Table1[Return (keep sorted by this column!)],"&lt;"&amp;Table1[[#This Row],[Return (keep sorted by this column!)]])</f>
        <v>386</v>
      </c>
      <c r="M49" s="14">
        <f>IF(Table1[[#This Row],[Team]]="David",Table1[[#This Row],[Return (keep sorted by this column!)]],"")</f>
        <v>3.714</v>
      </c>
      <c r="N49" s="14" t="str">
        <f>IF(Table1[[#This Row],[Team]]="Tom",Table1[[#This Row],[Return (keep sorted by this column!)]],"")</f>
        <v/>
      </c>
      <c r="O49" s="5">
        <v>1.865</v>
      </c>
      <c r="P49" s="23">
        <f>IF(Table1[[#This Row],[Team]]="David",Table1[[#This Row],[S&amp;P Return, same period]],"")</f>
        <v>1.865</v>
      </c>
      <c r="Q49" s="23" t="str">
        <f>IF(Table1[[#This Row],[Team]]="Tom",Table1[[#This Row],[S&amp;P Return, same period]],"")</f>
        <v/>
      </c>
      <c r="R49" s="5">
        <v>1.849</v>
      </c>
      <c r="S49" s="14">
        <f>IF(Table1[[#This Row],[Team]]="David",Table1[[#This Row],[Difference Vs. S&amp;P Return]],"")</f>
        <v>1.849</v>
      </c>
      <c r="T49" s="14" t="str">
        <f>IF(Table1[[#This Row],[Team]]="Tom",Table1[[#This Row],[Difference Vs. S&amp;P Return]],"")</f>
        <v/>
      </c>
      <c r="U49" s="14">
        <f>ROUND((1+Table1[[#This Row],[Return (keep sorted by this column!)]])/(1+Table1[[#This Row],[S&amp;P Return, same period]])-1,1)</f>
        <v>0.6</v>
      </c>
      <c r="V49" s="15">
        <f>IF(Table1[[#This Row],[Team]]="David",Table1[[#This Row],[Improvement Vs. S&amp;P Return]],"")</f>
        <v>0.6</v>
      </c>
      <c r="W49" s="15" t="str">
        <f>IF(Table1[[#This Row],[Team]]="Tom",Table1[[#This Row],[Improvement Vs. S&amp;P Return]],"")</f>
        <v/>
      </c>
    </row>
    <row r="50" spans="1:23" ht="17" x14ac:dyDescent="0.2">
      <c r="A50" s="18">
        <v>37631</v>
      </c>
      <c r="B50" s="2" t="s">
        <v>170</v>
      </c>
      <c r="C50" s="2">
        <f>SUBTOTAL(103,Table1[[#This Row],[Recommendation Date]])</f>
        <v>1</v>
      </c>
      <c r="D50" s="2">
        <f>1</f>
        <v>1</v>
      </c>
      <c r="E50" s="16" t="s">
        <v>171</v>
      </c>
      <c r="F50" s="3" t="s">
        <v>41</v>
      </c>
      <c r="G50" s="3" t="s">
        <v>8</v>
      </c>
      <c r="H50" s="17"/>
      <c r="I50" s="4">
        <v>5.79</v>
      </c>
      <c r="J50" s="5">
        <v>3.5</v>
      </c>
      <c r="K50" s="48">
        <f>ROUND(LOG10(Table1[[#This Row],[Return (keep sorted by this column!)]]+1),2)</f>
        <v>0.65</v>
      </c>
      <c r="L50" s="48">
        <f>COUNTIF(Table1[Return (keep sorted by this column!)],"&lt;"&amp;Table1[[#This Row],[Return (keep sorted by this column!)]])</f>
        <v>385</v>
      </c>
      <c r="M50" s="14" t="str">
        <f>IF(Table1[[#This Row],[Team]]="David",Table1[[#This Row],[Return (keep sorted by this column!)]],"")</f>
        <v/>
      </c>
      <c r="N50" s="14">
        <f>IF(Table1[[#This Row],[Team]]="Tom",Table1[[#This Row],[Return (keep sorted by this column!)]],"")</f>
        <v>3.5</v>
      </c>
      <c r="O50" s="5">
        <v>3.2029999999999998</v>
      </c>
      <c r="P50" s="23" t="str">
        <f>IF(Table1[[#This Row],[Team]]="David",Table1[[#This Row],[S&amp;P Return, same period]],"")</f>
        <v/>
      </c>
      <c r="Q50" s="23">
        <f>IF(Table1[[#This Row],[Team]]="Tom",Table1[[#This Row],[S&amp;P Return, same period]],"")</f>
        <v>3.2029999999999998</v>
      </c>
      <c r="R50" s="5">
        <v>0.29699999999999999</v>
      </c>
      <c r="S50" s="14" t="str">
        <f>IF(Table1[[#This Row],[Team]]="David",Table1[[#This Row],[Difference Vs. S&amp;P Return]],"")</f>
        <v/>
      </c>
      <c r="T50" s="14">
        <f>IF(Table1[[#This Row],[Team]]="Tom",Table1[[#This Row],[Difference Vs. S&amp;P Return]],"")</f>
        <v>0.29699999999999999</v>
      </c>
      <c r="U50" s="14">
        <f>ROUND((1+Table1[[#This Row],[Return (keep sorted by this column!)]])/(1+Table1[[#This Row],[S&amp;P Return, same period]])-1,1)</f>
        <v>0.1</v>
      </c>
      <c r="V50" s="15" t="str">
        <f>IF(Table1[[#This Row],[Team]]="David",Table1[[#This Row],[Improvement Vs. S&amp;P Return]],"")</f>
        <v/>
      </c>
      <c r="W50" s="15">
        <f>IF(Table1[[#This Row],[Team]]="Tom",Table1[[#This Row],[Improvement Vs. S&amp;P Return]],"")</f>
        <v>0.1</v>
      </c>
    </row>
    <row r="51" spans="1:23" ht="17" x14ac:dyDescent="0.2">
      <c r="A51" s="18">
        <v>40837</v>
      </c>
      <c r="B51" s="2" t="s">
        <v>399</v>
      </c>
      <c r="C51" s="2">
        <f>SUBTOTAL(103,Table1[[#This Row],[Recommendation Date]])</f>
        <v>1</v>
      </c>
      <c r="D51" s="2">
        <f>1</f>
        <v>1</v>
      </c>
      <c r="E51" s="16" t="s">
        <v>400</v>
      </c>
      <c r="F51" s="3" t="s">
        <v>27</v>
      </c>
      <c r="G51" s="3" t="s">
        <v>12</v>
      </c>
      <c r="H51" s="16">
        <v>9</v>
      </c>
      <c r="I51" s="4">
        <v>17.22</v>
      </c>
      <c r="J51" s="5">
        <v>3.4769999999999999</v>
      </c>
      <c r="K51" s="48">
        <f>ROUND(LOG10(Table1[[#This Row],[Return (keep sorted by this column!)]]+1),2)</f>
        <v>0.65</v>
      </c>
      <c r="L51" s="48">
        <f>COUNTIF(Table1[Return (keep sorted by this column!)],"&lt;"&amp;Table1[[#This Row],[Return (keep sorted by this column!)]])</f>
        <v>384</v>
      </c>
      <c r="M51" s="76">
        <f>IF(Table1[[#This Row],[Team]]="David",Table1[[#This Row],[Return (keep sorted by this column!)]],"")</f>
        <v>3.4769999999999999</v>
      </c>
      <c r="N51" s="76" t="str">
        <f>IF(Table1[[#This Row],[Team]]="Tom",Table1[[#This Row],[Return (keep sorted by this column!)]],"")</f>
        <v/>
      </c>
      <c r="O51" s="5">
        <v>1.643</v>
      </c>
      <c r="P51" s="68">
        <f>IF(Table1[[#This Row],[Team]]="David",Table1[[#This Row],[S&amp;P Return, same period]],"")</f>
        <v>1.643</v>
      </c>
      <c r="Q51" s="68" t="str">
        <f>IF(Table1[[#This Row],[Team]]="Tom",Table1[[#This Row],[S&amp;P Return, same period]],"")</f>
        <v/>
      </c>
      <c r="R51" s="5">
        <v>1.8340000000000001</v>
      </c>
      <c r="S51" s="14">
        <f>IF(Table1[[#This Row],[Team]]="David",Table1[[#This Row],[Difference Vs. S&amp;P Return]],"")</f>
        <v>1.8340000000000001</v>
      </c>
      <c r="T51" s="14" t="str">
        <f>IF(Table1[[#This Row],[Team]]="Tom",Table1[[#This Row],[Difference Vs. S&amp;P Return]],"")</f>
        <v/>
      </c>
      <c r="U51" s="14">
        <f>ROUND((1+Table1[[#This Row],[Return (keep sorted by this column!)]])/(1+Table1[[#This Row],[S&amp;P Return, same period]])-1,1)</f>
        <v>0.7</v>
      </c>
      <c r="V51" s="15">
        <f>IF(Table1[[#This Row],[Team]]="David",Table1[[#This Row],[Improvement Vs. S&amp;P Return]],"")</f>
        <v>0.7</v>
      </c>
      <c r="W51" s="15" t="str">
        <f>IF(Table1[[#This Row],[Team]]="Tom",Table1[[#This Row],[Improvement Vs. S&amp;P Return]],"")</f>
        <v/>
      </c>
    </row>
    <row r="52" spans="1:23" ht="45" x14ac:dyDescent="0.2">
      <c r="A52" s="18">
        <v>38401</v>
      </c>
      <c r="B52" s="2" t="s">
        <v>659</v>
      </c>
      <c r="C52" s="2">
        <f>SUBTOTAL(103,Table1[[#This Row],[Recommendation Date]])</f>
        <v>1</v>
      </c>
      <c r="D52" s="2">
        <f>1</f>
        <v>1</v>
      </c>
      <c r="E52" s="16" t="s">
        <v>660</v>
      </c>
      <c r="F52" s="3" t="s">
        <v>150</v>
      </c>
      <c r="G52" s="3" t="s">
        <v>8</v>
      </c>
      <c r="H52" s="17"/>
      <c r="I52" s="4">
        <v>17.309999999999999</v>
      </c>
      <c r="J52" s="5">
        <v>3.3250000000000002</v>
      </c>
      <c r="K52" s="48">
        <f>ROUND(LOG10(Table1[[#This Row],[Return (keep sorted by this column!)]]+1),2)</f>
        <v>0.64</v>
      </c>
      <c r="L52" s="48">
        <f>COUNTIF(Table1[Return (keep sorted by this column!)],"&lt;"&amp;Table1[[#This Row],[Return (keep sorted by this column!)]])</f>
        <v>383</v>
      </c>
      <c r="M52" s="14" t="str">
        <f>IF(Table1[[#This Row],[Team]]="David",Table1[[#This Row],[Return (keep sorted by this column!)]],"")</f>
        <v/>
      </c>
      <c r="N52" s="14">
        <f>IF(Table1[[#This Row],[Team]]="Tom",Table1[[#This Row],[Return (keep sorted by this column!)]],"")</f>
        <v>3.3250000000000002</v>
      </c>
      <c r="O52" s="5">
        <v>2.1259999999999999</v>
      </c>
      <c r="P52" s="23" t="str">
        <f>IF(Table1[[#This Row],[Team]]="David",Table1[[#This Row],[S&amp;P Return, same period]],"")</f>
        <v/>
      </c>
      <c r="Q52" s="23">
        <f>IF(Table1[[#This Row],[Team]]="Tom",Table1[[#This Row],[S&amp;P Return, same period]],"")</f>
        <v>2.1259999999999999</v>
      </c>
      <c r="R52" s="5">
        <v>1.1990000000000001</v>
      </c>
      <c r="S52" s="14" t="str">
        <f>IF(Table1[[#This Row],[Team]]="David",Table1[[#This Row],[Difference Vs. S&amp;P Return]],"")</f>
        <v/>
      </c>
      <c r="T52" s="14">
        <f>IF(Table1[[#This Row],[Team]]="Tom",Table1[[#This Row],[Difference Vs. S&amp;P Return]],"")</f>
        <v>1.1990000000000001</v>
      </c>
      <c r="U52" s="14">
        <f>ROUND((1+Table1[[#This Row],[Return (keep sorted by this column!)]])/(1+Table1[[#This Row],[S&amp;P Return, same period]])-1,1)</f>
        <v>0.4</v>
      </c>
      <c r="V52" s="15" t="str">
        <f>IF(Table1[[#This Row],[Team]]="David",Table1[[#This Row],[Improvement Vs. S&amp;P Return]],"")</f>
        <v/>
      </c>
      <c r="W52" s="15">
        <f>IF(Table1[[#This Row],[Team]]="Tom",Table1[[#This Row],[Improvement Vs. S&amp;P Return]],"")</f>
        <v>0.4</v>
      </c>
    </row>
    <row r="53" spans="1:23" ht="45" x14ac:dyDescent="0.2">
      <c r="A53" s="1">
        <v>37932</v>
      </c>
      <c r="B53" s="2" t="s">
        <v>701</v>
      </c>
      <c r="C53" s="2">
        <f>SUBTOTAL(103,Table1[[#This Row],[Recommendation Date]])</f>
        <v>1</v>
      </c>
      <c r="D53" s="2">
        <f>1</f>
        <v>1</v>
      </c>
      <c r="E53" s="16" t="s">
        <v>702</v>
      </c>
      <c r="F53" s="3" t="s">
        <v>252</v>
      </c>
      <c r="G53" s="3" t="s">
        <v>8</v>
      </c>
      <c r="H53" s="17"/>
      <c r="I53" s="4">
        <v>21.07</v>
      </c>
      <c r="J53" s="5">
        <v>3.3220000000000001</v>
      </c>
      <c r="K53" s="48">
        <f>ROUND(LOG10(Table1[[#This Row],[Return (keep sorted by this column!)]]+1),2)</f>
        <v>0.64</v>
      </c>
      <c r="L53" s="48">
        <f>COUNTIF(Table1[Return (keep sorted by this column!)],"&lt;"&amp;Table1[[#This Row],[Return (keep sorted by this column!)]])</f>
        <v>382</v>
      </c>
      <c r="M53" s="14" t="str">
        <f>IF(Table1[[#This Row],[Team]]="David",Table1[[#This Row],[Return (keep sorted by this column!)]],"")</f>
        <v/>
      </c>
      <c r="N53" s="14">
        <f>IF(Table1[[#This Row],[Team]]="Tom",Table1[[#This Row],[Return (keep sorted by this column!)]],"")</f>
        <v>3.3220000000000001</v>
      </c>
      <c r="O53" s="5">
        <v>0.66100000000000003</v>
      </c>
      <c r="P53" s="23" t="str">
        <f>IF(Table1[[#This Row],[Team]]="David",Table1[[#This Row],[S&amp;P Return, same period]],"")</f>
        <v/>
      </c>
      <c r="Q53" s="23">
        <f>IF(Table1[[#This Row],[Team]]="Tom",Table1[[#This Row],[S&amp;P Return, same period]],"")</f>
        <v>0.66100000000000003</v>
      </c>
      <c r="R53" s="5">
        <v>2.661</v>
      </c>
      <c r="S53" s="14" t="str">
        <f>IF(Table1[[#This Row],[Team]]="David",Table1[[#This Row],[Difference Vs. S&amp;P Return]],"")</f>
        <v/>
      </c>
      <c r="T53" s="14">
        <f>IF(Table1[[#This Row],[Team]]="Tom",Table1[[#This Row],[Difference Vs. S&amp;P Return]],"")</f>
        <v>2.661</v>
      </c>
      <c r="U53" s="14">
        <f>ROUND((1+Table1[[#This Row],[Return (keep sorted by this column!)]])/(1+Table1[[#This Row],[S&amp;P Return, same period]])-1,1)</f>
        <v>1.6</v>
      </c>
      <c r="V53" s="15" t="str">
        <f>IF(Table1[[#This Row],[Team]]="David",Table1[[#This Row],[Improvement Vs. S&amp;P Return]],"")</f>
        <v/>
      </c>
      <c r="W53" s="15">
        <f>IF(Table1[[#This Row],[Team]]="Tom",Table1[[#This Row],[Improvement Vs. S&amp;P Return]],"")</f>
        <v>1.6</v>
      </c>
    </row>
    <row r="54" spans="1:23" ht="17" x14ac:dyDescent="0.2">
      <c r="A54" s="18">
        <v>40501</v>
      </c>
      <c r="B54" s="2" t="s">
        <v>440</v>
      </c>
      <c r="C54" s="2">
        <f>SUBTOTAL(103,Table1[[#This Row],[Recommendation Date]])</f>
        <v>1</v>
      </c>
      <c r="D54" s="2">
        <f>1</f>
        <v>1</v>
      </c>
      <c r="E54" s="16" t="s">
        <v>441</v>
      </c>
      <c r="F54" s="3" t="s">
        <v>27</v>
      </c>
      <c r="G54" s="3" t="s">
        <v>8</v>
      </c>
      <c r="H54" s="17"/>
      <c r="I54" s="4">
        <v>42.69</v>
      </c>
      <c r="J54" s="5">
        <v>3.2839999999999998</v>
      </c>
      <c r="K54" s="48">
        <f>ROUND(LOG10(Table1[[#This Row],[Return (keep sorted by this column!)]]+1),2)</f>
        <v>0.63</v>
      </c>
      <c r="L54" s="48">
        <f>COUNTIF(Table1[Return (keep sorted by this column!)],"&lt;"&amp;Table1[[#This Row],[Return (keep sorted by this column!)]])</f>
        <v>381</v>
      </c>
      <c r="M54" s="76" t="str">
        <f>IF(Table1[[#This Row],[Team]]="David",Table1[[#This Row],[Return (keep sorted by this column!)]],"")</f>
        <v/>
      </c>
      <c r="N54" s="76">
        <f>IF(Table1[[#This Row],[Team]]="Tom",Table1[[#This Row],[Return (keep sorted by this column!)]],"")</f>
        <v>3.2839999999999998</v>
      </c>
      <c r="O54" s="5">
        <v>1.778</v>
      </c>
      <c r="P54" s="68" t="str">
        <f>IF(Table1[[#This Row],[Team]]="David",Table1[[#This Row],[S&amp;P Return, same period]],"")</f>
        <v/>
      </c>
      <c r="Q54" s="68">
        <f>IF(Table1[[#This Row],[Team]]="Tom",Table1[[#This Row],[S&amp;P Return, same period]],"")</f>
        <v>1.778</v>
      </c>
      <c r="R54" s="5">
        <v>1.506</v>
      </c>
      <c r="S54" s="14" t="str">
        <f>IF(Table1[[#This Row],[Team]]="David",Table1[[#This Row],[Difference Vs. S&amp;P Return]],"")</f>
        <v/>
      </c>
      <c r="T54" s="14">
        <f>IF(Table1[[#This Row],[Team]]="Tom",Table1[[#This Row],[Difference Vs. S&amp;P Return]],"")</f>
        <v>1.506</v>
      </c>
      <c r="U54" s="14">
        <f>ROUND((1+Table1[[#This Row],[Return (keep sorted by this column!)]])/(1+Table1[[#This Row],[S&amp;P Return, same period]])-1,1)</f>
        <v>0.5</v>
      </c>
      <c r="V54" s="15" t="str">
        <f>IF(Table1[[#This Row],[Team]]="David",Table1[[#This Row],[Improvement Vs. S&amp;P Return]],"")</f>
        <v/>
      </c>
      <c r="W54" s="15">
        <f>IF(Table1[[#This Row],[Team]]="Tom",Table1[[#This Row],[Improvement Vs. S&amp;P Return]],"")</f>
        <v>0.5</v>
      </c>
    </row>
    <row r="55" spans="1:23" ht="17" x14ac:dyDescent="0.2">
      <c r="A55" s="18">
        <v>42601</v>
      </c>
      <c r="B55" s="2" t="s">
        <v>196</v>
      </c>
      <c r="C55" s="2">
        <f>SUBTOTAL(103,Table1[[#This Row],[Recommendation Date]])</f>
        <v>1</v>
      </c>
      <c r="D55" s="2">
        <f>1</f>
        <v>1</v>
      </c>
      <c r="E55" s="16" t="s">
        <v>197</v>
      </c>
      <c r="F55" s="3" t="s">
        <v>157</v>
      </c>
      <c r="G55" s="3" t="s">
        <v>12</v>
      </c>
      <c r="H55" s="16">
        <v>10</v>
      </c>
      <c r="I55" s="4">
        <v>15.12</v>
      </c>
      <c r="J55" s="5">
        <v>3.234</v>
      </c>
      <c r="K55" s="48">
        <f>ROUND(LOG10(Table1[[#This Row],[Return (keep sorted by this column!)]]+1),2)</f>
        <v>0.63</v>
      </c>
      <c r="L55" s="48">
        <f>COUNTIF(Table1[Return (keep sorted by this column!)],"&lt;"&amp;Table1[[#This Row],[Return (keep sorted by this column!)]])</f>
        <v>380</v>
      </c>
      <c r="M55" s="76">
        <f>IF(Table1[[#This Row],[Team]]="David",Table1[[#This Row],[Return (keep sorted by this column!)]],"")</f>
        <v>3.234</v>
      </c>
      <c r="N55" s="76" t="str">
        <f>IF(Table1[[#This Row],[Team]]="Tom",Table1[[#This Row],[Return (keep sorted by this column!)]],"")</f>
        <v/>
      </c>
      <c r="O55" s="5">
        <v>0.35</v>
      </c>
      <c r="P55" s="68">
        <f>IF(Table1[[#This Row],[Team]]="David",Table1[[#This Row],[S&amp;P Return, same period]],"")</f>
        <v>0.35</v>
      </c>
      <c r="Q55" s="68" t="str">
        <f>IF(Table1[[#This Row],[Team]]="Tom",Table1[[#This Row],[S&amp;P Return, same period]],"")</f>
        <v/>
      </c>
      <c r="R55" s="5">
        <v>2.8839999999999999</v>
      </c>
      <c r="S55" s="14">
        <f>IF(Table1[[#This Row],[Team]]="David",Table1[[#This Row],[Difference Vs. S&amp;P Return]],"")</f>
        <v>2.8839999999999999</v>
      </c>
      <c r="T55" s="14" t="str">
        <f>IF(Table1[[#This Row],[Team]]="Tom",Table1[[#This Row],[Difference Vs. S&amp;P Return]],"")</f>
        <v/>
      </c>
      <c r="U55" s="14">
        <f>ROUND((1+Table1[[#This Row],[Return (keep sorted by this column!)]])/(1+Table1[[#This Row],[S&amp;P Return, same period]])-1,1)</f>
        <v>2.1</v>
      </c>
      <c r="V55" s="15">
        <f>IF(Table1[[#This Row],[Team]]="David",Table1[[#This Row],[Improvement Vs. S&amp;P Return]],"")</f>
        <v>2.1</v>
      </c>
      <c r="W55" s="15" t="str">
        <f>IF(Table1[[#This Row],[Team]]="Tom",Table1[[#This Row],[Improvement Vs. S&amp;P Return]],"")</f>
        <v/>
      </c>
    </row>
    <row r="56" spans="1:23" ht="60" x14ac:dyDescent="0.2">
      <c r="A56" s="1">
        <v>39773</v>
      </c>
      <c r="B56" s="2" t="s">
        <v>530</v>
      </c>
      <c r="C56" s="2">
        <f>SUBTOTAL(103,Table1[[#This Row],[Recommendation Date]])</f>
        <v>1</v>
      </c>
      <c r="D56" s="2">
        <f>1</f>
        <v>1</v>
      </c>
      <c r="E56" s="16" t="s">
        <v>531</v>
      </c>
      <c r="F56" s="3" t="s">
        <v>66</v>
      </c>
      <c r="G56" s="3" t="s">
        <v>8</v>
      </c>
      <c r="H56" s="17"/>
      <c r="I56" s="4">
        <v>22.73</v>
      </c>
      <c r="J56" s="5">
        <v>3.169</v>
      </c>
      <c r="K56" s="48">
        <f>ROUND(LOG10(Table1[[#This Row],[Return (keep sorted by this column!)]]+1),2)</f>
        <v>0.62</v>
      </c>
      <c r="L56" s="48">
        <f>COUNTIF(Table1[Return (keep sorted by this column!)],"&lt;"&amp;Table1[[#This Row],[Return (keep sorted by this column!)]])</f>
        <v>379</v>
      </c>
      <c r="M56" s="14" t="str">
        <f>IF(Table1[[#This Row],[Team]]="David",Table1[[#This Row],[Return (keep sorted by this column!)]],"")</f>
        <v/>
      </c>
      <c r="N56" s="14">
        <f>IF(Table1[[#This Row],[Team]]="Tom",Table1[[#This Row],[Return (keep sorted by this column!)]],"")</f>
        <v>3.169</v>
      </c>
      <c r="O56" s="5">
        <v>3.238</v>
      </c>
      <c r="P56" s="23" t="str">
        <f>IF(Table1[[#This Row],[Team]]="David",Table1[[#This Row],[S&amp;P Return, same period]],"")</f>
        <v/>
      </c>
      <c r="Q56" s="23">
        <f>IF(Table1[[#This Row],[Team]]="Tom",Table1[[#This Row],[S&amp;P Return, same period]],"")</f>
        <v>3.238</v>
      </c>
      <c r="R56" s="5">
        <v>-6.9000000000000006E-2</v>
      </c>
      <c r="S56" s="14" t="str">
        <f>IF(Table1[[#This Row],[Team]]="David",Table1[[#This Row],[Difference Vs. S&amp;P Return]],"")</f>
        <v/>
      </c>
      <c r="T56" s="14">
        <f>IF(Table1[[#This Row],[Team]]="Tom",Table1[[#This Row],[Difference Vs. S&amp;P Return]],"")</f>
        <v>-6.9000000000000006E-2</v>
      </c>
      <c r="U56" s="14">
        <f>ROUND((1+Table1[[#This Row],[Return (keep sorted by this column!)]])/(1+Table1[[#This Row],[S&amp;P Return, same period]])-1,1)</f>
        <v>0</v>
      </c>
      <c r="V56" s="15" t="str">
        <f>IF(Table1[[#This Row],[Team]]="David",Table1[[#This Row],[Improvement Vs. S&amp;P Return]],"")</f>
        <v/>
      </c>
      <c r="W56" s="15">
        <f>IF(Table1[[#This Row],[Team]]="Tom",Table1[[#This Row],[Improvement Vs. S&amp;P Return]],"")</f>
        <v>0</v>
      </c>
    </row>
    <row r="57" spans="1:23" ht="90" x14ac:dyDescent="0.2">
      <c r="A57" s="18">
        <v>41110</v>
      </c>
      <c r="B57" s="2" t="s">
        <v>371</v>
      </c>
      <c r="C57" s="2">
        <f>SUBTOTAL(103,Table1[[#This Row],[Recommendation Date]])</f>
        <v>1</v>
      </c>
      <c r="D57" s="2">
        <f>1</f>
        <v>1</v>
      </c>
      <c r="E57" s="3" t="s">
        <v>372</v>
      </c>
      <c r="F57" s="3" t="s">
        <v>267</v>
      </c>
      <c r="G57" s="3" t="s">
        <v>8</v>
      </c>
      <c r="H57" s="17"/>
      <c r="I57" s="3" t="s">
        <v>268</v>
      </c>
      <c r="J57" s="5">
        <v>2.988</v>
      </c>
      <c r="K57" s="48">
        <f>ROUND(LOG10(Table1[[#This Row],[Return (keep sorted by this column!)]]+1),2)</f>
        <v>0.6</v>
      </c>
      <c r="L57" s="48">
        <f>COUNTIF(Table1[Return (keep sorted by this column!)],"&lt;"&amp;Table1[[#This Row],[Return (keep sorted by this column!)]])</f>
        <v>378</v>
      </c>
      <c r="M57" s="76" t="str">
        <f>IF(Table1[[#This Row],[Team]]="David",Table1[[#This Row],[Return (keep sorted by this column!)]],"")</f>
        <v/>
      </c>
      <c r="N57" s="76">
        <f>IF(Table1[[#This Row],[Team]]="Tom",Table1[[#This Row],[Return (keep sorted by this column!)]],"")</f>
        <v>2.988</v>
      </c>
      <c r="O57" s="5">
        <v>1.3620000000000001</v>
      </c>
      <c r="P57" s="68" t="str">
        <f>IF(Table1[[#This Row],[Team]]="David",Table1[[#This Row],[S&amp;P Return, same period]],"")</f>
        <v/>
      </c>
      <c r="Q57" s="68">
        <f>IF(Table1[[#This Row],[Team]]="Tom",Table1[[#This Row],[S&amp;P Return, same period]],"")</f>
        <v>1.3620000000000001</v>
      </c>
      <c r="R57" s="5">
        <v>1.6259999999999999</v>
      </c>
      <c r="S57" s="14" t="str">
        <f>IF(Table1[[#This Row],[Team]]="David",Table1[[#This Row],[Difference Vs. S&amp;P Return]],"")</f>
        <v/>
      </c>
      <c r="T57" s="14">
        <f>IF(Table1[[#This Row],[Team]]="Tom",Table1[[#This Row],[Difference Vs. S&amp;P Return]],"")</f>
        <v>1.6259999999999999</v>
      </c>
      <c r="U57" s="14">
        <f>ROUND((1+Table1[[#This Row],[Return (keep sorted by this column!)]])/(1+Table1[[#This Row],[S&amp;P Return, same period]])-1,1)</f>
        <v>0.7</v>
      </c>
      <c r="V57" s="15" t="str">
        <f>IF(Table1[[#This Row],[Team]]="David",Table1[[#This Row],[Improvement Vs. S&amp;P Return]],"")</f>
        <v/>
      </c>
      <c r="W57" s="15">
        <f>IF(Table1[[#This Row],[Team]]="Tom",Table1[[#This Row],[Improvement Vs. S&amp;P Return]],"")</f>
        <v>0.7</v>
      </c>
    </row>
    <row r="58" spans="1:23" ht="30" x14ac:dyDescent="0.2">
      <c r="A58" s="18">
        <v>39983</v>
      </c>
      <c r="B58" s="2" t="s">
        <v>276</v>
      </c>
      <c r="C58" s="2">
        <f>SUBTOTAL(103,Table1[[#This Row],[Recommendation Date]])</f>
        <v>1</v>
      </c>
      <c r="D58" s="2">
        <f>1</f>
        <v>1</v>
      </c>
      <c r="E58" s="16" t="s">
        <v>277</v>
      </c>
      <c r="F58" s="3" t="s">
        <v>157</v>
      </c>
      <c r="G58" s="3" t="s">
        <v>8</v>
      </c>
      <c r="H58" s="17"/>
      <c r="I58" s="4">
        <v>11.01</v>
      </c>
      <c r="J58" s="5">
        <v>2.9870000000000001</v>
      </c>
      <c r="K58" s="48">
        <f>ROUND(LOG10(Table1[[#This Row],[Return (keep sorted by this column!)]]+1),2)</f>
        <v>0.6</v>
      </c>
      <c r="L58" s="48">
        <f>COUNTIF(Table1[Return (keep sorted by this column!)],"&lt;"&amp;Table1[[#This Row],[Return (keep sorted by this column!)]])</f>
        <v>377</v>
      </c>
      <c r="M58" s="14" t="str">
        <f>IF(Table1[[#This Row],[Team]]="David",Table1[[#This Row],[Return (keep sorted by this column!)]],"")</f>
        <v/>
      </c>
      <c r="N58" s="14">
        <f>IF(Table1[[#This Row],[Team]]="Tom",Table1[[#This Row],[Return (keep sorted by this column!)]],"")</f>
        <v>2.9870000000000001</v>
      </c>
      <c r="O58" s="5">
        <v>2.7250000000000001</v>
      </c>
      <c r="P58" s="23" t="str">
        <f>IF(Table1[[#This Row],[Team]]="David",Table1[[#This Row],[S&amp;P Return, same period]],"")</f>
        <v/>
      </c>
      <c r="Q58" s="23">
        <f>IF(Table1[[#This Row],[Team]]="Tom",Table1[[#This Row],[S&amp;P Return, same period]],"")</f>
        <v>2.7250000000000001</v>
      </c>
      <c r="R58" s="5">
        <v>0.26200000000000001</v>
      </c>
      <c r="S58" s="14" t="str">
        <f>IF(Table1[[#This Row],[Team]]="David",Table1[[#This Row],[Difference Vs. S&amp;P Return]],"")</f>
        <v/>
      </c>
      <c r="T58" s="14">
        <f>IF(Table1[[#This Row],[Team]]="Tom",Table1[[#This Row],[Difference Vs. S&amp;P Return]],"")</f>
        <v>0.26200000000000001</v>
      </c>
      <c r="U58" s="14">
        <f>ROUND((1+Table1[[#This Row],[Return (keep sorted by this column!)]])/(1+Table1[[#This Row],[S&amp;P Return, same period]])-1,1)</f>
        <v>0.1</v>
      </c>
      <c r="V58" s="15" t="str">
        <f>IF(Table1[[#This Row],[Team]]="David",Table1[[#This Row],[Improvement Vs. S&amp;P Return]],"")</f>
        <v/>
      </c>
      <c r="W58" s="15">
        <f>IF(Table1[[#This Row],[Team]]="Tom",Table1[[#This Row],[Improvement Vs. S&amp;P Return]],"")</f>
        <v>0.1</v>
      </c>
    </row>
    <row r="59" spans="1:23" ht="17" x14ac:dyDescent="0.2">
      <c r="A59" s="31">
        <v>43119</v>
      </c>
      <c r="B59" s="32" t="s">
        <v>115</v>
      </c>
      <c r="C59" s="32">
        <f>SUBTOTAL(103,Table1[[#This Row],[Recommendation Date]])</f>
        <v>1</v>
      </c>
      <c r="D59" s="32">
        <f>1</f>
        <v>1</v>
      </c>
      <c r="E59" s="33" t="s">
        <v>116</v>
      </c>
      <c r="F59" s="34" t="s">
        <v>44</v>
      </c>
      <c r="G59" s="34" t="s">
        <v>12</v>
      </c>
      <c r="H59" s="33">
        <v>11</v>
      </c>
      <c r="I59" s="36">
        <v>29.18</v>
      </c>
      <c r="J59" s="37">
        <v>2.9359999999999999</v>
      </c>
      <c r="K59" s="49">
        <f>ROUND(LOG10(Table1[[#This Row],[Return (keep sorted by this column!)]]+1),2)</f>
        <v>0.6</v>
      </c>
      <c r="L59" s="49">
        <f>COUNTIF(Table1[Return (keep sorted by this column!)],"&lt;"&amp;Table1[[#This Row],[Return (keep sorted by this column!)]])</f>
        <v>376</v>
      </c>
      <c r="M59" s="76">
        <f>IF(Table1[[#This Row],[Team]]="David",Table1[[#This Row],[Return (keep sorted by this column!)]],"")</f>
        <v>2.9359999999999999</v>
      </c>
      <c r="N59" s="76" t="str">
        <f>IF(Table1[[#This Row],[Team]]="Tom",Table1[[#This Row],[Return (keep sorted by this column!)]],"")</f>
        <v/>
      </c>
      <c r="O59" s="37">
        <v>0.02</v>
      </c>
      <c r="P59" s="68">
        <f>IF(Table1[[#This Row],[Team]]="David",Table1[[#This Row],[S&amp;P Return, same period]],"")</f>
        <v>0.02</v>
      </c>
      <c r="Q59" s="68" t="str">
        <f>IF(Table1[[#This Row],[Team]]="Tom",Table1[[#This Row],[S&amp;P Return, same period]],"")</f>
        <v/>
      </c>
      <c r="R59" s="37">
        <v>2.9159999999999999</v>
      </c>
      <c r="S59" s="14">
        <f>IF(Table1[[#This Row],[Team]]="David",Table1[[#This Row],[Difference Vs. S&amp;P Return]],"")</f>
        <v>2.9159999999999999</v>
      </c>
      <c r="T59" s="14" t="str">
        <f>IF(Table1[[#This Row],[Team]]="Tom",Table1[[#This Row],[Difference Vs. S&amp;P Return]],"")</f>
        <v/>
      </c>
      <c r="U59" s="14">
        <f>ROUND((1+Table1[[#This Row],[Return (keep sorted by this column!)]])/(1+Table1[[#This Row],[S&amp;P Return, same period]])-1,1)</f>
        <v>2.9</v>
      </c>
      <c r="V59" s="15">
        <f>IF(Table1[[#This Row],[Team]]="David",Table1[[#This Row],[Improvement Vs. S&amp;P Return]],"")</f>
        <v>2.9</v>
      </c>
      <c r="W59" s="15" t="str">
        <f>IF(Table1[[#This Row],[Team]]="Tom",Table1[[#This Row],[Improvement Vs. S&amp;P Return]],"")</f>
        <v/>
      </c>
    </row>
    <row r="60" spans="1:23" ht="45" x14ac:dyDescent="0.2">
      <c r="A60" s="18">
        <v>39527</v>
      </c>
      <c r="B60" s="2" t="s">
        <v>551</v>
      </c>
      <c r="C60" s="2">
        <f>SUBTOTAL(103,Table1[[#This Row],[Recommendation Date]])</f>
        <v>1</v>
      </c>
      <c r="D60" s="2">
        <f>1</f>
        <v>1</v>
      </c>
      <c r="E60" s="16" t="s">
        <v>552</v>
      </c>
      <c r="F60" s="3" t="s">
        <v>553</v>
      </c>
      <c r="G60" s="3" t="s">
        <v>12</v>
      </c>
      <c r="H60" s="16">
        <v>6</v>
      </c>
      <c r="I60" s="4">
        <v>19.34</v>
      </c>
      <c r="J60" s="5">
        <v>2.915</v>
      </c>
      <c r="K60" s="48">
        <f>ROUND(LOG10(Table1[[#This Row],[Return (keep sorted by this column!)]]+1),2)</f>
        <v>0.59</v>
      </c>
      <c r="L60" s="48">
        <f>COUNTIF(Table1[Return (keep sorted by this column!)],"&lt;"&amp;Table1[[#This Row],[Return (keep sorted by this column!)]])</f>
        <v>375</v>
      </c>
      <c r="M60" s="14">
        <f>IF(Table1[[#This Row],[Team]]="David",Table1[[#This Row],[Return (keep sorted by this column!)]],"")</f>
        <v>2.915</v>
      </c>
      <c r="N60" s="14" t="str">
        <f>IF(Table1[[#This Row],[Team]]="Tom",Table1[[#This Row],[Return (keep sorted by this column!)]],"")</f>
        <v/>
      </c>
      <c r="O60" s="5">
        <v>1.665</v>
      </c>
      <c r="P60" s="23">
        <f>IF(Table1[[#This Row],[Team]]="David",Table1[[#This Row],[S&amp;P Return, same period]],"")</f>
        <v>1.665</v>
      </c>
      <c r="Q60" s="23" t="str">
        <f>IF(Table1[[#This Row],[Team]]="Tom",Table1[[#This Row],[S&amp;P Return, same period]],"")</f>
        <v/>
      </c>
      <c r="R60" s="5">
        <v>1.25</v>
      </c>
      <c r="S60" s="14">
        <f>IF(Table1[[#This Row],[Team]]="David",Table1[[#This Row],[Difference Vs. S&amp;P Return]],"")</f>
        <v>1.25</v>
      </c>
      <c r="T60" s="14" t="str">
        <f>IF(Table1[[#This Row],[Team]]="Tom",Table1[[#This Row],[Difference Vs. S&amp;P Return]],"")</f>
        <v/>
      </c>
      <c r="U60" s="14">
        <f>ROUND((1+Table1[[#This Row],[Return (keep sorted by this column!)]])/(1+Table1[[#This Row],[S&amp;P Return, same period]])-1,1)</f>
        <v>0.5</v>
      </c>
      <c r="V60" s="15">
        <f>IF(Table1[[#This Row],[Team]]="David",Table1[[#This Row],[Improvement Vs. S&amp;P Return]],"")</f>
        <v>0.5</v>
      </c>
      <c r="W60" s="15" t="str">
        <f>IF(Table1[[#This Row],[Team]]="Tom",Table1[[#This Row],[Improvement Vs. S&amp;P Return]],"")</f>
        <v/>
      </c>
    </row>
    <row r="61" spans="1:23" ht="17" x14ac:dyDescent="0.2">
      <c r="A61" s="18">
        <v>40865</v>
      </c>
      <c r="B61" s="2" t="s">
        <v>189</v>
      </c>
      <c r="C61" s="2">
        <f>SUBTOTAL(103,Table1[[#This Row],[Recommendation Date]])</f>
        <v>1</v>
      </c>
      <c r="D61" s="2">
        <f>1</f>
        <v>1</v>
      </c>
      <c r="E61" s="16" t="s">
        <v>190</v>
      </c>
      <c r="F61" s="3" t="s">
        <v>142</v>
      </c>
      <c r="G61" s="3" t="s">
        <v>12</v>
      </c>
      <c r="H61" s="16">
        <v>7</v>
      </c>
      <c r="I61" s="4">
        <v>18.36</v>
      </c>
      <c r="J61" s="5">
        <v>2.8580000000000001</v>
      </c>
      <c r="K61" s="48">
        <f>ROUND(LOG10(Table1[[#This Row],[Return (keep sorted by this column!)]]+1),2)</f>
        <v>0.59</v>
      </c>
      <c r="L61" s="48">
        <f>COUNTIF(Table1[Return (keep sorted by this column!)],"&lt;"&amp;Table1[[#This Row],[Return (keep sorted by this column!)]])</f>
        <v>374</v>
      </c>
      <c r="M61" s="76">
        <f>IF(Table1[[#This Row],[Team]]="David",Table1[[#This Row],[Return (keep sorted by this column!)]],"")</f>
        <v>2.8580000000000001</v>
      </c>
      <c r="N61" s="76" t="str">
        <f>IF(Table1[[#This Row],[Team]]="Tom",Table1[[#This Row],[Return (keep sorted by this column!)]],"")</f>
        <v/>
      </c>
      <c r="O61" s="5">
        <v>1.6859999999999999</v>
      </c>
      <c r="P61" s="68">
        <f>IF(Table1[[#This Row],[Team]]="David",Table1[[#This Row],[S&amp;P Return, same period]],"")</f>
        <v>1.6859999999999999</v>
      </c>
      <c r="Q61" s="68" t="str">
        <f>IF(Table1[[#This Row],[Team]]="Tom",Table1[[#This Row],[S&amp;P Return, same period]],"")</f>
        <v/>
      </c>
      <c r="R61" s="5">
        <v>1.1719999999999999</v>
      </c>
      <c r="S61" s="14">
        <f>IF(Table1[[#This Row],[Team]]="David",Table1[[#This Row],[Difference Vs. S&amp;P Return]],"")</f>
        <v>1.1719999999999999</v>
      </c>
      <c r="T61" s="14" t="str">
        <f>IF(Table1[[#This Row],[Team]]="Tom",Table1[[#This Row],[Difference Vs. S&amp;P Return]],"")</f>
        <v/>
      </c>
      <c r="U61" s="14">
        <f>ROUND((1+Table1[[#This Row],[Return (keep sorted by this column!)]])/(1+Table1[[#This Row],[S&amp;P Return, same period]])-1,1)</f>
        <v>0.4</v>
      </c>
      <c r="V61" s="15">
        <f>IF(Table1[[#This Row],[Team]]="David",Table1[[#This Row],[Improvement Vs. S&amp;P Return]],"")</f>
        <v>0.4</v>
      </c>
      <c r="W61" s="15" t="str">
        <f>IF(Table1[[#This Row],[Team]]="Tom",Table1[[#This Row],[Improvement Vs. S&amp;P Return]],"")</f>
        <v/>
      </c>
    </row>
    <row r="62" spans="1:23" ht="90" x14ac:dyDescent="0.2">
      <c r="A62" s="1">
        <v>38947</v>
      </c>
      <c r="B62" s="2" t="s">
        <v>608</v>
      </c>
      <c r="C62" s="2">
        <f>SUBTOTAL(103,Table1[[#This Row],[Recommendation Date]])</f>
        <v>1</v>
      </c>
      <c r="D62" s="2">
        <f>1</f>
        <v>1</v>
      </c>
      <c r="E62" s="16" t="s">
        <v>609</v>
      </c>
      <c r="F62" s="17"/>
      <c r="G62" s="3" t="s">
        <v>12</v>
      </c>
      <c r="H62" s="17"/>
      <c r="I62" s="4">
        <v>23.86</v>
      </c>
      <c r="J62" s="5">
        <v>2.851</v>
      </c>
      <c r="K62" s="48">
        <f>ROUND(LOG10(Table1[[#This Row],[Return (keep sorted by this column!)]]+1),2)</f>
        <v>0.59</v>
      </c>
      <c r="L62" s="48">
        <f>COUNTIF(Table1[Return (keep sorted by this column!)],"&lt;"&amp;Table1[[#This Row],[Return (keep sorted by this column!)]])</f>
        <v>373</v>
      </c>
      <c r="M62" s="14">
        <f>IF(Table1[[#This Row],[Team]]="David",Table1[[#This Row],[Return (keep sorted by this column!)]],"")</f>
        <v>2.851</v>
      </c>
      <c r="N62" s="14" t="str">
        <f>IF(Table1[[#This Row],[Team]]="Tom",Table1[[#This Row],[Return (keep sorted by this column!)]],"")</f>
        <v/>
      </c>
      <c r="O62" s="5">
        <v>1.044</v>
      </c>
      <c r="P62" s="23">
        <f>IF(Table1[[#This Row],[Team]]="David",Table1[[#This Row],[S&amp;P Return, same period]],"")</f>
        <v>1.044</v>
      </c>
      <c r="Q62" s="23" t="str">
        <f>IF(Table1[[#This Row],[Team]]="Tom",Table1[[#This Row],[S&amp;P Return, same period]],"")</f>
        <v/>
      </c>
      <c r="R62" s="5">
        <v>1.8080000000000001</v>
      </c>
      <c r="S62" s="14">
        <f>IF(Table1[[#This Row],[Team]]="David",Table1[[#This Row],[Difference Vs. S&amp;P Return]],"")</f>
        <v>1.8080000000000001</v>
      </c>
      <c r="T62" s="14" t="str">
        <f>IF(Table1[[#This Row],[Team]]="Tom",Table1[[#This Row],[Difference Vs. S&amp;P Return]],"")</f>
        <v/>
      </c>
      <c r="U62" s="14">
        <f>ROUND((1+Table1[[#This Row],[Return (keep sorted by this column!)]])/(1+Table1[[#This Row],[S&amp;P Return, same period]])-1,1)</f>
        <v>0.9</v>
      </c>
      <c r="V62" s="15">
        <f>IF(Table1[[#This Row],[Team]]="David",Table1[[#This Row],[Improvement Vs. S&amp;P Return]],"")</f>
        <v>0.9</v>
      </c>
      <c r="W62" s="15" t="str">
        <f>IF(Table1[[#This Row],[Team]]="Tom",Table1[[#This Row],[Improvement Vs. S&amp;P Return]],"")</f>
        <v/>
      </c>
    </row>
    <row r="63" spans="1:23" ht="30" x14ac:dyDescent="0.2">
      <c r="A63" s="18">
        <v>41838</v>
      </c>
      <c r="B63" s="2" t="s">
        <v>296</v>
      </c>
      <c r="C63" s="2">
        <f>SUBTOTAL(103,Table1[[#This Row],[Recommendation Date]])</f>
        <v>1</v>
      </c>
      <c r="D63" s="2">
        <f>1</f>
        <v>1</v>
      </c>
      <c r="E63" s="16" t="s">
        <v>297</v>
      </c>
      <c r="F63" s="3" t="s">
        <v>298</v>
      </c>
      <c r="G63" s="3" t="s">
        <v>12</v>
      </c>
      <c r="H63" s="16">
        <v>8</v>
      </c>
      <c r="I63" s="4">
        <v>65.63</v>
      </c>
      <c r="J63" s="5">
        <v>2.7</v>
      </c>
      <c r="K63" s="48">
        <f>ROUND(LOG10(Table1[[#This Row],[Return (keep sorted by this column!)]]+1),2)</f>
        <v>0.56999999999999995</v>
      </c>
      <c r="L63" s="48">
        <f>COUNTIF(Table1[Return (keep sorted by this column!)],"&lt;"&amp;Table1[[#This Row],[Return (keep sorted by this column!)]])</f>
        <v>372</v>
      </c>
      <c r="M63" s="76">
        <f>IF(Table1[[#This Row],[Team]]="David",Table1[[#This Row],[Return (keep sorted by this column!)]],"")</f>
        <v>2.7</v>
      </c>
      <c r="N63" s="76" t="str">
        <f>IF(Table1[[#This Row],[Team]]="Tom",Table1[[#This Row],[Return (keep sorted by this column!)]],"")</f>
        <v/>
      </c>
      <c r="O63" s="5">
        <v>0.55800000000000005</v>
      </c>
      <c r="P63" s="68">
        <f>IF(Table1[[#This Row],[Team]]="David",Table1[[#This Row],[S&amp;P Return, same period]],"")</f>
        <v>0.55800000000000005</v>
      </c>
      <c r="Q63" s="68" t="str">
        <f>IF(Table1[[#This Row],[Team]]="Tom",Table1[[#This Row],[S&amp;P Return, same period]],"")</f>
        <v/>
      </c>
      <c r="R63" s="5">
        <v>2.1419999999999999</v>
      </c>
      <c r="S63" s="14">
        <f>IF(Table1[[#This Row],[Team]]="David",Table1[[#This Row],[Difference Vs. S&amp;P Return]],"")</f>
        <v>2.1419999999999999</v>
      </c>
      <c r="T63" s="14" t="str">
        <f>IF(Table1[[#This Row],[Team]]="Tom",Table1[[#This Row],[Difference Vs. S&amp;P Return]],"")</f>
        <v/>
      </c>
      <c r="U63" s="14">
        <f>ROUND((1+Table1[[#This Row],[Return (keep sorted by this column!)]])/(1+Table1[[#This Row],[S&amp;P Return, same period]])-1,1)</f>
        <v>1.4</v>
      </c>
      <c r="V63" s="15">
        <f>IF(Table1[[#This Row],[Team]]="David",Table1[[#This Row],[Improvement Vs. S&amp;P Return]],"")</f>
        <v>1.4</v>
      </c>
      <c r="W63" s="15" t="str">
        <f>IF(Table1[[#This Row],[Team]]="Tom",Table1[[#This Row],[Improvement Vs. S&amp;P Return]],"")</f>
        <v/>
      </c>
    </row>
    <row r="64" spans="1:23" ht="90" x14ac:dyDescent="0.2">
      <c r="A64" s="1">
        <v>38737</v>
      </c>
      <c r="B64" s="2" t="s">
        <v>608</v>
      </c>
      <c r="C64" s="2">
        <f>SUBTOTAL(103,Table1[[#This Row],[Recommendation Date]])</f>
        <v>1</v>
      </c>
      <c r="D64" s="2">
        <f>1</f>
        <v>1</v>
      </c>
      <c r="E64" s="16" t="s">
        <v>609</v>
      </c>
      <c r="F64" s="17"/>
      <c r="G64" s="3" t="s">
        <v>12</v>
      </c>
      <c r="H64" s="17"/>
      <c r="I64" s="4">
        <v>24.88</v>
      </c>
      <c r="J64" s="5">
        <v>2.694</v>
      </c>
      <c r="K64" s="48">
        <f>ROUND(LOG10(Table1[[#This Row],[Return (keep sorted by this column!)]]+1),2)</f>
        <v>0.56999999999999995</v>
      </c>
      <c r="L64" s="48">
        <f>COUNTIF(Table1[Return (keep sorted by this column!)],"&lt;"&amp;Table1[[#This Row],[Return (keep sorted by this column!)]])</f>
        <v>371</v>
      </c>
      <c r="M64" s="14">
        <f>IF(Table1[[#This Row],[Team]]="David",Table1[[#This Row],[Return (keep sorted by this column!)]],"")</f>
        <v>2.694</v>
      </c>
      <c r="N64" s="14" t="str">
        <f>IF(Table1[[#This Row],[Team]]="Tom",Table1[[#This Row],[Return (keep sorted by this column!)]],"")</f>
        <v/>
      </c>
      <c r="O64" s="5">
        <v>1.1339999999999999</v>
      </c>
      <c r="P64" s="23">
        <f>IF(Table1[[#This Row],[Team]]="David",Table1[[#This Row],[S&amp;P Return, same period]],"")</f>
        <v>1.1339999999999999</v>
      </c>
      <c r="Q64" s="23" t="str">
        <f>IF(Table1[[#This Row],[Team]]="Tom",Table1[[#This Row],[S&amp;P Return, same period]],"")</f>
        <v/>
      </c>
      <c r="R64" s="5">
        <v>1.56</v>
      </c>
      <c r="S64" s="14">
        <f>IF(Table1[[#This Row],[Team]]="David",Table1[[#This Row],[Difference Vs. S&amp;P Return]],"")</f>
        <v>1.56</v>
      </c>
      <c r="T64" s="14" t="str">
        <f>IF(Table1[[#This Row],[Team]]="Tom",Table1[[#This Row],[Difference Vs. S&amp;P Return]],"")</f>
        <v/>
      </c>
      <c r="U64" s="14">
        <f>ROUND((1+Table1[[#This Row],[Return (keep sorted by this column!)]])/(1+Table1[[#This Row],[S&amp;P Return, same period]])-1,1)</f>
        <v>0.7</v>
      </c>
      <c r="V64" s="15">
        <f>IF(Table1[[#This Row],[Team]]="David",Table1[[#This Row],[Improvement Vs. S&amp;P Return]],"")</f>
        <v>0.7</v>
      </c>
      <c r="W64" s="15" t="str">
        <f>IF(Table1[[#This Row],[Team]]="Tom",Table1[[#This Row],[Improvement Vs. S&amp;P Return]],"")</f>
        <v/>
      </c>
    </row>
    <row r="65" spans="1:23" ht="30" x14ac:dyDescent="0.2">
      <c r="A65" s="18">
        <v>39710</v>
      </c>
      <c r="B65" s="2" t="s">
        <v>278</v>
      </c>
      <c r="C65" s="2">
        <f>SUBTOTAL(103,Table1[[#This Row],[Recommendation Date]])</f>
        <v>1</v>
      </c>
      <c r="D65" s="2">
        <f>1</f>
        <v>1</v>
      </c>
      <c r="E65" s="16" t="s">
        <v>279</v>
      </c>
      <c r="F65" s="3" t="s">
        <v>280</v>
      </c>
      <c r="G65" s="3" t="s">
        <v>12</v>
      </c>
      <c r="H65" s="16">
        <v>7</v>
      </c>
      <c r="I65" s="4">
        <v>15.62</v>
      </c>
      <c r="J65" s="5">
        <v>2.6709999999999998</v>
      </c>
      <c r="K65" s="48">
        <f>ROUND(LOG10(Table1[[#This Row],[Return (keep sorted by this column!)]]+1),2)</f>
        <v>0.56000000000000005</v>
      </c>
      <c r="L65" s="48">
        <f>COUNTIF(Table1[Return (keep sorted by this column!)],"&lt;"&amp;Table1[[#This Row],[Return (keep sorted by this column!)]])</f>
        <v>370</v>
      </c>
      <c r="M65" s="14">
        <f>IF(Table1[[#This Row],[Team]]="David",Table1[[#This Row],[Return (keep sorted by this column!)]],"")</f>
        <v>2.6709999999999998</v>
      </c>
      <c r="N65" s="14" t="str">
        <f>IF(Table1[[#This Row],[Team]]="Tom",Table1[[#This Row],[Return (keep sorted by this column!)]],"")</f>
        <v/>
      </c>
      <c r="O65" s="5">
        <v>1.7929999999999999</v>
      </c>
      <c r="P65" s="23">
        <f>IF(Table1[[#This Row],[Team]]="David",Table1[[#This Row],[S&amp;P Return, same period]],"")</f>
        <v>1.7929999999999999</v>
      </c>
      <c r="Q65" s="23" t="str">
        <f>IF(Table1[[#This Row],[Team]]="Tom",Table1[[#This Row],[S&amp;P Return, same period]],"")</f>
        <v/>
      </c>
      <c r="R65" s="5">
        <v>0.878</v>
      </c>
      <c r="S65" s="14">
        <f>IF(Table1[[#This Row],[Team]]="David",Table1[[#This Row],[Difference Vs. S&amp;P Return]],"")</f>
        <v>0.878</v>
      </c>
      <c r="T65" s="14" t="str">
        <f>IF(Table1[[#This Row],[Team]]="Tom",Table1[[#This Row],[Difference Vs. S&amp;P Return]],"")</f>
        <v/>
      </c>
      <c r="U65" s="14">
        <f>ROUND((1+Table1[[#This Row],[Return (keep sorted by this column!)]])/(1+Table1[[#This Row],[S&amp;P Return, same period]])-1,1)</f>
        <v>0.3</v>
      </c>
      <c r="V65" s="15">
        <f>IF(Table1[[#This Row],[Team]]="David",Table1[[#This Row],[Improvement Vs. S&amp;P Return]],"")</f>
        <v>0.3</v>
      </c>
      <c r="W65" s="15" t="str">
        <f>IF(Table1[[#This Row],[Team]]="Tom",Table1[[#This Row],[Improvement Vs. S&amp;P Return]],"")</f>
        <v/>
      </c>
    </row>
    <row r="66" spans="1:23" ht="30" x14ac:dyDescent="0.2">
      <c r="A66" s="18">
        <v>42902</v>
      </c>
      <c r="B66" s="2" t="s">
        <v>126</v>
      </c>
      <c r="C66" s="2">
        <f>SUBTOTAL(103,Table1[[#This Row],[Recommendation Date]])</f>
        <v>1</v>
      </c>
      <c r="D66" s="2">
        <f>1</f>
        <v>1</v>
      </c>
      <c r="E66" s="16" t="s">
        <v>127</v>
      </c>
      <c r="F66" s="3" t="s">
        <v>44</v>
      </c>
      <c r="G66" s="3" t="s">
        <v>8</v>
      </c>
      <c r="H66" s="17"/>
      <c r="I66" s="4">
        <v>69.36</v>
      </c>
      <c r="J66" s="5">
        <v>2.472</v>
      </c>
      <c r="K66" s="48">
        <f>ROUND(LOG10(Table1[[#This Row],[Return (keep sorted by this column!)]]+1),2)</f>
        <v>0.54</v>
      </c>
      <c r="L66" s="48">
        <f>COUNTIF(Table1[Return (keep sorted by this column!)],"&lt;"&amp;Table1[[#This Row],[Return (keep sorted by this column!)]])</f>
        <v>369</v>
      </c>
      <c r="M66" s="76" t="str">
        <f>IF(Table1[[#This Row],[Team]]="David",Table1[[#This Row],[Return (keep sorted by this column!)]],"")</f>
        <v/>
      </c>
      <c r="N66" s="76">
        <f>IF(Table1[[#This Row],[Team]]="Tom",Table1[[#This Row],[Return (keep sorted by this column!)]],"")</f>
        <v>2.472</v>
      </c>
      <c r="O66" s="5">
        <v>0.191</v>
      </c>
      <c r="P66" s="68" t="str">
        <f>IF(Table1[[#This Row],[Team]]="David",Table1[[#This Row],[S&amp;P Return, same period]],"")</f>
        <v/>
      </c>
      <c r="Q66" s="68">
        <f>IF(Table1[[#This Row],[Team]]="Tom",Table1[[#This Row],[S&amp;P Return, same period]],"")</f>
        <v>0.191</v>
      </c>
      <c r="R66" s="5">
        <v>2.2810000000000001</v>
      </c>
      <c r="S66" s="14" t="str">
        <f>IF(Table1[[#This Row],[Team]]="David",Table1[[#This Row],[Difference Vs. S&amp;P Return]],"")</f>
        <v/>
      </c>
      <c r="T66" s="14">
        <f>IF(Table1[[#This Row],[Team]]="Tom",Table1[[#This Row],[Difference Vs. S&amp;P Return]],"")</f>
        <v>2.2810000000000001</v>
      </c>
      <c r="U66" s="14">
        <f>ROUND((1+Table1[[#This Row],[Return (keep sorted by this column!)]])/(1+Table1[[#This Row],[S&amp;P Return, same period]])-1,1)</f>
        <v>1.9</v>
      </c>
      <c r="V66" s="15" t="str">
        <f>IF(Table1[[#This Row],[Team]]="David",Table1[[#This Row],[Improvement Vs. S&amp;P Return]],"")</f>
        <v/>
      </c>
      <c r="W66" s="15">
        <f>IF(Table1[[#This Row],[Team]]="Tom",Table1[[#This Row],[Improvement Vs. S&amp;P Return]],"")</f>
        <v>1.9</v>
      </c>
    </row>
    <row r="67" spans="1:23" ht="45" x14ac:dyDescent="0.2">
      <c r="A67" s="1">
        <v>38520</v>
      </c>
      <c r="B67" s="2" t="s">
        <v>649</v>
      </c>
      <c r="C67" s="2">
        <f>SUBTOTAL(103,Table1[[#This Row],[Recommendation Date]])</f>
        <v>1</v>
      </c>
      <c r="D67" s="2">
        <f>1</f>
        <v>1</v>
      </c>
      <c r="E67" s="16" t="s">
        <v>650</v>
      </c>
      <c r="F67" s="3" t="s">
        <v>298</v>
      </c>
      <c r="G67" s="3" t="s">
        <v>8</v>
      </c>
      <c r="H67" s="17"/>
      <c r="I67" s="4">
        <v>22.3</v>
      </c>
      <c r="J67" s="5">
        <v>2.4260000000000002</v>
      </c>
      <c r="K67" s="48">
        <f>ROUND(LOG10(Table1[[#This Row],[Return (keep sorted by this column!)]]+1),2)</f>
        <v>0.53</v>
      </c>
      <c r="L67" s="48">
        <f>COUNTIF(Table1[Return (keep sorted by this column!)],"&lt;"&amp;Table1[[#This Row],[Return (keep sorted by this column!)]])</f>
        <v>368</v>
      </c>
      <c r="M67" s="14" t="str">
        <f>IF(Table1[[#This Row],[Team]]="David",Table1[[#This Row],[Return (keep sorted by this column!)]],"")</f>
        <v/>
      </c>
      <c r="N67" s="14">
        <f>IF(Table1[[#This Row],[Team]]="Tom",Table1[[#This Row],[Return (keep sorted by this column!)]],"")</f>
        <v>2.4260000000000002</v>
      </c>
      <c r="O67" s="5">
        <v>1.9830000000000001</v>
      </c>
      <c r="P67" s="23" t="str">
        <f>IF(Table1[[#This Row],[Team]]="David",Table1[[#This Row],[S&amp;P Return, same period]],"")</f>
        <v/>
      </c>
      <c r="Q67" s="23">
        <f>IF(Table1[[#This Row],[Team]]="Tom",Table1[[#This Row],[S&amp;P Return, same period]],"")</f>
        <v>1.9830000000000001</v>
      </c>
      <c r="R67" s="5">
        <v>0.443</v>
      </c>
      <c r="S67" s="14" t="str">
        <f>IF(Table1[[#This Row],[Team]]="David",Table1[[#This Row],[Difference Vs. S&amp;P Return]],"")</f>
        <v/>
      </c>
      <c r="T67" s="14">
        <f>IF(Table1[[#This Row],[Team]]="Tom",Table1[[#This Row],[Difference Vs. S&amp;P Return]],"")</f>
        <v>0.443</v>
      </c>
      <c r="U67" s="14">
        <f>ROUND((1+Table1[[#This Row],[Return (keep sorted by this column!)]])/(1+Table1[[#This Row],[S&amp;P Return, same period]])-1,1)</f>
        <v>0.1</v>
      </c>
      <c r="V67" s="15" t="str">
        <f>IF(Table1[[#This Row],[Team]]="David",Table1[[#This Row],[Improvement Vs. S&amp;P Return]],"")</f>
        <v/>
      </c>
      <c r="W67" s="15">
        <f>IF(Table1[[#This Row],[Team]]="Tom",Table1[[#This Row],[Improvement Vs. S&amp;P Return]],"")</f>
        <v>0.1</v>
      </c>
    </row>
    <row r="68" spans="1:23" ht="30" x14ac:dyDescent="0.2">
      <c r="A68" s="18">
        <v>43028</v>
      </c>
      <c r="B68" s="2" t="s">
        <v>31</v>
      </c>
      <c r="C68" s="2">
        <f>SUBTOTAL(103,Table1[[#This Row],[Recommendation Date]])</f>
        <v>1</v>
      </c>
      <c r="D68" s="2">
        <f>1</f>
        <v>1</v>
      </c>
      <c r="E68" s="16" t="s">
        <v>32</v>
      </c>
      <c r="F68" s="3" t="s">
        <v>33</v>
      </c>
      <c r="G68" s="3" t="s">
        <v>8</v>
      </c>
      <c r="H68" s="17"/>
      <c r="I68" s="4">
        <v>63.62</v>
      </c>
      <c r="J68" s="5">
        <v>2.4039999999999999</v>
      </c>
      <c r="K68" s="48">
        <f>ROUND(LOG10(Table1[[#This Row],[Return (keep sorted by this column!)]]+1),2)</f>
        <v>0.53</v>
      </c>
      <c r="L68" s="48">
        <f>COUNTIF(Table1[Return (keep sorted by this column!)],"&lt;"&amp;Table1[[#This Row],[Return (keep sorted by this column!)]])</f>
        <v>367</v>
      </c>
      <c r="M68" s="76" t="str">
        <f>IF(Table1[[#This Row],[Team]]="David",Table1[[#This Row],[Return (keep sorted by this column!)]],"")</f>
        <v/>
      </c>
      <c r="N68" s="76">
        <f>IF(Table1[[#This Row],[Team]]="Tom",Table1[[#This Row],[Return (keep sorted by this column!)]],"")</f>
        <v>2.4039999999999999</v>
      </c>
      <c r="O68" s="5">
        <v>0.11799999999999999</v>
      </c>
      <c r="P68" s="68" t="str">
        <f>IF(Table1[[#This Row],[Team]]="David",Table1[[#This Row],[S&amp;P Return, same period]],"")</f>
        <v/>
      </c>
      <c r="Q68" s="68">
        <f>IF(Table1[[#This Row],[Team]]="Tom",Table1[[#This Row],[S&amp;P Return, same period]],"")</f>
        <v>0.11799999999999999</v>
      </c>
      <c r="R68" s="5">
        <v>2.286</v>
      </c>
      <c r="S68" s="14" t="str">
        <f>IF(Table1[[#This Row],[Team]]="David",Table1[[#This Row],[Difference Vs. S&amp;P Return]],"")</f>
        <v/>
      </c>
      <c r="T68" s="14">
        <f>IF(Table1[[#This Row],[Team]]="Tom",Table1[[#This Row],[Difference Vs. S&amp;P Return]],"")</f>
        <v>2.286</v>
      </c>
      <c r="U68" s="14">
        <f>ROUND((1+Table1[[#This Row],[Return (keep sorted by this column!)]])/(1+Table1[[#This Row],[S&amp;P Return, same period]])-1,1)</f>
        <v>2</v>
      </c>
      <c r="V68" s="15" t="str">
        <f>IF(Table1[[#This Row],[Team]]="David",Table1[[#This Row],[Improvement Vs. S&amp;P Return]],"")</f>
        <v/>
      </c>
      <c r="W68" s="15">
        <f>IF(Table1[[#This Row],[Team]]="Tom",Table1[[#This Row],[Improvement Vs. S&amp;P Return]],"")</f>
        <v>2</v>
      </c>
    </row>
    <row r="69" spans="1:23" ht="45" x14ac:dyDescent="0.2">
      <c r="A69" s="18">
        <v>39948</v>
      </c>
      <c r="B69" s="2" t="s">
        <v>206</v>
      </c>
      <c r="C69" s="2">
        <f>SUBTOTAL(103,Table1[[#This Row],[Recommendation Date]])</f>
        <v>1</v>
      </c>
      <c r="D69" s="2">
        <f>1</f>
        <v>1</v>
      </c>
      <c r="E69" s="16" t="s">
        <v>207</v>
      </c>
      <c r="F69" s="3" t="s">
        <v>208</v>
      </c>
      <c r="G69" s="3" t="s">
        <v>8</v>
      </c>
      <c r="H69" s="17"/>
      <c r="I69" s="4">
        <v>58</v>
      </c>
      <c r="J69" s="5">
        <v>2.33</v>
      </c>
      <c r="K69" s="48">
        <f>ROUND(LOG10(Table1[[#This Row],[Return (keep sorted by this column!)]]+1),2)</f>
        <v>0.52</v>
      </c>
      <c r="L69" s="48">
        <f>COUNTIF(Table1[Return (keep sorted by this column!)],"&lt;"&amp;Table1[[#This Row],[Return (keep sorted by this column!)]])</f>
        <v>366</v>
      </c>
      <c r="M69" s="14" t="str">
        <f>IF(Table1[[#This Row],[Team]]="David",Table1[[#This Row],[Return (keep sorted by this column!)]],"")</f>
        <v/>
      </c>
      <c r="N69" s="14">
        <f>IF(Table1[[#This Row],[Team]]="Tom",Table1[[#This Row],[Return (keep sorted by this column!)]],"")</f>
        <v>2.33</v>
      </c>
      <c r="O69" s="5">
        <v>2.895</v>
      </c>
      <c r="P69" s="23" t="str">
        <f>IF(Table1[[#This Row],[Team]]="David",Table1[[#This Row],[S&amp;P Return, same period]],"")</f>
        <v/>
      </c>
      <c r="Q69" s="23">
        <f>IF(Table1[[#This Row],[Team]]="Tom",Table1[[#This Row],[S&amp;P Return, same period]],"")</f>
        <v>2.895</v>
      </c>
      <c r="R69" s="5">
        <v>-0.56499999999999995</v>
      </c>
      <c r="S69" s="14" t="str">
        <f>IF(Table1[[#This Row],[Team]]="David",Table1[[#This Row],[Difference Vs. S&amp;P Return]],"")</f>
        <v/>
      </c>
      <c r="T69" s="14">
        <f>IF(Table1[[#This Row],[Team]]="Tom",Table1[[#This Row],[Difference Vs. S&amp;P Return]],"")</f>
        <v>-0.56499999999999995</v>
      </c>
      <c r="U69" s="14">
        <f>ROUND((1+Table1[[#This Row],[Return (keep sorted by this column!)]])/(1+Table1[[#This Row],[S&amp;P Return, same period]])-1,1)</f>
        <v>-0.1</v>
      </c>
      <c r="V69" s="15" t="str">
        <f>IF(Table1[[#This Row],[Team]]="David",Table1[[#This Row],[Improvement Vs. S&amp;P Return]],"")</f>
        <v/>
      </c>
      <c r="W69" s="15">
        <f>IF(Table1[[#This Row],[Team]]="Tom",Table1[[#This Row],[Improvement Vs. S&amp;P Return]],"")</f>
        <v>-0.1</v>
      </c>
    </row>
    <row r="70" spans="1:23" ht="17" x14ac:dyDescent="0.2">
      <c r="A70" s="18">
        <v>43210</v>
      </c>
      <c r="B70" s="2" t="s">
        <v>112</v>
      </c>
      <c r="C70" s="2">
        <f>SUBTOTAL(103,Table1[[#This Row],[Recommendation Date]])</f>
        <v>1</v>
      </c>
      <c r="D70" s="2">
        <f>1</f>
        <v>1</v>
      </c>
      <c r="E70" s="16" t="s">
        <v>113</v>
      </c>
      <c r="F70" s="3" t="s">
        <v>114</v>
      </c>
      <c r="G70" s="3" t="s">
        <v>8</v>
      </c>
      <c r="H70" s="17"/>
      <c r="I70" s="4">
        <v>126.79</v>
      </c>
      <c r="J70" s="5">
        <v>2.2989999999999999</v>
      </c>
      <c r="K70" s="48">
        <f>ROUND(LOG10(Table1[[#This Row],[Return (keep sorted by this column!)]]+1),2)</f>
        <v>0.52</v>
      </c>
      <c r="L70" s="48">
        <f>COUNTIF(Table1[Return (keep sorted by this column!)],"&lt;"&amp;Table1[[#This Row],[Return (keep sorted by this column!)]])</f>
        <v>365</v>
      </c>
      <c r="M70" s="76" t="str">
        <f>IF(Table1[[#This Row],[Team]]="David",Table1[[#This Row],[Return (keep sorted by this column!)]],"")</f>
        <v/>
      </c>
      <c r="N70" s="76">
        <f>IF(Table1[[#This Row],[Team]]="Tom",Table1[[#This Row],[Return (keep sorted by this column!)]],"")</f>
        <v>2.2989999999999999</v>
      </c>
      <c r="O70" s="5">
        <v>6.8000000000000005E-2</v>
      </c>
      <c r="P70" s="68" t="str">
        <f>IF(Table1[[#This Row],[Team]]="David",Table1[[#This Row],[S&amp;P Return, same period]],"")</f>
        <v/>
      </c>
      <c r="Q70" s="68">
        <f>IF(Table1[[#This Row],[Team]]="Tom",Table1[[#This Row],[S&amp;P Return, same period]],"")</f>
        <v>6.8000000000000005E-2</v>
      </c>
      <c r="R70" s="5">
        <v>2.2309999999999999</v>
      </c>
      <c r="S70" s="14" t="str">
        <f>IF(Table1[[#This Row],[Team]]="David",Table1[[#This Row],[Difference Vs. S&amp;P Return]],"")</f>
        <v/>
      </c>
      <c r="T70" s="14">
        <f>IF(Table1[[#This Row],[Team]]="Tom",Table1[[#This Row],[Difference Vs. S&amp;P Return]],"")</f>
        <v>2.2309999999999999</v>
      </c>
      <c r="U70" s="14">
        <f>ROUND((1+Table1[[#This Row],[Return (keep sorted by this column!)]])/(1+Table1[[#This Row],[S&amp;P Return, same period]])-1,1)</f>
        <v>2.1</v>
      </c>
      <c r="V70" s="15" t="str">
        <f>IF(Table1[[#This Row],[Team]]="David",Table1[[#This Row],[Improvement Vs. S&amp;P Return]],"")</f>
        <v/>
      </c>
      <c r="W70" s="15">
        <f>IF(Table1[[#This Row],[Team]]="Tom",Table1[[#This Row],[Improvement Vs. S&amp;P Return]],"")</f>
        <v>2.1</v>
      </c>
    </row>
    <row r="71" spans="1:23" ht="75" x14ac:dyDescent="0.2">
      <c r="A71" s="1">
        <v>37540</v>
      </c>
      <c r="B71" s="2" t="s">
        <v>726</v>
      </c>
      <c r="C71" s="2">
        <f>SUBTOTAL(103,Table1[[#This Row],[Recommendation Date]])</f>
        <v>1</v>
      </c>
      <c r="D71" s="2">
        <f>1</f>
        <v>1</v>
      </c>
      <c r="E71" s="16" t="s">
        <v>236</v>
      </c>
      <c r="F71" s="3" t="s">
        <v>66</v>
      </c>
      <c r="G71" s="3" t="s">
        <v>8</v>
      </c>
      <c r="H71" s="17"/>
      <c r="I71" s="4">
        <v>29.01</v>
      </c>
      <c r="J71" s="5">
        <v>2.2549999999999999</v>
      </c>
      <c r="K71" s="48">
        <f>ROUND(LOG10(Table1[[#This Row],[Return (keep sorted by this column!)]]+1),2)</f>
        <v>0.51</v>
      </c>
      <c r="L71" s="48">
        <f>COUNTIF(Table1[Return (keep sorted by this column!)],"&lt;"&amp;Table1[[#This Row],[Return (keep sorted by this column!)]])</f>
        <v>364</v>
      </c>
      <c r="M71" s="14" t="str">
        <f>IF(Table1[[#This Row],[Team]]="David",Table1[[#This Row],[Return (keep sorted by this column!)]],"")</f>
        <v/>
      </c>
      <c r="N71" s="14">
        <f>IF(Table1[[#This Row],[Team]]="Tom",Table1[[#This Row],[Return (keep sorted by this column!)]],"")</f>
        <v>2.2549999999999999</v>
      </c>
      <c r="O71" s="5">
        <v>0.63700000000000001</v>
      </c>
      <c r="P71" s="23" t="str">
        <f>IF(Table1[[#This Row],[Team]]="David",Table1[[#This Row],[S&amp;P Return, same period]],"")</f>
        <v/>
      </c>
      <c r="Q71" s="23">
        <f>IF(Table1[[#This Row],[Team]]="Tom",Table1[[#This Row],[S&amp;P Return, same period]],"")</f>
        <v>0.63700000000000001</v>
      </c>
      <c r="R71" s="5">
        <v>1.6180000000000001</v>
      </c>
      <c r="S71" s="14" t="str">
        <f>IF(Table1[[#This Row],[Team]]="David",Table1[[#This Row],[Difference Vs. S&amp;P Return]],"")</f>
        <v/>
      </c>
      <c r="T71" s="14">
        <f>IF(Table1[[#This Row],[Team]]="Tom",Table1[[#This Row],[Difference Vs. S&amp;P Return]],"")</f>
        <v>1.6180000000000001</v>
      </c>
      <c r="U71" s="14">
        <f>ROUND((1+Table1[[#This Row],[Return (keep sorted by this column!)]])/(1+Table1[[#This Row],[S&amp;P Return, same period]])-1,1)</f>
        <v>1</v>
      </c>
      <c r="V71" s="15" t="str">
        <f>IF(Table1[[#This Row],[Team]]="David",Table1[[#This Row],[Improvement Vs. S&amp;P Return]],"")</f>
        <v/>
      </c>
      <c r="W71" s="15">
        <f>IF(Table1[[#This Row],[Team]]="Tom",Table1[[#This Row],[Improvement Vs. S&amp;P Return]],"")</f>
        <v>1</v>
      </c>
    </row>
    <row r="72" spans="1:23" ht="17" x14ac:dyDescent="0.2">
      <c r="A72" s="18">
        <v>39864</v>
      </c>
      <c r="B72" s="2" t="s">
        <v>516</v>
      </c>
      <c r="C72" s="2">
        <f>SUBTOTAL(103,Table1[[#This Row],[Recommendation Date]])</f>
        <v>1</v>
      </c>
      <c r="D72" s="2">
        <f>1</f>
        <v>1</v>
      </c>
      <c r="E72" s="16" t="s">
        <v>517</v>
      </c>
      <c r="F72" s="3" t="s">
        <v>446</v>
      </c>
      <c r="G72" s="3" t="s">
        <v>12</v>
      </c>
      <c r="H72" s="16">
        <v>12</v>
      </c>
      <c r="I72" s="4">
        <v>40.86</v>
      </c>
      <c r="J72" s="5">
        <v>2.23</v>
      </c>
      <c r="K72" s="48">
        <f>ROUND(LOG10(Table1[[#This Row],[Return (keep sorted by this column!)]]+1),2)</f>
        <v>0.51</v>
      </c>
      <c r="L72" s="48">
        <f>COUNTIF(Table1[Return (keep sorted by this column!)],"&lt;"&amp;Table1[[#This Row],[Return (keep sorted by this column!)]])</f>
        <v>363</v>
      </c>
      <c r="M72" s="14">
        <f>IF(Table1[[#This Row],[Team]]="David",Table1[[#This Row],[Return (keep sorted by this column!)]],"")</f>
        <v>2.23</v>
      </c>
      <c r="N72" s="14" t="str">
        <f>IF(Table1[[#This Row],[Team]]="Tom",Table1[[#This Row],[Return (keep sorted by this column!)]],"")</f>
        <v/>
      </c>
      <c r="O72" s="5">
        <v>3.492</v>
      </c>
      <c r="P72" s="23">
        <f>IF(Table1[[#This Row],[Team]]="David",Table1[[#This Row],[S&amp;P Return, same period]],"")</f>
        <v>3.492</v>
      </c>
      <c r="Q72" s="23" t="str">
        <f>IF(Table1[[#This Row],[Team]]="Tom",Table1[[#This Row],[S&amp;P Return, same period]],"")</f>
        <v/>
      </c>
      <c r="R72" s="5">
        <v>-1.262</v>
      </c>
      <c r="S72" s="14">
        <f>IF(Table1[[#This Row],[Team]]="David",Table1[[#This Row],[Difference Vs. S&amp;P Return]],"")</f>
        <v>-1.262</v>
      </c>
      <c r="T72" s="14" t="str">
        <f>IF(Table1[[#This Row],[Team]]="Tom",Table1[[#This Row],[Difference Vs. S&amp;P Return]],"")</f>
        <v/>
      </c>
      <c r="U72" s="14">
        <f>ROUND((1+Table1[[#This Row],[Return (keep sorted by this column!)]])/(1+Table1[[#This Row],[S&amp;P Return, same period]])-1,1)</f>
        <v>-0.3</v>
      </c>
      <c r="V72" s="15">
        <f>IF(Table1[[#This Row],[Team]]="David",Table1[[#This Row],[Improvement Vs. S&amp;P Return]],"")</f>
        <v>-0.3</v>
      </c>
      <c r="W72" s="15" t="str">
        <f>IF(Table1[[#This Row],[Team]]="Tom",Table1[[#This Row],[Improvement Vs. S&amp;P Return]],"")</f>
        <v/>
      </c>
    </row>
    <row r="73" spans="1:23" ht="60" x14ac:dyDescent="0.2">
      <c r="A73" s="1">
        <v>40501</v>
      </c>
      <c r="B73" s="2" t="s">
        <v>394</v>
      </c>
      <c r="C73" s="2">
        <f>SUBTOTAL(103,Table1[[#This Row],[Recommendation Date]])</f>
        <v>1</v>
      </c>
      <c r="D73" s="2">
        <f>1</f>
        <v>1</v>
      </c>
      <c r="E73" s="16" t="s">
        <v>395</v>
      </c>
      <c r="F73" s="3" t="s">
        <v>252</v>
      </c>
      <c r="G73" s="3" t="s">
        <v>12</v>
      </c>
      <c r="H73" s="17"/>
      <c r="I73" s="4">
        <v>97</v>
      </c>
      <c r="J73" s="5">
        <v>2.226</v>
      </c>
      <c r="K73" s="48">
        <f>ROUND(LOG10(Table1[[#This Row],[Return (keep sorted by this column!)]]+1),2)</f>
        <v>0.51</v>
      </c>
      <c r="L73" s="48">
        <f>COUNTIF(Table1[Return (keep sorted by this column!)],"&lt;"&amp;Table1[[#This Row],[Return (keep sorted by this column!)]])</f>
        <v>362</v>
      </c>
      <c r="M73" s="76">
        <f>IF(Table1[[#This Row],[Team]]="David",Table1[[#This Row],[Return (keep sorted by this column!)]],"")</f>
        <v>2.226</v>
      </c>
      <c r="N73" s="76" t="str">
        <f>IF(Table1[[#This Row],[Team]]="Tom",Table1[[#This Row],[Return (keep sorted by this column!)]],"")</f>
        <v/>
      </c>
      <c r="O73" s="5">
        <v>1.246</v>
      </c>
      <c r="P73" s="68">
        <f>IF(Table1[[#This Row],[Team]]="David",Table1[[#This Row],[S&amp;P Return, same period]],"")</f>
        <v>1.246</v>
      </c>
      <c r="Q73" s="68" t="str">
        <f>IF(Table1[[#This Row],[Team]]="Tom",Table1[[#This Row],[S&amp;P Return, same period]],"")</f>
        <v/>
      </c>
      <c r="R73" s="5">
        <v>0.98</v>
      </c>
      <c r="S73" s="14">
        <f>IF(Table1[[#This Row],[Team]]="David",Table1[[#This Row],[Difference Vs. S&amp;P Return]],"")</f>
        <v>0.98</v>
      </c>
      <c r="T73" s="14" t="str">
        <f>IF(Table1[[#This Row],[Team]]="Tom",Table1[[#This Row],[Difference Vs. S&amp;P Return]],"")</f>
        <v/>
      </c>
      <c r="U73" s="14">
        <f>ROUND((1+Table1[[#This Row],[Return (keep sorted by this column!)]])/(1+Table1[[#This Row],[S&amp;P Return, same period]])-1,1)</f>
        <v>0.4</v>
      </c>
      <c r="V73" s="15">
        <f>IF(Table1[[#This Row],[Team]]="David",Table1[[#This Row],[Improvement Vs. S&amp;P Return]],"")</f>
        <v>0.4</v>
      </c>
      <c r="W73" s="15" t="str">
        <f>IF(Table1[[#This Row],[Team]]="Tom",Table1[[#This Row],[Improvement Vs. S&amp;P Return]],"")</f>
        <v/>
      </c>
    </row>
    <row r="74" spans="1:23" ht="17" x14ac:dyDescent="0.2">
      <c r="A74" s="18">
        <v>41411</v>
      </c>
      <c r="B74" s="2" t="s">
        <v>128</v>
      </c>
      <c r="C74" s="2">
        <f>SUBTOTAL(103,Table1[[#This Row],[Recommendation Date]])</f>
        <v>1</v>
      </c>
      <c r="D74" s="2">
        <f>1</f>
        <v>1</v>
      </c>
      <c r="E74" s="16" t="s">
        <v>129</v>
      </c>
      <c r="F74" s="3" t="s">
        <v>130</v>
      </c>
      <c r="G74" s="3" t="s">
        <v>12</v>
      </c>
      <c r="H74" s="16">
        <v>10</v>
      </c>
      <c r="I74" s="4">
        <v>57.06</v>
      </c>
      <c r="J74" s="5">
        <v>2.1890000000000001</v>
      </c>
      <c r="K74" s="48">
        <f>ROUND(LOG10(Table1[[#This Row],[Return (keep sorted by this column!)]]+1),2)</f>
        <v>0.5</v>
      </c>
      <c r="L74" s="48">
        <f>COUNTIF(Table1[Return (keep sorted by this column!)],"&lt;"&amp;Table1[[#This Row],[Return (keep sorted by this column!)]])</f>
        <v>361</v>
      </c>
      <c r="M74" s="76">
        <f>IF(Table1[[#This Row],[Team]]="David",Table1[[#This Row],[Return (keep sorted by this column!)]],"")</f>
        <v>2.1890000000000001</v>
      </c>
      <c r="N74" s="76" t="str">
        <f>IF(Table1[[#This Row],[Team]]="Tom",Table1[[#This Row],[Return (keep sorted by this column!)]],"")</f>
        <v/>
      </c>
      <c r="O74" s="5">
        <v>0.89400000000000002</v>
      </c>
      <c r="P74" s="68">
        <f>IF(Table1[[#This Row],[Team]]="David",Table1[[#This Row],[S&amp;P Return, same period]],"")</f>
        <v>0.89400000000000002</v>
      </c>
      <c r="Q74" s="68" t="str">
        <f>IF(Table1[[#This Row],[Team]]="Tom",Table1[[#This Row],[S&amp;P Return, same period]],"")</f>
        <v/>
      </c>
      <c r="R74" s="5">
        <v>1.296</v>
      </c>
      <c r="S74" s="14">
        <f>IF(Table1[[#This Row],[Team]]="David",Table1[[#This Row],[Difference Vs. S&amp;P Return]],"")</f>
        <v>1.296</v>
      </c>
      <c r="T74" s="14" t="str">
        <f>IF(Table1[[#This Row],[Team]]="Tom",Table1[[#This Row],[Difference Vs. S&amp;P Return]],"")</f>
        <v/>
      </c>
      <c r="U74" s="14">
        <f>ROUND((1+Table1[[#This Row],[Return (keep sorted by this column!)]])/(1+Table1[[#This Row],[S&amp;P Return, same period]])-1,1)</f>
        <v>0.7</v>
      </c>
      <c r="V74" s="15">
        <f>IF(Table1[[#This Row],[Team]]="David",Table1[[#This Row],[Improvement Vs. S&amp;P Return]],"")</f>
        <v>0.7</v>
      </c>
      <c r="W74" s="15" t="str">
        <f>IF(Table1[[#This Row],[Team]]="Tom",Table1[[#This Row],[Improvement Vs. S&amp;P Return]],"")</f>
        <v/>
      </c>
    </row>
    <row r="75" spans="1:23" ht="17" x14ac:dyDescent="0.2">
      <c r="A75" s="18">
        <v>40928</v>
      </c>
      <c r="B75" s="2" t="s">
        <v>392</v>
      </c>
      <c r="C75" s="2">
        <f>SUBTOTAL(103,Table1[[#This Row],[Recommendation Date]])</f>
        <v>1</v>
      </c>
      <c r="D75" s="2">
        <f>1</f>
        <v>1</v>
      </c>
      <c r="E75" s="16" t="s">
        <v>393</v>
      </c>
      <c r="F75" s="3" t="s">
        <v>71</v>
      </c>
      <c r="G75" s="3" t="s">
        <v>8</v>
      </c>
      <c r="H75" s="17"/>
      <c r="I75" s="4">
        <v>75.42</v>
      </c>
      <c r="J75" s="5">
        <v>2.125</v>
      </c>
      <c r="K75" s="48">
        <f>ROUND(LOG10(Table1[[#This Row],[Return (keep sorted by this column!)]]+1),2)</f>
        <v>0.49</v>
      </c>
      <c r="L75" s="48">
        <f>COUNTIF(Table1[Return (keep sorted by this column!)],"&lt;"&amp;Table1[[#This Row],[Return (keep sorted by this column!)]])</f>
        <v>360</v>
      </c>
      <c r="M75" s="76" t="str">
        <f>IF(Table1[[#This Row],[Team]]="David",Table1[[#This Row],[Return (keep sorted by this column!)]],"")</f>
        <v/>
      </c>
      <c r="N75" s="76">
        <f>IF(Table1[[#This Row],[Team]]="Tom",Table1[[#This Row],[Return (keep sorted by this column!)]],"")</f>
        <v>2.125</v>
      </c>
      <c r="O75" s="5">
        <v>1.474</v>
      </c>
      <c r="P75" s="68" t="str">
        <f>IF(Table1[[#This Row],[Team]]="David",Table1[[#This Row],[S&amp;P Return, same period]],"")</f>
        <v/>
      </c>
      <c r="Q75" s="68">
        <f>IF(Table1[[#This Row],[Team]]="Tom",Table1[[#This Row],[S&amp;P Return, same period]],"")</f>
        <v>1.474</v>
      </c>
      <c r="R75" s="5">
        <v>0.65200000000000002</v>
      </c>
      <c r="S75" s="14" t="str">
        <f>IF(Table1[[#This Row],[Team]]="David",Table1[[#This Row],[Difference Vs. S&amp;P Return]],"")</f>
        <v/>
      </c>
      <c r="T75" s="14">
        <f>IF(Table1[[#This Row],[Team]]="Tom",Table1[[#This Row],[Difference Vs. S&amp;P Return]],"")</f>
        <v>0.65200000000000002</v>
      </c>
      <c r="U75" s="14">
        <f>ROUND((1+Table1[[#This Row],[Return (keep sorted by this column!)]])/(1+Table1[[#This Row],[S&amp;P Return, same period]])-1,1)</f>
        <v>0.3</v>
      </c>
      <c r="V75" s="15" t="str">
        <f>IF(Table1[[#This Row],[Team]]="David",Table1[[#This Row],[Improvement Vs. S&amp;P Return]],"")</f>
        <v/>
      </c>
      <c r="W75" s="15">
        <f>IF(Table1[[#This Row],[Team]]="Tom",Table1[[#This Row],[Improvement Vs. S&amp;P Return]],"")</f>
        <v>0.3</v>
      </c>
    </row>
    <row r="76" spans="1:23" ht="17" x14ac:dyDescent="0.2">
      <c r="A76" s="18">
        <v>43223</v>
      </c>
      <c r="B76" s="2" t="s">
        <v>112</v>
      </c>
      <c r="C76" s="2">
        <f>SUBTOTAL(103,Table1[[#This Row],[Recommendation Date]])</f>
        <v>1</v>
      </c>
      <c r="D76" s="2">
        <f>1</f>
        <v>1</v>
      </c>
      <c r="E76" s="16" t="s">
        <v>113</v>
      </c>
      <c r="F76" s="3" t="s">
        <v>114</v>
      </c>
      <c r="G76" s="3" t="s">
        <v>8</v>
      </c>
      <c r="H76" s="17"/>
      <c r="I76" s="4">
        <v>135.16999999999999</v>
      </c>
      <c r="J76" s="5">
        <v>2.0950000000000002</v>
      </c>
      <c r="K76" s="48">
        <f>ROUND(LOG10(Table1[[#This Row],[Return (keep sorted by this column!)]]+1),2)</f>
        <v>0.49</v>
      </c>
      <c r="L76" s="48">
        <f>COUNTIF(Table1[Return (keep sorted by this column!)],"&lt;"&amp;Table1[[#This Row],[Return (keep sorted by this column!)]])</f>
        <v>359</v>
      </c>
      <c r="M76" s="76" t="str">
        <f>IF(Table1[[#This Row],[Team]]="David",Table1[[#This Row],[Return (keep sorted by this column!)]],"")</f>
        <v/>
      </c>
      <c r="N76" s="76">
        <f>IF(Table1[[#This Row],[Team]]="Tom",Table1[[#This Row],[Return (keep sorted by this column!)]],"")</f>
        <v>2.0950000000000002</v>
      </c>
      <c r="O76" s="5">
        <v>8.4000000000000005E-2</v>
      </c>
      <c r="P76" s="68" t="str">
        <f>IF(Table1[[#This Row],[Team]]="David",Table1[[#This Row],[S&amp;P Return, same period]],"")</f>
        <v/>
      </c>
      <c r="Q76" s="68">
        <f>IF(Table1[[#This Row],[Team]]="Tom",Table1[[#This Row],[S&amp;P Return, same period]],"")</f>
        <v>8.4000000000000005E-2</v>
      </c>
      <c r="R76" s="5">
        <v>2.0110000000000001</v>
      </c>
      <c r="S76" s="14" t="str">
        <f>IF(Table1[[#This Row],[Team]]="David",Table1[[#This Row],[Difference Vs. S&amp;P Return]],"")</f>
        <v/>
      </c>
      <c r="T76" s="14">
        <f>IF(Table1[[#This Row],[Team]]="Tom",Table1[[#This Row],[Difference Vs. S&amp;P Return]],"")</f>
        <v>2.0110000000000001</v>
      </c>
      <c r="U76" s="14">
        <f>ROUND((1+Table1[[#This Row],[Return (keep sorted by this column!)]])/(1+Table1[[#This Row],[S&amp;P Return, same period]])-1,1)</f>
        <v>1.9</v>
      </c>
      <c r="V76" s="15" t="str">
        <f>IF(Table1[[#This Row],[Team]]="David",Table1[[#This Row],[Improvement Vs. S&amp;P Return]],"")</f>
        <v/>
      </c>
      <c r="W76" s="15">
        <f>IF(Table1[[#This Row],[Team]]="Tom",Table1[[#This Row],[Improvement Vs. S&amp;P Return]],"")</f>
        <v>1.9</v>
      </c>
    </row>
    <row r="77" spans="1:23" ht="75" x14ac:dyDescent="0.2">
      <c r="A77" s="1">
        <v>37813</v>
      </c>
      <c r="B77" s="2" t="s">
        <v>438</v>
      </c>
      <c r="C77" s="2">
        <f>SUBTOTAL(103,Table1[[#This Row],[Recommendation Date]])</f>
        <v>1</v>
      </c>
      <c r="D77" s="2">
        <f>1</f>
        <v>1</v>
      </c>
      <c r="E77" s="16" t="s">
        <v>439</v>
      </c>
      <c r="F77" s="3" t="s">
        <v>262</v>
      </c>
      <c r="G77" s="3" t="s">
        <v>8</v>
      </c>
      <c r="H77" s="17"/>
      <c r="I77" s="4">
        <v>31.48</v>
      </c>
      <c r="J77" s="5">
        <v>2.0819999999999999</v>
      </c>
      <c r="K77" s="48">
        <f>ROUND(LOG10(Table1[[#This Row],[Return (keep sorted by this column!)]]+1),2)</f>
        <v>0.49</v>
      </c>
      <c r="L77" s="48">
        <f>COUNTIF(Table1[Return (keep sorted by this column!)],"&lt;"&amp;Table1[[#This Row],[Return (keep sorted by this column!)]])</f>
        <v>358</v>
      </c>
      <c r="M77" s="14" t="str">
        <f>IF(Table1[[#This Row],[Team]]="David",Table1[[#This Row],[Return (keep sorted by this column!)]],"")</f>
        <v/>
      </c>
      <c r="N77" s="14">
        <f>IF(Table1[[#This Row],[Team]]="Tom",Table1[[#This Row],[Return (keep sorted by this column!)]],"")</f>
        <v>2.0819999999999999</v>
      </c>
      <c r="O77" s="5">
        <v>1.3280000000000001</v>
      </c>
      <c r="P77" s="23" t="str">
        <f>IF(Table1[[#This Row],[Team]]="David",Table1[[#This Row],[S&amp;P Return, same period]],"")</f>
        <v/>
      </c>
      <c r="Q77" s="23">
        <f>IF(Table1[[#This Row],[Team]]="Tom",Table1[[#This Row],[S&amp;P Return, same period]],"")</f>
        <v>1.3280000000000001</v>
      </c>
      <c r="R77" s="5">
        <v>0.754</v>
      </c>
      <c r="S77" s="14" t="str">
        <f>IF(Table1[[#This Row],[Team]]="David",Table1[[#This Row],[Difference Vs. S&amp;P Return]],"")</f>
        <v/>
      </c>
      <c r="T77" s="14">
        <f>IF(Table1[[#This Row],[Team]]="Tom",Table1[[#This Row],[Difference Vs. S&amp;P Return]],"")</f>
        <v>0.754</v>
      </c>
      <c r="U77" s="14">
        <f>ROUND((1+Table1[[#This Row],[Return (keep sorted by this column!)]])/(1+Table1[[#This Row],[S&amp;P Return, same period]])-1,1)</f>
        <v>0.3</v>
      </c>
      <c r="V77" s="15" t="str">
        <f>IF(Table1[[#This Row],[Team]]="David",Table1[[#This Row],[Improvement Vs. S&amp;P Return]],"")</f>
        <v/>
      </c>
      <c r="W77" s="15">
        <f>IF(Table1[[#This Row],[Team]]="Tom",Table1[[#This Row],[Improvement Vs. S&amp;P Return]],"")</f>
        <v>0.3</v>
      </c>
    </row>
    <row r="78" spans="1:23" ht="30" x14ac:dyDescent="0.2">
      <c r="A78" s="18">
        <v>39829</v>
      </c>
      <c r="B78" s="2" t="s">
        <v>520</v>
      </c>
      <c r="C78" s="2">
        <f>SUBTOTAL(103,Table1[[#This Row],[Recommendation Date]])</f>
        <v>1</v>
      </c>
      <c r="D78" s="2">
        <f>1</f>
        <v>1</v>
      </c>
      <c r="E78" s="16" t="s">
        <v>521</v>
      </c>
      <c r="F78" s="3" t="s">
        <v>41</v>
      </c>
      <c r="G78" s="3" t="s">
        <v>8</v>
      </c>
      <c r="H78" s="17"/>
      <c r="I78" s="4">
        <v>11.53</v>
      </c>
      <c r="J78" s="5">
        <v>2.073</v>
      </c>
      <c r="K78" s="48">
        <f>ROUND(LOG10(Table1[[#This Row],[Return (keep sorted by this column!)]]+1),2)</f>
        <v>0.49</v>
      </c>
      <c r="L78" s="48">
        <f>COUNTIF(Table1[Return (keep sorted by this column!)],"&lt;"&amp;Table1[[#This Row],[Return (keep sorted by this column!)]])</f>
        <v>357</v>
      </c>
      <c r="M78" s="14" t="str">
        <f>IF(Table1[[#This Row],[Team]]="David",Table1[[#This Row],[Return (keep sorted by this column!)]],"")</f>
        <v/>
      </c>
      <c r="N78" s="14">
        <f>IF(Table1[[#This Row],[Team]]="Tom",Table1[[#This Row],[Return (keep sorted by this column!)]],"")</f>
        <v>2.073</v>
      </c>
      <c r="O78" s="5">
        <v>3.085</v>
      </c>
      <c r="P78" s="23" t="str">
        <f>IF(Table1[[#This Row],[Team]]="David",Table1[[#This Row],[S&amp;P Return, same period]],"")</f>
        <v/>
      </c>
      <c r="Q78" s="23">
        <f>IF(Table1[[#This Row],[Team]]="Tom",Table1[[#This Row],[S&amp;P Return, same period]],"")</f>
        <v>3.085</v>
      </c>
      <c r="R78" s="5">
        <v>-1.012</v>
      </c>
      <c r="S78" s="14" t="str">
        <f>IF(Table1[[#This Row],[Team]]="David",Table1[[#This Row],[Difference Vs. S&amp;P Return]],"")</f>
        <v/>
      </c>
      <c r="T78" s="14">
        <f>IF(Table1[[#This Row],[Team]]="Tom",Table1[[#This Row],[Difference Vs. S&amp;P Return]],"")</f>
        <v>-1.012</v>
      </c>
      <c r="U78" s="14">
        <f>ROUND((1+Table1[[#This Row],[Return (keep sorted by this column!)]])/(1+Table1[[#This Row],[S&amp;P Return, same period]])-1,1)</f>
        <v>-0.2</v>
      </c>
      <c r="V78" s="15" t="str">
        <f>IF(Table1[[#This Row],[Team]]="David",Table1[[#This Row],[Improvement Vs. S&amp;P Return]],"")</f>
        <v/>
      </c>
      <c r="W78" s="15">
        <f>IF(Table1[[#This Row],[Team]]="Tom",Table1[[#This Row],[Improvement Vs. S&amp;P Return]],"")</f>
        <v>-0.2</v>
      </c>
    </row>
    <row r="79" spans="1:23" ht="17" x14ac:dyDescent="0.2">
      <c r="A79" s="18">
        <v>40102</v>
      </c>
      <c r="B79" s="2" t="s">
        <v>488</v>
      </c>
      <c r="C79" s="2">
        <f>SUBTOTAL(103,Table1[[#This Row],[Recommendation Date]])</f>
        <v>1</v>
      </c>
      <c r="D79" s="2">
        <f>1</f>
        <v>1</v>
      </c>
      <c r="E79" s="16" t="s">
        <v>489</v>
      </c>
      <c r="F79" s="3" t="s">
        <v>7</v>
      </c>
      <c r="G79" s="3" t="s">
        <v>12</v>
      </c>
      <c r="H79" s="16">
        <v>10</v>
      </c>
      <c r="I79" s="4">
        <v>21.95</v>
      </c>
      <c r="J79" s="5">
        <v>2.0169999999999999</v>
      </c>
      <c r="K79" s="48">
        <f>ROUND(LOG10(Table1[[#This Row],[Return (keep sorted by this column!)]]+1),2)</f>
        <v>0.48</v>
      </c>
      <c r="L79" s="48">
        <f>COUNTIF(Table1[Return (keep sorted by this column!)],"&lt;"&amp;Table1[[#This Row],[Return (keep sorted by this column!)]])</f>
        <v>356</v>
      </c>
      <c r="M79" s="14">
        <f>IF(Table1[[#This Row],[Team]]="David",Table1[[#This Row],[Return (keep sorted by this column!)]],"")</f>
        <v>2.0169999999999999</v>
      </c>
      <c r="N79" s="14" t="str">
        <f>IF(Table1[[#This Row],[Team]]="Tom",Table1[[#This Row],[Return (keep sorted by this column!)]],"")</f>
        <v/>
      </c>
      <c r="O79" s="5">
        <v>2.1339999999999999</v>
      </c>
      <c r="P79" s="23">
        <f>IF(Table1[[#This Row],[Team]]="David",Table1[[#This Row],[S&amp;P Return, same period]],"")</f>
        <v>2.1339999999999999</v>
      </c>
      <c r="Q79" s="23" t="str">
        <f>IF(Table1[[#This Row],[Team]]="Tom",Table1[[#This Row],[S&amp;P Return, same period]],"")</f>
        <v/>
      </c>
      <c r="R79" s="5">
        <v>-0.11700000000000001</v>
      </c>
      <c r="S79" s="14">
        <f>IF(Table1[[#This Row],[Team]]="David",Table1[[#This Row],[Difference Vs. S&amp;P Return]],"")</f>
        <v>-0.11700000000000001</v>
      </c>
      <c r="T79" s="14" t="str">
        <f>IF(Table1[[#This Row],[Team]]="Tom",Table1[[#This Row],[Difference Vs. S&amp;P Return]],"")</f>
        <v/>
      </c>
      <c r="U79" s="14">
        <f>ROUND((1+Table1[[#This Row],[Return (keep sorted by this column!)]])/(1+Table1[[#This Row],[S&amp;P Return, same period]])-1,1)</f>
        <v>0</v>
      </c>
      <c r="V79" s="15">
        <f>IF(Table1[[#This Row],[Team]]="David",Table1[[#This Row],[Improvement Vs. S&amp;P Return]],"")</f>
        <v>0</v>
      </c>
      <c r="W79" s="15" t="str">
        <f>IF(Table1[[#This Row],[Team]]="Tom",Table1[[#This Row],[Improvement Vs. S&amp;P Return]],"")</f>
        <v/>
      </c>
    </row>
    <row r="80" spans="1:23" ht="30" x14ac:dyDescent="0.2">
      <c r="A80" s="18">
        <v>41992</v>
      </c>
      <c r="B80" s="2" t="s">
        <v>278</v>
      </c>
      <c r="C80" s="2">
        <f>SUBTOTAL(103,Table1[[#This Row],[Recommendation Date]])</f>
        <v>1</v>
      </c>
      <c r="D80" s="2">
        <f>1</f>
        <v>1</v>
      </c>
      <c r="E80" s="16" t="s">
        <v>279</v>
      </c>
      <c r="F80" s="3" t="s">
        <v>280</v>
      </c>
      <c r="G80" s="3" t="s">
        <v>12</v>
      </c>
      <c r="H80" s="16">
        <v>7</v>
      </c>
      <c r="I80" s="4">
        <v>19.5</v>
      </c>
      <c r="J80" s="5">
        <v>1.94</v>
      </c>
      <c r="K80" s="48">
        <f>ROUND(LOG10(Table1[[#This Row],[Return (keep sorted by this column!)]]+1),2)</f>
        <v>0.47</v>
      </c>
      <c r="L80" s="48">
        <f>COUNTIF(Table1[Return (keep sorted by this column!)],"&lt;"&amp;Table1[[#This Row],[Return (keep sorted by this column!)]])</f>
        <v>355</v>
      </c>
      <c r="M80" s="76">
        <f>IF(Table1[[#This Row],[Team]]="David",Table1[[#This Row],[Return (keep sorted by this column!)]],"")</f>
        <v>1.94</v>
      </c>
      <c r="N80" s="76" t="str">
        <f>IF(Table1[[#This Row],[Team]]="Tom",Table1[[#This Row],[Return (keep sorted by this column!)]],"")</f>
        <v/>
      </c>
      <c r="O80" s="5">
        <v>0.47599999999999998</v>
      </c>
      <c r="P80" s="68">
        <f>IF(Table1[[#This Row],[Team]]="David",Table1[[#This Row],[S&amp;P Return, same period]],"")</f>
        <v>0.47599999999999998</v>
      </c>
      <c r="Q80" s="68" t="str">
        <f>IF(Table1[[#This Row],[Team]]="Tom",Table1[[#This Row],[S&amp;P Return, same period]],"")</f>
        <v/>
      </c>
      <c r="R80" s="5">
        <v>1.4650000000000001</v>
      </c>
      <c r="S80" s="14">
        <f>IF(Table1[[#This Row],[Team]]="David",Table1[[#This Row],[Difference Vs. S&amp;P Return]],"")</f>
        <v>1.4650000000000001</v>
      </c>
      <c r="T80" s="14" t="str">
        <f>IF(Table1[[#This Row],[Team]]="Tom",Table1[[#This Row],[Difference Vs. S&amp;P Return]],"")</f>
        <v/>
      </c>
      <c r="U80" s="14">
        <f>ROUND((1+Table1[[#This Row],[Return (keep sorted by this column!)]])/(1+Table1[[#This Row],[S&amp;P Return, same period]])-1,1)</f>
        <v>1</v>
      </c>
      <c r="V80" s="15">
        <f>IF(Table1[[#This Row],[Team]]="David",Table1[[#This Row],[Improvement Vs. S&amp;P Return]],"")</f>
        <v>1</v>
      </c>
      <c r="W80" s="15" t="str">
        <f>IF(Table1[[#This Row],[Team]]="Tom",Table1[[#This Row],[Improvement Vs. S&amp;P Return]],"")</f>
        <v/>
      </c>
    </row>
    <row r="81" spans="1:23" ht="30" x14ac:dyDescent="0.2">
      <c r="A81" s="1">
        <v>39829</v>
      </c>
      <c r="B81" s="2" t="s">
        <v>522</v>
      </c>
      <c r="C81" s="2">
        <f>SUBTOTAL(103,Table1[[#This Row],[Recommendation Date]])</f>
        <v>1</v>
      </c>
      <c r="D81" s="2">
        <f>1</f>
        <v>1</v>
      </c>
      <c r="E81" s="16" t="s">
        <v>523</v>
      </c>
      <c r="F81" s="3" t="s">
        <v>252</v>
      </c>
      <c r="G81" s="3" t="s">
        <v>12</v>
      </c>
      <c r="H81" s="17"/>
      <c r="I81" s="4">
        <v>28.41</v>
      </c>
      <c r="J81" s="5">
        <v>1.9379999999999999</v>
      </c>
      <c r="K81" s="48">
        <f>ROUND(LOG10(Table1[[#This Row],[Return (keep sorted by this column!)]]+1),2)</f>
        <v>0.47</v>
      </c>
      <c r="L81" s="48">
        <f>COUNTIF(Table1[Return (keep sorted by this column!)],"&lt;"&amp;Table1[[#This Row],[Return (keep sorted by this column!)]])</f>
        <v>354</v>
      </c>
      <c r="M81" s="14">
        <f>IF(Table1[[#This Row],[Team]]="David",Table1[[#This Row],[Return (keep sorted by this column!)]],"")</f>
        <v>1.9379999999999999</v>
      </c>
      <c r="N81" s="14" t="str">
        <f>IF(Table1[[#This Row],[Team]]="Tom",Table1[[#This Row],[Return (keep sorted by this column!)]],"")</f>
        <v/>
      </c>
      <c r="O81" s="5">
        <v>1.484</v>
      </c>
      <c r="P81" s="23">
        <f>IF(Table1[[#This Row],[Team]]="David",Table1[[#This Row],[S&amp;P Return, same period]],"")</f>
        <v>1.484</v>
      </c>
      <c r="Q81" s="23" t="str">
        <f>IF(Table1[[#This Row],[Team]]="Tom",Table1[[#This Row],[S&amp;P Return, same period]],"")</f>
        <v/>
      </c>
      <c r="R81" s="5">
        <v>0.45400000000000001</v>
      </c>
      <c r="S81" s="14">
        <f>IF(Table1[[#This Row],[Team]]="David",Table1[[#This Row],[Difference Vs. S&amp;P Return]],"")</f>
        <v>0.45400000000000001</v>
      </c>
      <c r="T81" s="14" t="str">
        <f>IF(Table1[[#This Row],[Team]]="Tom",Table1[[#This Row],[Difference Vs. S&amp;P Return]],"")</f>
        <v/>
      </c>
      <c r="U81" s="14">
        <f>ROUND((1+Table1[[#This Row],[Return (keep sorted by this column!)]])/(1+Table1[[#This Row],[S&amp;P Return, same period]])-1,1)</f>
        <v>0.2</v>
      </c>
      <c r="V81" s="15">
        <f>IF(Table1[[#This Row],[Team]]="David",Table1[[#This Row],[Improvement Vs. S&amp;P Return]],"")</f>
        <v>0.2</v>
      </c>
      <c r="W81" s="15" t="str">
        <f>IF(Table1[[#This Row],[Team]]="Tom",Table1[[#This Row],[Improvement Vs. S&amp;P Return]],"")</f>
        <v/>
      </c>
    </row>
    <row r="82" spans="1:23" ht="75" x14ac:dyDescent="0.2">
      <c r="A82" s="1">
        <v>37477</v>
      </c>
      <c r="B82" s="2" t="s">
        <v>726</v>
      </c>
      <c r="C82" s="2">
        <f>SUBTOTAL(103,Table1[[#This Row],[Recommendation Date]])</f>
        <v>1</v>
      </c>
      <c r="D82" s="2">
        <f>1</f>
        <v>1</v>
      </c>
      <c r="E82" s="16" t="s">
        <v>236</v>
      </c>
      <c r="F82" s="3" t="s">
        <v>66</v>
      </c>
      <c r="G82" s="3" t="s">
        <v>8</v>
      </c>
      <c r="H82" s="17"/>
      <c r="I82" s="4">
        <v>32.15</v>
      </c>
      <c r="J82" s="5">
        <v>1.9370000000000001</v>
      </c>
      <c r="K82" s="48">
        <f>ROUND(LOG10(Table1[[#This Row],[Return (keep sorted by this column!)]]+1),2)</f>
        <v>0.47</v>
      </c>
      <c r="L82" s="48">
        <f>COUNTIF(Table1[Return (keep sorted by this column!)],"&lt;"&amp;Table1[[#This Row],[Return (keep sorted by this column!)]])</f>
        <v>353</v>
      </c>
      <c r="M82" s="14" t="str">
        <f>IF(Table1[[#This Row],[Team]]="David",Table1[[#This Row],[Return (keep sorted by this column!)]],"")</f>
        <v/>
      </c>
      <c r="N82" s="14">
        <f>IF(Table1[[#This Row],[Team]]="Tom",Table1[[#This Row],[Return (keep sorted by this column!)]],"")</f>
        <v>1.9370000000000001</v>
      </c>
      <c r="O82" s="5">
        <v>0.51</v>
      </c>
      <c r="P82" s="23" t="str">
        <f>IF(Table1[[#This Row],[Team]]="David",Table1[[#This Row],[S&amp;P Return, same period]],"")</f>
        <v/>
      </c>
      <c r="Q82" s="23">
        <f>IF(Table1[[#This Row],[Team]]="Tom",Table1[[#This Row],[S&amp;P Return, same period]],"")</f>
        <v>0.51</v>
      </c>
      <c r="R82" s="5">
        <v>1.4279999999999999</v>
      </c>
      <c r="S82" s="14" t="str">
        <f>IF(Table1[[#This Row],[Team]]="David",Table1[[#This Row],[Difference Vs. S&amp;P Return]],"")</f>
        <v/>
      </c>
      <c r="T82" s="14">
        <f>IF(Table1[[#This Row],[Team]]="Tom",Table1[[#This Row],[Difference Vs. S&amp;P Return]],"")</f>
        <v>1.4279999999999999</v>
      </c>
      <c r="U82" s="14">
        <f>ROUND((1+Table1[[#This Row],[Return (keep sorted by this column!)]])/(1+Table1[[#This Row],[S&amp;P Return, same period]])-1,1)</f>
        <v>0.9</v>
      </c>
      <c r="V82" s="15" t="str">
        <f>IF(Table1[[#This Row],[Team]]="David",Table1[[#This Row],[Improvement Vs. S&amp;P Return]],"")</f>
        <v/>
      </c>
      <c r="W82" s="15">
        <f>IF(Table1[[#This Row],[Team]]="Tom",Table1[[#This Row],[Improvement Vs. S&amp;P Return]],"")</f>
        <v>0.9</v>
      </c>
    </row>
    <row r="83" spans="1:23" ht="45" x14ac:dyDescent="0.2">
      <c r="A83" s="1">
        <v>38373</v>
      </c>
      <c r="B83" s="2" t="s">
        <v>666</v>
      </c>
      <c r="C83" s="2">
        <f>SUBTOTAL(103,Table1[[#This Row],[Recommendation Date]])</f>
        <v>1</v>
      </c>
      <c r="D83" s="2">
        <f>1</f>
        <v>1</v>
      </c>
      <c r="E83" s="16" t="s">
        <v>667</v>
      </c>
      <c r="F83" s="3" t="s">
        <v>252</v>
      </c>
      <c r="G83" s="3" t="s">
        <v>12</v>
      </c>
      <c r="H83" s="17"/>
      <c r="I83" s="4">
        <v>28.38</v>
      </c>
      <c r="J83" s="5">
        <v>1.8959999999999999</v>
      </c>
      <c r="K83" s="48">
        <f>ROUND(LOG10(Table1[[#This Row],[Return (keep sorted by this column!)]]+1),2)</f>
        <v>0.46</v>
      </c>
      <c r="L83" s="48">
        <f>COUNTIF(Table1[Return (keep sorted by this column!)],"&lt;"&amp;Table1[[#This Row],[Return (keep sorted by this column!)]])</f>
        <v>352</v>
      </c>
      <c r="M83" s="14">
        <f>IF(Table1[[#This Row],[Team]]="David",Table1[[#This Row],[Return (keep sorted by this column!)]],"")</f>
        <v>1.8959999999999999</v>
      </c>
      <c r="N83" s="14" t="str">
        <f>IF(Table1[[#This Row],[Team]]="Tom",Table1[[#This Row],[Return (keep sorted by this column!)]],"")</f>
        <v/>
      </c>
      <c r="O83" s="5">
        <v>1.1339999999999999</v>
      </c>
      <c r="P83" s="23">
        <f>IF(Table1[[#This Row],[Team]]="David",Table1[[#This Row],[S&amp;P Return, same period]],"")</f>
        <v>1.1339999999999999</v>
      </c>
      <c r="Q83" s="23" t="str">
        <f>IF(Table1[[#This Row],[Team]]="Tom",Table1[[#This Row],[S&amp;P Return, same period]],"")</f>
        <v/>
      </c>
      <c r="R83" s="5">
        <v>0.76200000000000001</v>
      </c>
      <c r="S83" s="14">
        <f>IF(Table1[[#This Row],[Team]]="David",Table1[[#This Row],[Difference Vs. S&amp;P Return]],"")</f>
        <v>0.76200000000000001</v>
      </c>
      <c r="T83" s="14" t="str">
        <f>IF(Table1[[#This Row],[Team]]="Tom",Table1[[#This Row],[Difference Vs. S&amp;P Return]],"")</f>
        <v/>
      </c>
      <c r="U83" s="14">
        <f>ROUND((1+Table1[[#This Row],[Return (keep sorted by this column!)]])/(1+Table1[[#This Row],[S&amp;P Return, same period]])-1,1)</f>
        <v>0.4</v>
      </c>
      <c r="V83" s="15">
        <f>IF(Table1[[#This Row],[Team]]="David",Table1[[#This Row],[Improvement Vs. S&amp;P Return]],"")</f>
        <v>0.4</v>
      </c>
      <c r="W83" s="15" t="str">
        <f>IF(Table1[[#This Row],[Team]]="Tom",Table1[[#This Row],[Improvement Vs. S&amp;P Return]],"")</f>
        <v/>
      </c>
    </row>
    <row r="84" spans="1:23" ht="30" x14ac:dyDescent="0.2">
      <c r="A84" s="18">
        <v>38373</v>
      </c>
      <c r="B84" s="2" t="s">
        <v>664</v>
      </c>
      <c r="C84" s="2">
        <f>SUBTOTAL(103,Table1[[#This Row],[Recommendation Date]])</f>
        <v>1</v>
      </c>
      <c r="D84" s="2">
        <f>1</f>
        <v>1</v>
      </c>
      <c r="E84" s="16" t="s">
        <v>665</v>
      </c>
      <c r="F84" s="3" t="s">
        <v>66</v>
      </c>
      <c r="G84" s="3" t="s">
        <v>8</v>
      </c>
      <c r="H84" s="17"/>
      <c r="I84" s="4">
        <v>28.26</v>
      </c>
      <c r="J84" s="5">
        <v>1.8380000000000001</v>
      </c>
      <c r="K84" s="48">
        <f>ROUND(LOG10(Table1[[#This Row],[Return (keep sorted by this column!)]]+1),2)</f>
        <v>0.45</v>
      </c>
      <c r="L84" s="48">
        <f>COUNTIF(Table1[Return (keep sorted by this column!)],"&lt;"&amp;Table1[[#This Row],[Return (keep sorted by this column!)]])</f>
        <v>351</v>
      </c>
      <c r="M84" s="14" t="str">
        <f>IF(Table1[[#This Row],[Team]]="David",Table1[[#This Row],[Return (keep sorted by this column!)]],"")</f>
        <v/>
      </c>
      <c r="N84" s="14">
        <f>IF(Table1[[#This Row],[Team]]="Tom",Table1[[#This Row],[Return (keep sorted by this column!)]],"")</f>
        <v>1.8380000000000001</v>
      </c>
      <c r="O84" s="5">
        <v>2.222</v>
      </c>
      <c r="P84" s="23" t="str">
        <f>IF(Table1[[#This Row],[Team]]="David",Table1[[#This Row],[S&amp;P Return, same period]],"")</f>
        <v/>
      </c>
      <c r="Q84" s="23">
        <f>IF(Table1[[#This Row],[Team]]="Tom",Table1[[#This Row],[S&amp;P Return, same period]],"")</f>
        <v>2.222</v>
      </c>
      <c r="R84" s="5">
        <v>-0.38400000000000001</v>
      </c>
      <c r="S84" s="14" t="str">
        <f>IF(Table1[[#This Row],[Team]]="David",Table1[[#This Row],[Difference Vs. S&amp;P Return]],"")</f>
        <v/>
      </c>
      <c r="T84" s="14">
        <f>IF(Table1[[#This Row],[Team]]="Tom",Table1[[#This Row],[Difference Vs. S&amp;P Return]],"")</f>
        <v>-0.38400000000000001</v>
      </c>
      <c r="U84" s="14">
        <f>ROUND((1+Table1[[#This Row],[Return (keep sorted by this column!)]])/(1+Table1[[#This Row],[S&amp;P Return, same period]])-1,1)</f>
        <v>-0.1</v>
      </c>
      <c r="V84" s="15" t="str">
        <f>IF(Table1[[#This Row],[Team]]="David",Table1[[#This Row],[Improvement Vs. S&amp;P Return]],"")</f>
        <v/>
      </c>
      <c r="W84" s="15">
        <f>IF(Table1[[#This Row],[Team]]="Tom",Table1[[#This Row],[Improvement Vs. S&amp;P Return]],"")</f>
        <v>-0.1</v>
      </c>
    </row>
    <row r="85" spans="1:23" ht="17" x14ac:dyDescent="0.2">
      <c r="A85" s="18">
        <v>43210</v>
      </c>
      <c r="B85" s="2" t="s">
        <v>115</v>
      </c>
      <c r="C85" s="2">
        <f>SUBTOTAL(103,Table1[[#This Row],[Recommendation Date]])</f>
        <v>1</v>
      </c>
      <c r="D85" s="2">
        <f>1</f>
        <v>1</v>
      </c>
      <c r="E85" s="16" t="s">
        <v>116</v>
      </c>
      <c r="F85" s="3" t="s">
        <v>44</v>
      </c>
      <c r="G85" s="3" t="s">
        <v>12</v>
      </c>
      <c r="H85" s="16">
        <v>11</v>
      </c>
      <c r="I85" s="4">
        <v>41.97</v>
      </c>
      <c r="J85" s="5">
        <v>1.736</v>
      </c>
      <c r="K85" s="48">
        <f>ROUND(LOG10(Table1[[#This Row],[Return (keep sorted by this column!)]]+1),2)</f>
        <v>0.44</v>
      </c>
      <c r="L85" s="48">
        <f>COUNTIF(Table1[Return (keep sorted by this column!)],"&lt;"&amp;Table1[[#This Row],[Return (keep sorted by this column!)]])</f>
        <v>349</v>
      </c>
      <c r="M85" s="76">
        <f>IF(Table1[[#This Row],[Team]]="David",Table1[[#This Row],[Return (keep sorted by this column!)]],"")</f>
        <v>1.736</v>
      </c>
      <c r="N85" s="76" t="str">
        <f>IF(Table1[[#This Row],[Team]]="Tom",Table1[[#This Row],[Return (keep sorted by this column!)]],"")</f>
        <v/>
      </c>
      <c r="O85" s="5">
        <v>6.8000000000000005E-2</v>
      </c>
      <c r="P85" s="68">
        <f>IF(Table1[[#This Row],[Team]]="David",Table1[[#This Row],[S&amp;P Return, same period]],"")</f>
        <v>6.8000000000000005E-2</v>
      </c>
      <c r="Q85" s="68" t="str">
        <f>IF(Table1[[#This Row],[Team]]="Tom",Table1[[#This Row],[S&amp;P Return, same period]],"")</f>
        <v/>
      </c>
      <c r="R85" s="5">
        <v>1.6679999999999999</v>
      </c>
      <c r="S85" s="14">
        <f>IF(Table1[[#This Row],[Team]]="David",Table1[[#This Row],[Difference Vs. S&amp;P Return]],"")</f>
        <v>1.6679999999999999</v>
      </c>
      <c r="T85" s="14" t="str">
        <f>IF(Table1[[#This Row],[Team]]="Tom",Table1[[#This Row],[Difference Vs. S&amp;P Return]],"")</f>
        <v/>
      </c>
      <c r="U85" s="14">
        <f>ROUND((1+Table1[[#This Row],[Return (keep sorted by this column!)]])/(1+Table1[[#This Row],[S&amp;P Return, same period]])-1,1)</f>
        <v>1.6</v>
      </c>
      <c r="V85" s="15">
        <f>IF(Table1[[#This Row],[Team]]="David",Table1[[#This Row],[Improvement Vs. S&amp;P Return]],"")</f>
        <v>1.6</v>
      </c>
      <c r="W85" s="15" t="str">
        <f>IF(Table1[[#This Row],[Team]]="Tom",Table1[[#This Row],[Improvement Vs. S&amp;P Return]],"")</f>
        <v/>
      </c>
    </row>
    <row r="86" spans="1:23" ht="30" x14ac:dyDescent="0.2">
      <c r="A86" s="18">
        <v>41810</v>
      </c>
      <c r="B86" s="2" t="s">
        <v>299</v>
      </c>
      <c r="C86" s="2">
        <f>SUBTOTAL(103,Table1[[#This Row],[Recommendation Date]])</f>
        <v>1</v>
      </c>
      <c r="D86" s="2">
        <f>1</f>
        <v>1</v>
      </c>
      <c r="E86" s="16" t="s">
        <v>300</v>
      </c>
      <c r="F86" s="3" t="s">
        <v>280</v>
      </c>
      <c r="G86" s="3" t="s">
        <v>8</v>
      </c>
      <c r="H86" s="17"/>
      <c r="I86" s="4">
        <v>192.67</v>
      </c>
      <c r="J86" s="5">
        <v>1.736</v>
      </c>
      <c r="K86" s="48">
        <f>ROUND(LOG10(Table1[[#This Row],[Return (keep sorted by this column!)]]+1),2)</f>
        <v>0.44</v>
      </c>
      <c r="L86" s="48">
        <f>COUNTIF(Table1[Return (keep sorted by this column!)],"&lt;"&amp;Table1[[#This Row],[Return (keep sorted by this column!)]])</f>
        <v>349</v>
      </c>
      <c r="M86" s="76" t="str">
        <f>IF(Table1[[#This Row],[Team]]="David",Table1[[#This Row],[Return (keep sorted by this column!)]],"")</f>
        <v/>
      </c>
      <c r="N86" s="76">
        <f>IF(Table1[[#This Row],[Team]]="Tom",Table1[[#This Row],[Return (keep sorted by this column!)]],"")</f>
        <v>1.736</v>
      </c>
      <c r="O86" s="5">
        <v>0.57299999999999995</v>
      </c>
      <c r="P86" s="68" t="str">
        <f>IF(Table1[[#This Row],[Team]]="David",Table1[[#This Row],[S&amp;P Return, same period]],"")</f>
        <v/>
      </c>
      <c r="Q86" s="68">
        <f>IF(Table1[[#This Row],[Team]]="Tom",Table1[[#This Row],[S&amp;P Return, same period]],"")</f>
        <v>0.57299999999999995</v>
      </c>
      <c r="R86" s="5">
        <v>1.163</v>
      </c>
      <c r="S86" s="14" t="str">
        <f>IF(Table1[[#This Row],[Team]]="David",Table1[[#This Row],[Difference Vs. S&amp;P Return]],"")</f>
        <v/>
      </c>
      <c r="T86" s="14">
        <f>IF(Table1[[#This Row],[Team]]="Tom",Table1[[#This Row],[Difference Vs. S&amp;P Return]],"")</f>
        <v>1.163</v>
      </c>
      <c r="U86" s="14">
        <f>ROUND((1+Table1[[#This Row],[Return (keep sorted by this column!)]])/(1+Table1[[#This Row],[S&amp;P Return, same period]])-1,1)</f>
        <v>0.7</v>
      </c>
      <c r="V86" s="15" t="str">
        <f>IF(Table1[[#This Row],[Team]]="David",Table1[[#This Row],[Improvement Vs. S&amp;P Return]],"")</f>
        <v/>
      </c>
      <c r="W86" s="15">
        <f>IF(Table1[[#This Row],[Team]]="Tom",Table1[[#This Row],[Improvement Vs. S&amp;P Return]],"")</f>
        <v>0.7</v>
      </c>
    </row>
    <row r="87" spans="1:23" ht="30" x14ac:dyDescent="0.2">
      <c r="A87" s="18">
        <v>39738</v>
      </c>
      <c r="B87" s="2" t="s">
        <v>520</v>
      </c>
      <c r="C87" s="2">
        <f>SUBTOTAL(103,Table1[[#This Row],[Recommendation Date]])</f>
        <v>1</v>
      </c>
      <c r="D87" s="2">
        <f>1</f>
        <v>1</v>
      </c>
      <c r="E87" s="16" t="s">
        <v>521</v>
      </c>
      <c r="F87" s="3" t="s">
        <v>41</v>
      </c>
      <c r="G87" s="3" t="s">
        <v>8</v>
      </c>
      <c r="H87" s="17"/>
      <c r="I87" s="4">
        <v>13.16</v>
      </c>
      <c r="J87" s="5">
        <v>1.6919999999999999</v>
      </c>
      <c r="K87" s="48">
        <f>ROUND(LOG10(Table1[[#This Row],[Return (keep sorted by this column!)]]+1),2)</f>
        <v>0.43</v>
      </c>
      <c r="L87" s="48">
        <f>COUNTIF(Table1[Return (keep sorted by this column!)],"&lt;"&amp;Table1[[#This Row],[Return (keep sorted by this column!)]])</f>
        <v>348</v>
      </c>
      <c r="M87" s="14" t="str">
        <f>IF(Table1[[#This Row],[Team]]="David",Table1[[#This Row],[Return (keep sorted by this column!)]],"")</f>
        <v/>
      </c>
      <c r="N87" s="14">
        <f>IF(Table1[[#This Row],[Team]]="Tom",Table1[[#This Row],[Return (keep sorted by this column!)]],"")</f>
        <v>1.6919999999999999</v>
      </c>
      <c r="O87" s="5">
        <v>2.7210000000000001</v>
      </c>
      <c r="P87" s="23" t="str">
        <f>IF(Table1[[#This Row],[Team]]="David",Table1[[#This Row],[S&amp;P Return, same period]],"")</f>
        <v/>
      </c>
      <c r="Q87" s="23">
        <f>IF(Table1[[#This Row],[Team]]="Tom",Table1[[#This Row],[S&amp;P Return, same period]],"")</f>
        <v>2.7210000000000001</v>
      </c>
      <c r="R87" s="5">
        <v>-1.028</v>
      </c>
      <c r="S87" s="14" t="str">
        <f>IF(Table1[[#This Row],[Team]]="David",Table1[[#This Row],[Difference Vs. S&amp;P Return]],"")</f>
        <v/>
      </c>
      <c r="T87" s="14">
        <f>IF(Table1[[#This Row],[Team]]="Tom",Table1[[#This Row],[Difference Vs. S&amp;P Return]],"")</f>
        <v>-1.028</v>
      </c>
      <c r="U87" s="14">
        <f>ROUND((1+Table1[[#This Row],[Return (keep sorted by this column!)]])/(1+Table1[[#This Row],[S&amp;P Return, same period]])-1,1)</f>
        <v>-0.3</v>
      </c>
      <c r="V87" s="15" t="str">
        <f>IF(Table1[[#This Row],[Team]]="David",Table1[[#This Row],[Improvement Vs. S&amp;P Return]],"")</f>
        <v/>
      </c>
      <c r="W87" s="15">
        <f>IF(Table1[[#This Row],[Team]]="Tom",Table1[[#This Row],[Improvement Vs. S&amp;P Return]],"")</f>
        <v>-0.3</v>
      </c>
    </row>
    <row r="88" spans="1:23" ht="45" x14ac:dyDescent="0.2">
      <c r="A88" s="18">
        <v>39192</v>
      </c>
      <c r="B88" s="2" t="s">
        <v>206</v>
      </c>
      <c r="C88" s="2">
        <f>SUBTOTAL(103,Table1[[#This Row],[Recommendation Date]])</f>
        <v>1</v>
      </c>
      <c r="D88" s="2">
        <f>1</f>
        <v>1</v>
      </c>
      <c r="E88" s="16" t="s">
        <v>207</v>
      </c>
      <c r="F88" s="3" t="s">
        <v>208</v>
      </c>
      <c r="G88" s="3" t="s">
        <v>8</v>
      </c>
      <c r="H88" s="17"/>
      <c r="I88" s="4">
        <v>72.56</v>
      </c>
      <c r="J88" s="5">
        <v>1.6619999999999999</v>
      </c>
      <c r="K88" s="48">
        <f>ROUND(LOG10(Table1[[#This Row],[Return (keep sorted by this column!)]]+1),2)</f>
        <v>0.43</v>
      </c>
      <c r="L88" s="48">
        <f>COUNTIF(Table1[Return (keep sorted by this column!)],"&lt;"&amp;Table1[[#This Row],[Return (keep sorted by this column!)]])</f>
        <v>347</v>
      </c>
      <c r="M88" s="14" t="str">
        <f>IF(Table1[[#This Row],[Team]]="David",Table1[[#This Row],[Return (keep sorted by this column!)]],"")</f>
        <v/>
      </c>
      <c r="N88" s="14">
        <f>IF(Table1[[#This Row],[Team]]="Tom",Table1[[#This Row],[Return (keep sorted by this column!)]],"")</f>
        <v>1.6619999999999999</v>
      </c>
      <c r="O88" s="5">
        <v>1.431</v>
      </c>
      <c r="P88" s="23" t="str">
        <f>IF(Table1[[#This Row],[Team]]="David",Table1[[#This Row],[S&amp;P Return, same period]],"")</f>
        <v/>
      </c>
      <c r="Q88" s="23">
        <f>IF(Table1[[#This Row],[Team]]="Tom",Table1[[#This Row],[S&amp;P Return, same period]],"")</f>
        <v>1.431</v>
      </c>
      <c r="R88" s="5">
        <v>0.23100000000000001</v>
      </c>
      <c r="S88" s="14" t="str">
        <f>IF(Table1[[#This Row],[Team]]="David",Table1[[#This Row],[Difference Vs. S&amp;P Return]],"")</f>
        <v/>
      </c>
      <c r="T88" s="14">
        <f>IF(Table1[[#This Row],[Team]]="Tom",Table1[[#This Row],[Difference Vs. S&amp;P Return]],"")</f>
        <v>0.23100000000000001</v>
      </c>
      <c r="U88" s="14">
        <f>ROUND((1+Table1[[#This Row],[Return (keep sorted by this column!)]])/(1+Table1[[#This Row],[S&amp;P Return, same period]])-1,1)</f>
        <v>0.1</v>
      </c>
      <c r="V88" s="15" t="str">
        <f>IF(Table1[[#This Row],[Team]]="David",Table1[[#This Row],[Improvement Vs. S&amp;P Return]],"")</f>
        <v/>
      </c>
      <c r="W88" s="15">
        <f>IF(Table1[[#This Row],[Team]]="Tom",Table1[[#This Row],[Improvement Vs. S&amp;P Return]],"")</f>
        <v>0.1</v>
      </c>
    </row>
    <row r="89" spans="1:23" ht="30" x14ac:dyDescent="0.2">
      <c r="A89" s="18">
        <v>43119</v>
      </c>
      <c r="B89" s="2" t="s">
        <v>126</v>
      </c>
      <c r="C89" s="2">
        <f>SUBTOTAL(103,Table1[[#This Row],[Recommendation Date]])</f>
        <v>1</v>
      </c>
      <c r="D89" s="2">
        <f>1</f>
        <v>1</v>
      </c>
      <c r="E89" s="16" t="s">
        <v>127</v>
      </c>
      <c r="F89" s="3" t="s">
        <v>44</v>
      </c>
      <c r="G89" s="3" t="s">
        <v>8</v>
      </c>
      <c r="H89" s="17"/>
      <c r="I89" s="4">
        <v>91.19</v>
      </c>
      <c r="J89" s="5">
        <v>1.641</v>
      </c>
      <c r="K89" s="48">
        <f>ROUND(LOG10(Table1[[#This Row],[Return (keep sorted by this column!)]]+1),2)</f>
        <v>0.42</v>
      </c>
      <c r="L89" s="48">
        <f>COUNTIF(Table1[Return (keep sorted by this column!)],"&lt;"&amp;Table1[[#This Row],[Return (keep sorted by this column!)]])</f>
        <v>346</v>
      </c>
      <c r="M89" s="76" t="str">
        <f>IF(Table1[[#This Row],[Team]]="David",Table1[[#This Row],[Return (keep sorted by this column!)]],"")</f>
        <v/>
      </c>
      <c r="N89" s="76">
        <f>IF(Table1[[#This Row],[Team]]="Tom",Table1[[#This Row],[Return (keep sorted by this column!)]],"")</f>
        <v>1.641</v>
      </c>
      <c r="O89" s="5">
        <v>0.02</v>
      </c>
      <c r="P89" s="68" t="str">
        <f>IF(Table1[[#This Row],[Team]]="David",Table1[[#This Row],[S&amp;P Return, same period]],"")</f>
        <v/>
      </c>
      <c r="Q89" s="68">
        <f>IF(Table1[[#This Row],[Team]]="Tom",Table1[[#This Row],[S&amp;P Return, same period]],"")</f>
        <v>0.02</v>
      </c>
      <c r="R89" s="5">
        <v>1.621</v>
      </c>
      <c r="S89" s="14" t="str">
        <f>IF(Table1[[#This Row],[Team]]="David",Table1[[#This Row],[Difference Vs. S&amp;P Return]],"")</f>
        <v/>
      </c>
      <c r="T89" s="14">
        <f>IF(Table1[[#This Row],[Team]]="Tom",Table1[[#This Row],[Difference Vs. S&amp;P Return]],"")</f>
        <v>1.621</v>
      </c>
      <c r="U89" s="14">
        <f>ROUND((1+Table1[[#This Row],[Return (keep sorted by this column!)]])/(1+Table1[[#This Row],[S&amp;P Return, same period]])-1,1)</f>
        <v>1.6</v>
      </c>
      <c r="V89" s="15" t="str">
        <f>IF(Table1[[#This Row],[Team]]="David",Table1[[#This Row],[Improvement Vs. S&amp;P Return]],"")</f>
        <v/>
      </c>
      <c r="W89" s="15">
        <f>IF(Table1[[#This Row],[Team]]="Tom",Table1[[#This Row],[Improvement Vs. S&amp;P Return]],"")</f>
        <v>1.6</v>
      </c>
    </row>
    <row r="90" spans="1:23" ht="30" x14ac:dyDescent="0.2">
      <c r="A90" s="18">
        <v>42356</v>
      </c>
      <c r="B90" s="2" t="s">
        <v>233</v>
      </c>
      <c r="C90" s="2">
        <f>SUBTOTAL(103,Table1[[#This Row],[Recommendation Date]])</f>
        <v>1</v>
      </c>
      <c r="D90" s="2">
        <f>1</f>
        <v>1</v>
      </c>
      <c r="E90" s="16" t="s">
        <v>234</v>
      </c>
      <c r="F90" s="3" t="s">
        <v>27</v>
      </c>
      <c r="G90" s="3" t="s">
        <v>12</v>
      </c>
      <c r="H90" s="16">
        <v>10</v>
      </c>
      <c r="I90" s="4">
        <v>12.9</v>
      </c>
      <c r="J90" s="5">
        <v>1.625</v>
      </c>
      <c r="K90" s="48">
        <f>ROUND(LOG10(Table1[[#This Row],[Return (keep sorted by this column!)]]+1),2)</f>
        <v>0.42</v>
      </c>
      <c r="L90" s="48">
        <f>COUNTIF(Table1[Return (keep sorted by this column!)],"&lt;"&amp;Table1[[#This Row],[Return (keep sorted by this column!)]])</f>
        <v>345</v>
      </c>
      <c r="M90" s="76">
        <f>IF(Table1[[#This Row],[Team]]="David",Table1[[#This Row],[Return (keep sorted by this column!)]],"")</f>
        <v>1.625</v>
      </c>
      <c r="N90" s="76" t="str">
        <f>IF(Table1[[#This Row],[Team]]="Tom",Table1[[#This Row],[Return (keep sorted by this column!)]],"")</f>
        <v/>
      </c>
      <c r="O90" s="5">
        <v>0.49199999999999999</v>
      </c>
      <c r="P90" s="68">
        <f>IF(Table1[[#This Row],[Team]]="David",Table1[[#This Row],[S&amp;P Return, same period]],"")</f>
        <v>0.49199999999999999</v>
      </c>
      <c r="Q90" s="68" t="str">
        <f>IF(Table1[[#This Row],[Team]]="Tom",Table1[[#This Row],[S&amp;P Return, same period]],"")</f>
        <v/>
      </c>
      <c r="R90" s="5">
        <v>1.133</v>
      </c>
      <c r="S90" s="14">
        <f>IF(Table1[[#This Row],[Team]]="David",Table1[[#This Row],[Difference Vs. S&amp;P Return]],"")</f>
        <v>1.133</v>
      </c>
      <c r="T90" s="14" t="str">
        <f>IF(Table1[[#This Row],[Team]]="Tom",Table1[[#This Row],[Difference Vs. S&amp;P Return]],"")</f>
        <v/>
      </c>
      <c r="U90" s="14">
        <f>ROUND((1+Table1[[#This Row],[Return (keep sorted by this column!)]])/(1+Table1[[#This Row],[S&amp;P Return, same period]])-1,1)</f>
        <v>0.8</v>
      </c>
      <c r="V90" s="15">
        <f>IF(Table1[[#This Row],[Team]]="David",Table1[[#This Row],[Improvement Vs. S&amp;P Return]],"")</f>
        <v>0.8</v>
      </c>
      <c r="W90" s="15" t="str">
        <f>IF(Table1[[#This Row],[Team]]="Tom",Table1[[#This Row],[Improvement Vs. S&amp;P Return]],"")</f>
        <v/>
      </c>
    </row>
    <row r="91" spans="1:23" ht="17" x14ac:dyDescent="0.2">
      <c r="A91" s="18">
        <v>42720</v>
      </c>
      <c r="B91" s="2" t="s">
        <v>179</v>
      </c>
      <c r="C91" s="2">
        <f>SUBTOTAL(103,Table1[[#This Row],[Recommendation Date]])</f>
        <v>1</v>
      </c>
      <c r="D91" s="2">
        <f>1</f>
        <v>1</v>
      </c>
      <c r="E91" s="16" t="s">
        <v>180</v>
      </c>
      <c r="F91" s="3" t="s">
        <v>7</v>
      </c>
      <c r="G91" s="3" t="s">
        <v>12</v>
      </c>
      <c r="H91" s="16">
        <v>6</v>
      </c>
      <c r="I91" s="4">
        <v>66.55</v>
      </c>
      <c r="J91" s="5">
        <v>1.6040000000000001</v>
      </c>
      <c r="K91" s="48">
        <f>ROUND(LOG10(Table1[[#This Row],[Return (keep sorted by this column!)]]+1),2)</f>
        <v>0.42</v>
      </c>
      <c r="L91" s="48">
        <f>COUNTIF(Table1[Return (keep sorted by this column!)],"&lt;"&amp;Table1[[#This Row],[Return (keep sorted by this column!)]])</f>
        <v>344</v>
      </c>
      <c r="M91" s="76">
        <f>IF(Table1[[#This Row],[Team]]="David",Table1[[#This Row],[Return (keep sorted by this column!)]],"")</f>
        <v>1.6040000000000001</v>
      </c>
      <c r="N91" s="76" t="str">
        <f>IF(Table1[[#This Row],[Team]]="Tom",Table1[[#This Row],[Return (keep sorted by this column!)]],"")</f>
        <v/>
      </c>
      <c r="O91" s="5">
        <v>0.29699999999999999</v>
      </c>
      <c r="P91" s="68">
        <f>IF(Table1[[#This Row],[Team]]="David",Table1[[#This Row],[S&amp;P Return, same period]],"")</f>
        <v>0.29699999999999999</v>
      </c>
      <c r="Q91" s="68" t="str">
        <f>IF(Table1[[#This Row],[Team]]="Tom",Table1[[#This Row],[S&amp;P Return, same period]],"")</f>
        <v/>
      </c>
      <c r="R91" s="5">
        <v>1.3080000000000001</v>
      </c>
      <c r="S91" s="14">
        <f>IF(Table1[[#This Row],[Team]]="David",Table1[[#This Row],[Difference Vs. S&amp;P Return]],"")</f>
        <v>1.3080000000000001</v>
      </c>
      <c r="T91" s="14" t="str">
        <f>IF(Table1[[#This Row],[Team]]="Tom",Table1[[#This Row],[Difference Vs. S&amp;P Return]],"")</f>
        <v/>
      </c>
      <c r="U91" s="14">
        <f>ROUND((1+Table1[[#This Row],[Return (keep sorted by this column!)]])/(1+Table1[[#This Row],[S&amp;P Return, same period]])-1,1)</f>
        <v>1</v>
      </c>
      <c r="V91" s="15">
        <f>IF(Table1[[#This Row],[Team]]="David",Table1[[#This Row],[Improvement Vs. S&amp;P Return]],"")</f>
        <v>1</v>
      </c>
      <c r="W91" s="15" t="str">
        <f>IF(Table1[[#This Row],[Team]]="Tom",Table1[[#This Row],[Improvement Vs. S&amp;P Return]],"")</f>
        <v/>
      </c>
    </row>
    <row r="92" spans="1:23" ht="45" x14ac:dyDescent="0.2">
      <c r="A92" s="1">
        <v>37750</v>
      </c>
      <c r="B92" s="2" t="s">
        <v>715</v>
      </c>
      <c r="C92" s="2">
        <f>SUBTOTAL(103,Table1[[#This Row],[Recommendation Date]])</f>
        <v>1</v>
      </c>
      <c r="D92" s="2">
        <f>1</f>
        <v>1</v>
      </c>
      <c r="E92" s="16" t="s">
        <v>29</v>
      </c>
      <c r="F92" s="3" t="s">
        <v>30</v>
      </c>
      <c r="G92" s="3" t="s">
        <v>12</v>
      </c>
      <c r="H92" s="16">
        <v>12</v>
      </c>
      <c r="I92" s="4">
        <v>1.62</v>
      </c>
      <c r="J92" s="5">
        <v>1.5960000000000001</v>
      </c>
      <c r="K92" s="48">
        <f>ROUND(LOG10(Table1[[#This Row],[Return (keep sorted by this column!)]]+1),2)</f>
        <v>0.41</v>
      </c>
      <c r="L92" s="48">
        <f>COUNTIF(Table1[Return (keep sorted by this column!)],"&lt;"&amp;Table1[[#This Row],[Return (keep sorted by this column!)]])</f>
        <v>343</v>
      </c>
      <c r="M92" s="14">
        <f>IF(Table1[[#This Row],[Team]]="David",Table1[[#This Row],[Return (keep sorted by this column!)]],"")</f>
        <v>1.5960000000000001</v>
      </c>
      <c r="N92" s="14" t="str">
        <f>IF(Table1[[#This Row],[Team]]="Tom",Table1[[#This Row],[Return (keep sorted by this column!)]],"")</f>
        <v/>
      </c>
      <c r="O92" s="5">
        <v>0.13600000000000001</v>
      </c>
      <c r="P92" s="23">
        <f>IF(Table1[[#This Row],[Team]]="David",Table1[[#This Row],[S&amp;P Return, same period]],"")</f>
        <v>0.13600000000000001</v>
      </c>
      <c r="Q92" s="23" t="str">
        <f>IF(Table1[[#This Row],[Team]]="Tom",Table1[[#This Row],[S&amp;P Return, same period]],"")</f>
        <v/>
      </c>
      <c r="R92" s="5">
        <v>1.4590000000000001</v>
      </c>
      <c r="S92" s="14">
        <f>IF(Table1[[#This Row],[Team]]="David",Table1[[#This Row],[Difference Vs. S&amp;P Return]],"")</f>
        <v>1.4590000000000001</v>
      </c>
      <c r="T92" s="14" t="str">
        <f>IF(Table1[[#This Row],[Team]]="Tom",Table1[[#This Row],[Difference Vs. S&amp;P Return]],"")</f>
        <v/>
      </c>
      <c r="U92" s="14">
        <f>ROUND((1+Table1[[#This Row],[Return (keep sorted by this column!)]])/(1+Table1[[#This Row],[S&amp;P Return, same period]])-1,1)</f>
        <v>1.3</v>
      </c>
      <c r="V92" s="15">
        <f>IF(Table1[[#This Row],[Team]]="David",Table1[[#This Row],[Improvement Vs. S&amp;P Return]],"")</f>
        <v>1.3</v>
      </c>
      <c r="W92" s="15" t="str">
        <f>IF(Table1[[#This Row],[Team]]="Tom",Table1[[#This Row],[Improvement Vs. S&amp;P Return]],"")</f>
        <v/>
      </c>
    </row>
    <row r="93" spans="1:23" ht="30" x14ac:dyDescent="0.2">
      <c r="A93" s="18">
        <v>41138</v>
      </c>
      <c r="B93" s="2" t="s">
        <v>291</v>
      </c>
      <c r="C93" s="2">
        <f>SUBTOTAL(103,Table1[[#This Row],[Recommendation Date]])</f>
        <v>1</v>
      </c>
      <c r="D93" s="2">
        <f>1</f>
        <v>1</v>
      </c>
      <c r="E93" s="16" t="s">
        <v>292</v>
      </c>
      <c r="F93" s="3" t="s">
        <v>169</v>
      </c>
      <c r="G93" s="3" t="s">
        <v>8</v>
      </c>
      <c r="H93" s="17"/>
      <c r="I93" s="4">
        <v>588.78</v>
      </c>
      <c r="J93" s="5">
        <v>1.595</v>
      </c>
      <c r="K93" s="48">
        <f>ROUND(LOG10(Table1[[#This Row],[Return (keep sorted by this column!)]]+1),2)</f>
        <v>0.41</v>
      </c>
      <c r="L93" s="48">
        <f>COUNTIF(Table1[Return (keep sorted by this column!)],"&lt;"&amp;Table1[[#This Row],[Return (keep sorted by this column!)]])</f>
        <v>342</v>
      </c>
      <c r="M93" s="76" t="str">
        <f>IF(Table1[[#This Row],[Team]]="David",Table1[[#This Row],[Return (keep sorted by this column!)]],"")</f>
        <v/>
      </c>
      <c r="N93" s="76">
        <f>IF(Table1[[#This Row],[Team]]="Tom",Table1[[#This Row],[Return (keep sorted by this column!)]],"")</f>
        <v>1.595</v>
      </c>
      <c r="O93" s="5">
        <v>1.2649999999999999</v>
      </c>
      <c r="P93" s="68" t="str">
        <f>IF(Table1[[#This Row],[Team]]="David",Table1[[#This Row],[S&amp;P Return, same period]],"")</f>
        <v/>
      </c>
      <c r="Q93" s="68">
        <f>IF(Table1[[#This Row],[Team]]="Tom",Table1[[#This Row],[S&amp;P Return, same period]],"")</f>
        <v>1.2649999999999999</v>
      </c>
      <c r="R93" s="5">
        <v>0.33</v>
      </c>
      <c r="S93" s="14" t="str">
        <f>IF(Table1[[#This Row],[Team]]="David",Table1[[#This Row],[Difference Vs. S&amp;P Return]],"")</f>
        <v/>
      </c>
      <c r="T93" s="14">
        <f>IF(Table1[[#This Row],[Team]]="Tom",Table1[[#This Row],[Difference Vs. S&amp;P Return]],"")</f>
        <v>0.33</v>
      </c>
      <c r="U93" s="14">
        <f>ROUND((1+Table1[[#This Row],[Return (keep sorted by this column!)]])/(1+Table1[[#This Row],[S&amp;P Return, same period]])-1,1)</f>
        <v>0.1</v>
      </c>
      <c r="V93" s="15" t="str">
        <f>IF(Table1[[#This Row],[Team]]="David",Table1[[#This Row],[Improvement Vs. S&amp;P Return]],"")</f>
        <v/>
      </c>
      <c r="W93" s="15">
        <f>IF(Table1[[#This Row],[Team]]="Tom",Table1[[#This Row],[Improvement Vs. S&amp;P Return]],"")</f>
        <v>0.1</v>
      </c>
    </row>
    <row r="94" spans="1:23" ht="17" x14ac:dyDescent="0.2">
      <c r="A94" s="18">
        <v>42720</v>
      </c>
      <c r="B94" s="2" t="s">
        <v>83</v>
      </c>
      <c r="C94" s="2">
        <f>SUBTOTAL(103,Table1[[#This Row],[Recommendation Date]])</f>
        <v>1</v>
      </c>
      <c r="D94" s="2">
        <f>1</f>
        <v>1</v>
      </c>
      <c r="E94" s="16" t="s">
        <v>84</v>
      </c>
      <c r="F94" s="3" t="s">
        <v>85</v>
      </c>
      <c r="G94" s="3" t="s">
        <v>8</v>
      </c>
      <c r="H94" s="17"/>
      <c r="I94" s="4">
        <v>101.41</v>
      </c>
      <c r="J94" s="5">
        <v>1.5840000000000001</v>
      </c>
      <c r="K94" s="48">
        <f>ROUND(LOG10(Table1[[#This Row],[Return (keep sorted by this column!)]]+1),2)</f>
        <v>0.41</v>
      </c>
      <c r="L94" s="48">
        <f>COUNTIF(Table1[Return (keep sorted by this column!)],"&lt;"&amp;Table1[[#This Row],[Return (keep sorted by this column!)]])</f>
        <v>341</v>
      </c>
      <c r="M94" s="76" t="str">
        <f>IF(Table1[[#This Row],[Team]]="David",Table1[[#This Row],[Return (keep sorted by this column!)]],"")</f>
        <v/>
      </c>
      <c r="N94" s="76">
        <f>IF(Table1[[#This Row],[Team]]="Tom",Table1[[#This Row],[Return (keep sorted by this column!)]],"")</f>
        <v>1.5840000000000001</v>
      </c>
      <c r="O94" s="5">
        <v>0.29699999999999999</v>
      </c>
      <c r="P94" s="68" t="str">
        <f>IF(Table1[[#This Row],[Team]]="David",Table1[[#This Row],[S&amp;P Return, same period]],"")</f>
        <v/>
      </c>
      <c r="Q94" s="68">
        <f>IF(Table1[[#This Row],[Team]]="Tom",Table1[[#This Row],[S&amp;P Return, same period]],"")</f>
        <v>0.29699999999999999</v>
      </c>
      <c r="R94" s="5">
        <v>1.2869999999999999</v>
      </c>
      <c r="S94" s="14" t="str">
        <f>IF(Table1[[#This Row],[Team]]="David",Table1[[#This Row],[Difference Vs. S&amp;P Return]],"")</f>
        <v/>
      </c>
      <c r="T94" s="14">
        <f>IF(Table1[[#This Row],[Team]]="Tom",Table1[[#This Row],[Difference Vs. S&amp;P Return]],"")</f>
        <v>1.2869999999999999</v>
      </c>
      <c r="U94" s="14">
        <f>ROUND((1+Table1[[#This Row],[Return (keep sorted by this column!)]])/(1+Table1[[#This Row],[S&amp;P Return, same period]])-1,1)</f>
        <v>1</v>
      </c>
      <c r="V94" s="15" t="str">
        <f>IF(Table1[[#This Row],[Team]]="David",Table1[[#This Row],[Improvement Vs. S&amp;P Return]],"")</f>
        <v/>
      </c>
      <c r="W94" s="15">
        <f>IF(Table1[[#This Row],[Team]]="Tom",Table1[[#This Row],[Improvement Vs. S&amp;P Return]],"")</f>
        <v>1</v>
      </c>
    </row>
    <row r="95" spans="1:23" ht="45" x14ac:dyDescent="0.2">
      <c r="A95" s="1">
        <v>37323</v>
      </c>
      <c r="B95" s="2" t="s">
        <v>557</v>
      </c>
      <c r="C95" s="2">
        <f>SUBTOTAL(103,Table1[[#This Row],[Recommendation Date]])</f>
        <v>1</v>
      </c>
      <c r="D95" s="2">
        <f>1</f>
        <v>1</v>
      </c>
      <c r="E95" s="16" t="s">
        <v>558</v>
      </c>
      <c r="F95" s="3" t="s">
        <v>139</v>
      </c>
      <c r="G95" s="3" t="s">
        <v>8</v>
      </c>
      <c r="H95" s="17"/>
      <c r="I95" s="4">
        <v>17.940000000000001</v>
      </c>
      <c r="J95" s="5">
        <v>1.542</v>
      </c>
      <c r="K95" s="48">
        <f>ROUND(LOG10(Table1[[#This Row],[Return (keep sorted by this column!)]]+1),2)</f>
        <v>0.41</v>
      </c>
      <c r="L95" s="48">
        <f>COUNTIF(Table1[Return (keep sorted by this column!)],"&lt;"&amp;Table1[[#This Row],[Return (keep sorted by this column!)]])</f>
        <v>340</v>
      </c>
      <c r="M95" s="14" t="str">
        <f>IF(Table1[[#This Row],[Team]]="David",Table1[[#This Row],[Return (keep sorted by this column!)]],"")</f>
        <v/>
      </c>
      <c r="N95" s="14">
        <f>IF(Table1[[#This Row],[Team]]="Tom",Table1[[#This Row],[Return (keep sorted by this column!)]],"")</f>
        <v>1.542</v>
      </c>
      <c r="O95" s="5">
        <v>0.52100000000000002</v>
      </c>
      <c r="P95" s="23" t="str">
        <f>IF(Table1[[#This Row],[Team]]="David",Table1[[#This Row],[S&amp;P Return, same period]],"")</f>
        <v/>
      </c>
      <c r="Q95" s="23">
        <f>IF(Table1[[#This Row],[Team]]="Tom",Table1[[#This Row],[S&amp;P Return, same period]],"")</f>
        <v>0.52100000000000002</v>
      </c>
      <c r="R95" s="5">
        <v>1.022</v>
      </c>
      <c r="S95" s="14" t="str">
        <f>IF(Table1[[#This Row],[Team]]="David",Table1[[#This Row],[Difference Vs. S&amp;P Return]],"")</f>
        <v/>
      </c>
      <c r="T95" s="14">
        <f>IF(Table1[[#This Row],[Team]]="Tom",Table1[[#This Row],[Difference Vs. S&amp;P Return]],"")</f>
        <v>1.022</v>
      </c>
      <c r="U95" s="14">
        <f>ROUND((1+Table1[[#This Row],[Return (keep sorted by this column!)]])/(1+Table1[[#This Row],[S&amp;P Return, same period]])-1,1)</f>
        <v>0.7</v>
      </c>
      <c r="V95" s="15" t="str">
        <f>IF(Table1[[#This Row],[Team]]="David",Table1[[#This Row],[Improvement Vs. S&amp;P Return]],"")</f>
        <v/>
      </c>
      <c r="W95" s="15">
        <f>IF(Table1[[#This Row],[Team]]="Tom",Table1[[#This Row],[Improvement Vs. S&amp;P Return]],"")</f>
        <v>0.7</v>
      </c>
    </row>
    <row r="96" spans="1:23" ht="60" x14ac:dyDescent="0.2">
      <c r="A96" s="1">
        <v>39556</v>
      </c>
      <c r="B96" s="2" t="s">
        <v>530</v>
      </c>
      <c r="C96" s="2">
        <f>SUBTOTAL(103,Table1[[#This Row],[Recommendation Date]])</f>
        <v>1</v>
      </c>
      <c r="D96" s="2">
        <f>1</f>
        <v>1</v>
      </c>
      <c r="E96" s="16" t="s">
        <v>531</v>
      </c>
      <c r="F96" s="3" t="s">
        <v>66</v>
      </c>
      <c r="G96" s="3" t="s">
        <v>8</v>
      </c>
      <c r="H96" s="17"/>
      <c r="I96" s="4">
        <v>37.85</v>
      </c>
      <c r="J96" s="5">
        <v>1.5029999999999999</v>
      </c>
      <c r="K96" s="48">
        <f>ROUND(LOG10(Table1[[#This Row],[Return (keep sorted by this column!)]]+1),2)</f>
        <v>0.4</v>
      </c>
      <c r="L96" s="48">
        <f>COUNTIF(Table1[Return (keep sorted by this column!)],"&lt;"&amp;Table1[[#This Row],[Return (keep sorted by this column!)]])</f>
        <v>339</v>
      </c>
      <c r="M96" s="14" t="str">
        <f>IF(Table1[[#This Row],[Team]]="David",Table1[[#This Row],[Return (keep sorted by this column!)]],"")</f>
        <v/>
      </c>
      <c r="N96" s="14">
        <f>IF(Table1[[#This Row],[Team]]="Tom",Table1[[#This Row],[Return (keep sorted by this column!)]],"")</f>
        <v>1.5029999999999999</v>
      </c>
      <c r="O96" s="5">
        <v>1.474</v>
      </c>
      <c r="P96" s="23" t="str">
        <f>IF(Table1[[#This Row],[Team]]="David",Table1[[#This Row],[S&amp;P Return, same period]],"")</f>
        <v/>
      </c>
      <c r="Q96" s="23">
        <f>IF(Table1[[#This Row],[Team]]="Tom",Table1[[#This Row],[S&amp;P Return, same period]],"")</f>
        <v>1.474</v>
      </c>
      <c r="R96" s="5">
        <v>2.9000000000000001E-2</v>
      </c>
      <c r="S96" s="14" t="str">
        <f>IF(Table1[[#This Row],[Team]]="David",Table1[[#This Row],[Difference Vs. S&amp;P Return]],"")</f>
        <v/>
      </c>
      <c r="T96" s="14">
        <f>IF(Table1[[#This Row],[Team]]="Tom",Table1[[#This Row],[Difference Vs. S&amp;P Return]],"")</f>
        <v>2.9000000000000001E-2</v>
      </c>
      <c r="U96" s="14">
        <f>ROUND((1+Table1[[#This Row],[Return (keep sorted by this column!)]])/(1+Table1[[#This Row],[S&amp;P Return, same period]])-1,1)</f>
        <v>0</v>
      </c>
      <c r="V96" s="15" t="str">
        <f>IF(Table1[[#This Row],[Team]]="David",Table1[[#This Row],[Improvement Vs. S&amp;P Return]],"")</f>
        <v/>
      </c>
      <c r="W96" s="15">
        <f>IF(Table1[[#This Row],[Team]]="Tom",Table1[[#This Row],[Improvement Vs. S&amp;P Return]],"")</f>
        <v>0</v>
      </c>
    </row>
    <row r="97" spans="1:23" ht="45" x14ac:dyDescent="0.2">
      <c r="A97" s="1">
        <v>40165</v>
      </c>
      <c r="B97" s="2" t="s">
        <v>481</v>
      </c>
      <c r="C97" s="2">
        <f>SUBTOTAL(103,Table1[[#This Row],[Recommendation Date]])</f>
        <v>1</v>
      </c>
      <c r="D97" s="2">
        <f>1</f>
        <v>1</v>
      </c>
      <c r="E97" s="16" t="s">
        <v>482</v>
      </c>
      <c r="F97" s="3" t="s">
        <v>252</v>
      </c>
      <c r="G97" s="3" t="s">
        <v>8</v>
      </c>
      <c r="H97" s="17"/>
      <c r="I97" s="4">
        <v>15.46</v>
      </c>
      <c r="J97" s="5">
        <v>1.4810000000000001</v>
      </c>
      <c r="K97" s="48">
        <f>ROUND(LOG10(Table1[[#This Row],[Return (keep sorted by this column!)]]+1),2)</f>
        <v>0.39</v>
      </c>
      <c r="L97" s="48">
        <f>COUNTIF(Table1[Return (keep sorted by this column!)],"&lt;"&amp;Table1[[#This Row],[Return (keep sorted by this column!)]])</f>
        <v>338</v>
      </c>
      <c r="M97" s="14" t="str">
        <f>IF(Table1[[#This Row],[Team]]="David",Table1[[#This Row],[Return (keep sorted by this column!)]],"")</f>
        <v/>
      </c>
      <c r="N97" s="14">
        <f>IF(Table1[[#This Row],[Team]]="Tom",Table1[[#This Row],[Return (keep sorted by this column!)]],"")</f>
        <v>1.4810000000000001</v>
      </c>
      <c r="O97" s="5">
        <v>0.88900000000000001</v>
      </c>
      <c r="P97" s="23" t="str">
        <f>IF(Table1[[#This Row],[Team]]="David",Table1[[#This Row],[S&amp;P Return, same period]],"")</f>
        <v/>
      </c>
      <c r="Q97" s="23">
        <f>IF(Table1[[#This Row],[Team]]="Tom",Table1[[#This Row],[S&amp;P Return, same period]],"")</f>
        <v>0.88900000000000001</v>
      </c>
      <c r="R97" s="5">
        <v>0.59199999999999997</v>
      </c>
      <c r="S97" s="14" t="str">
        <f>IF(Table1[[#This Row],[Team]]="David",Table1[[#This Row],[Difference Vs. S&amp;P Return]],"")</f>
        <v/>
      </c>
      <c r="T97" s="14">
        <f>IF(Table1[[#This Row],[Team]]="Tom",Table1[[#This Row],[Difference Vs. S&amp;P Return]],"")</f>
        <v>0.59199999999999997</v>
      </c>
      <c r="U97" s="14">
        <f>ROUND((1+Table1[[#This Row],[Return (keep sorted by this column!)]])/(1+Table1[[#This Row],[S&amp;P Return, same period]])-1,1)</f>
        <v>0.3</v>
      </c>
      <c r="V97" s="15" t="str">
        <f>IF(Table1[[#This Row],[Team]]="David",Table1[[#This Row],[Improvement Vs. S&amp;P Return]],"")</f>
        <v/>
      </c>
      <c r="W97" s="15">
        <f>IF(Table1[[#This Row],[Team]]="Tom",Table1[[#This Row],[Improvement Vs. S&amp;P Return]],"")</f>
        <v>0.3</v>
      </c>
    </row>
    <row r="98" spans="1:23" ht="30" x14ac:dyDescent="0.2">
      <c r="A98" s="18">
        <v>41656</v>
      </c>
      <c r="B98" s="2" t="s">
        <v>320</v>
      </c>
      <c r="C98" s="2">
        <f>SUBTOTAL(103,Table1[[#This Row],[Recommendation Date]])</f>
        <v>1</v>
      </c>
      <c r="D98" s="2">
        <f>1</f>
        <v>1</v>
      </c>
      <c r="E98" s="16" t="s">
        <v>321</v>
      </c>
      <c r="F98" s="3" t="s">
        <v>47</v>
      </c>
      <c r="G98" s="3" t="s">
        <v>12</v>
      </c>
      <c r="H98" s="16">
        <v>8</v>
      </c>
      <c r="I98" s="4">
        <v>46.04</v>
      </c>
      <c r="J98" s="5">
        <v>1.427</v>
      </c>
      <c r="K98" s="48">
        <f>ROUND(LOG10(Table1[[#This Row],[Return (keep sorted by this column!)]]+1),2)</f>
        <v>0.39</v>
      </c>
      <c r="L98" s="48">
        <f>COUNTIF(Table1[Return (keep sorted by this column!)],"&lt;"&amp;Table1[[#This Row],[Return (keep sorted by this column!)]])</f>
        <v>337</v>
      </c>
      <c r="M98" s="76">
        <f>IF(Table1[[#This Row],[Team]]="David",Table1[[#This Row],[Return (keep sorted by this column!)]],"")</f>
        <v>1.427</v>
      </c>
      <c r="N98" s="76" t="str">
        <f>IF(Table1[[#This Row],[Team]]="Tom",Table1[[#This Row],[Return (keep sorted by this column!)]],"")</f>
        <v/>
      </c>
      <c r="O98" s="5">
        <v>0.69399999999999995</v>
      </c>
      <c r="P98" s="68">
        <f>IF(Table1[[#This Row],[Team]]="David",Table1[[#This Row],[S&amp;P Return, same period]],"")</f>
        <v>0.69399999999999995</v>
      </c>
      <c r="Q98" s="68" t="str">
        <f>IF(Table1[[#This Row],[Team]]="Tom",Table1[[#This Row],[S&amp;P Return, same period]],"")</f>
        <v/>
      </c>
      <c r="R98" s="5">
        <v>0.73299999999999998</v>
      </c>
      <c r="S98" s="14">
        <f>IF(Table1[[#This Row],[Team]]="David",Table1[[#This Row],[Difference Vs. S&amp;P Return]],"")</f>
        <v>0.73299999999999998</v>
      </c>
      <c r="T98" s="14" t="str">
        <f>IF(Table1[[#This Row],[Team]]="Tom",Table1[[#This Row],[Difference Vs. S&amp;P Return]],"")</f>
        <v/>
      </c>
      <c r="U98" s="14">
        <f>ROUND((1+Table1[[#This Row],[Return (keep sorted by this column!)]])/(1+Table1[[#This Row],[S&amp;P Return, same period]])-1,1)</f>
        <v>0.4</v>
      </c>
      <c r="V98" s="15">
        <f>IF(Table1[[#This Row],[Team]]="David",Table1[[#This Row],[Improvement Vs. S&amp;P Return]],"")</f>
        <v>0.4</v>
      </c>
      <c r="W98" s="15" t="str">
        <f>IF(Table1[[#This Row],[Team]]="Tom",Table1[[#This Row],[Improvement Vs. S&amp;P Return]],"")</f>
        <v/>
      </c>
    </row>
    <row r="99" spans="1:23" ht="75" x14ac:dyDescent="0.2">
      <c r="A99" s="1">
        <v>38247</v>
      </c>
      <c r="B99" s="2" t="s">
        <v>674</v>
      </c>
      <c r="C99" s="2">
        <f>SUBTOTAL(103,Table1[[#This Row],[Recommendation Date]])</f>
        <v>1</v>
      </c>
      <c r="D99" s="2">
        <f>1</f>
        <v>1</v>
      </c>
      <c r="E99" s="16" t="s">
        <v>630</v>
      </c>
      <c r="F99" s="3" t="s">
        <v>631</v>
      </c>
      <c r="G99" s="3" t="s">
        <v>12</v>
      </c>
      <c r="H99" s="17"/>
      <c r="I99" s="4">
        <v>8.08</v>
      </c>
      <c r="J99" s="5">
        <v>1.39</v>
      </c>
      <c r="K99" s="48">
        <f>ROUND(LOG10(Table1[[#This Row],[Return (keep sorted by this column!)]]+1),2)</f>
        <v>0.38</v>
      </c>
      <c r="L99" s="48">
        <f>COUNTIF(Table1[Return (keep sorted by this column!)],"&lt;"&amp;Table1[[#This Row],[Return (keep sorted by this column!)]])</f>
        <v>336</v>
      </c>
      <c r="M99" s="14">
        <f>IF(Table1[[#This Row],[Team]]="David",Table1[[#This Row],[Return (keep sorted by this column!)]],"")</f>
        <v>1.39</v>
      </c>
      <c r="N99" s="14" t="str">
        <f>IF(Table1[[#This Row],[Team]]="Tom",Table1[[#This Row],[Return (keep sorted by this column!)]],"")</f>
        <v/>
      </c>
      <c r="O99" s="5">
        <v>0.1</v>
      </c>
      <c r="P99" s="23">
        <f>IF(Table1[[#This Row],[Team]]="David",Table1[[#This Row],[S&amp;P Return, same period]],"")</f>
        <v>0.1</v>
      </c>
      <c r="Q99" s="23" t="str">
        <f>IF(Table1[[#This Row],[Team]]="Tom",Table1[[#This Row],[S&amp;P Return, same period]],"")</f>
        <v/>
      </c>
      <c r="R99" s="5">
        <v>1.2909999999999999</v>
      </c>
      <c r="S99" s="14">
        <f>IF(Table1[[#This Row],[Team]]="David",Table1[[#This Row],[Difference Vs. S&amp;P Return]],"")</f>
        <v>1.2909999999999999</v>
      </c>
      <c r="T99" s="14" t="str">
        <f>IF(Table1[[#This Row],[Team]]="Tom",Table1[[#This Row],[Difference Vs. S&amp;P Return]],"")</f>
        <v/>
      </c>
      <c r="U99" s="14">
        <f>ROUND((1+Table1[[#This Row],[Return (keep sorted by this column!)]])/(1+Table1[[#This Row],[S&amp;P Return, same period]])-1,1)</f>
        <v>1.2</v>
      </c>
      <c r="V99" s="15">
        <f>IF(Table1[[#This Row],[Team]]="David",Table1[[#This Row],[Improvement Vs. S&amp;P Return]],"")</f>
        <v>1.2</v>
      </c>
      <c r="W99" s="15" t="str">
        <f>IF(Table1[[#This Row],[Team]]="Tom",Table1[[#This Row],[Improvement Vs. S&amp;P Return]],"")</f>
        <v/>
      </c>
    </row>
    <row r="100" spans="1:23" ht="60" x14ac:dyDescent="0.2">
      <c r="A100" s="1">
        <v>39493</v>
      </c>
      <c r="B100" s="2" t="s">
        <v>350</v>
      </c>
      <c r="C100" s="2">
        <f>SUBTOTAL(103,Table1[[#This Row],[Recommendation Date]])</f>
        <v>1</v>
      </c>
      <c r="D100" s="2">
        <f>1</f>
        <v>1</v>
      </c>
      <c r="E100" s="16" t="s">
        <v>351</v>
      </c>
      <c r="F100" s="3" t="s">
        <v>252</v>
      </c>
      <c r="G100" s="3" t="s">
        <v>12</v>
      </c>
      <c r="H100" s="17"/>
      <c r="I100" s="4">
        <v>17.48</v>
      </c>
      <c r="J100" s="5">
        <v>1.3879999999999999</v>
      </c>
      <c r="K100" s="48">
        <f>ROUND(LOG10(Table1[[#This Row],[Return (keep sorted by this column!)]]+1),2)</f>
        <v>0.38</v>
      </c>
      <c r="L100" s="48">
        <f>COUNTIF(Table1[Return (keep sorted by this column!)],"&lt;"&amp;Table1[[#This Row],[Return (keep sorted by this column!)]])</f>
        <v>335</v>
      </c>
      <c r="M100" s="14">
        <f>IF(Table1[[#This Row],[Team]]="David",Table1[[#This Row],[Return (keep sorted by this column!)]],"")</f>
        <v>1.3879999999999999</v>
      </c>
      <c r="N100" s="14" t="str">
        <f>IF(Table1[[#This Row],[Team]]="Tom",Table1[[#This Row],[Return (keep sorted by this column!)]],"")</f>
        <v/>
      </c>
      <c r="O100" s="5">
        <v>1.252</v>
      </c>
      <c r="P100" s="23">
        <f>IF(Table1[[#This Row],[Team]]="David",Table1[[#This Row],[S&amp;P Return, same period]],"")</f>
        <v>1.252</v>
      </c>
      <c r="Q100" s="23" t="str">
        <f>IF(Table1[[#This Row],[Team]]="Tom",Table1[[#This Row],[S&amp;P Return, same period]],"")</f>
        <v/>
      </c>
      <c r="R100" s="5">
        <v>0.13600000000000001</v>
      </c>
      <c r="S100" s="14">
        <f>IF(Table1[[#This Row],[Team]]="David",Table1[[#This Row],[Difference Vs. S&amp;P Return]],"")</f>
        <v>0.13600000000000001</v>
      </c>
      <c r="T100" s="14" t="str">
        <f>IF(Table1[[#This Row],[Team]]="Tom",Table1[[#This Row],[Difference Vs. S&amp;P Return]],"")</f>
        <v/>
      </c>
      <c r="U100" s="14">
        <f>ROUND((1+Table1[[#This Row],[Return (keep sorted by this column!)]])/(1+Table1[[#This Row],[S&amp;P Return, same period]])-1,1)</f>
        <v>0.1</v>
      </c>
      <c r="V100" s="15">
        <f>IF(Table1[[#This Row],[Team]]="David",Table1[[#This Row],[Improvement Vs. S&amp;P Return]],"")</f>
        <v>0.1</v>
      </c>
      <c r="W100" s="15" t="str">
        <f>IF(Table1[[#This Row],[Team]]="Tom",Table1[[#This Row],[Improvement Vs. S&amp;P Return]],"")</f>
        <v/>
      </c>
    </row>
    <row r="101" spans="1:23" ht="17" x14ac:dyDescent="0.2">
      <c r="A101" s="18">
        <v>42755</v>
      </c>
      <c r="B101" s="2" t="s">
        <v>176</v>
      </c>
      <c r="C101" s="2">
        <f>SUBTOTAL(103,Table1[[#This Row],[Recommendation Date]])</f>
        <v>1</v>
      </c>
      <c r="D101" s="2">
        <f>1</f>
        <v>1</v>
      </c>
      <c r="E101" s="16" t="s">
        <v>177</v>
      </c>
      <c r="F101" s="3" t="s">
        <v>178</v>
      </c>
      <c r="G101" s="3" t="s">
        <v>12</v>
      </c>
      <c r="H101" s="16">
        <v>5</v>
      </c>
      <c r="I101" s="4">
        <v>102.85</v>
      </c>
      <c r="J101" s="5">
        <v>1.3859999999999999</v>
      </c>
      <c r="K101" s="48">
        <f>ROUND(LOG10(Table1[[#This Row],[Return (keep sorted by this column!)]]+1),2)</f>
        <v>0.38</v>
      </c>
      <c r="L101" s="48">
        <f>COUNTIF(Table1[Return (keep sorted by this column!)],"&lt;"&amp;Table1[[#This Row],[Return (keep sorted by this column!)]])</f>
        <v>334</v>
      </c>
      <c r="M101" s="76">
        <f>IF(Table1[[#This Row],[Team]]="David",Table1[[#This Row],[Return (keep sorted by this column!)]],"")</f>
        <v>1.3859999999999999</v>
      </c>
      <c r="N101" s="76" t="str">
        <f>IF(Table1[[#This Row],[Team]]="Tom",Table1[[#This Row],[Return (keep sorted by this column!)]],"")</f>
        <v/>
      </c>
      <c r="O101" s="5">
        <v>0.28699999999999998</v>
      </c>
      <c r="P101" s="68">
        <f>IF(Table1[[#This Row],[Team]]="David",Table1[[#This Row],[S&amp;P Return, same period]],"")</f>
        <v>0.28699999999999998</v>
      </c>
      <c r="Q101" s="68" t="str">
        <f>IF(Table1[[#This Row],[Team]]="Tom",Table1[[#This Row],[S&amp;P Return, same period]],"")</f>
        <v/>
      </c>
      <c r="R101" s="5">
        <v>1.099</v>
      </c>
      <c r="S101" s="14">
        <f>IF(Table1[[#This Row],[Team]]="David",Table1[[#This Row],[Difference Vs. S&amp;P Return]],"")</f>
        <v>1.099</v>
      </c>
      <c r="T101" s="14" t="str">
        <f>IF(Table1[[#This Row],[Team]]="Tom",Table1[[#This Row],[Difference Vs. S&amp;P Return]],"")</f>
        <v/>
      </c>
      <c r="U101" s="14">
        <f>ROUND((1+Table1[[#This Row],[Return (keep sorted by this column!)]])/(1+Table1[[#This Row],[S&amp;P Return, same period]])-1,1)</f>
        <v>0.9</v>
      </c>
      <c r="V101" s="15">
        <f>IF(Table1[[#This Row],[Team]]="David",Table1[[#This Row],[Improvement Vs. S&amp;P Return]],"")</f>
        <v>0.9</v>
      </c>
      <c r="W101" s="15" t="str">
        <f>IF(Table1[[#This Row],[Team]]="Tom",Table1[[#This Row],[Improvement Vs. S&amp;P Return]],"")</f>
        <v/>
      </c>
    </row>
    <row r="102" spans="1:23" ht="60" x14ac:dyDescent="0.2">
      <c r="A102" s="1">
        <v>39675</v>
      </c>
      <c r="B102" s="2" t="s">
        <v>537</v>
      </c>
      <c r="C102" s="2">
        <f>SUBTOTAL(103,Table1[[#This Row],[Recommendation Date]])</f>
        <v>1</v>
      </c>
      <c r="D102" s="2">
        <f>1</f>
        <v>1</v>
      </c>
      <c r="E102" s="16" t="s">
        <v>538</v>
      </c>
      <c r="F102" s="3" t="s">
        <v>252</v>
      </c>
      <c r="G102" s="3" t="s">
        <v>8</v>
      </c>
      <c r="H102" s="17"/>
      <c r="I102" s="4">
        <v>99.07</v>
      </c>
      <c r="J102" s="5">
        <v>1.371</v>
      </c>
      <c r="K102" s="48">
        <f>ROUND(LOG10(Table1[[#This Row],[Return (keep sorted by this column!)]]+1),2)</f>
        <v>0.37</v>
      </c>
      <c r="L102" s="48">
        <f>COUNTIF(Table1[Return (keep sorted by this column!)],"&lt;"&amp;Table1[[#This Row],[Return (keep sorted by this column!)]])</f>
        <v>333</v>
      </c>
      <c r="M102" s="14" t="str">
        <f>IF(Table1[[#This Row],[Team]]="David",Table1[[#This Row],[Return (keep sorted by this column!)]],"")</f>
        <v/>
      </c>
      <c r="N102" s="14">
        <f>IF(Table1[[#This Row],[Team]]="Tom",Table1[[#This Row],[Return (keep sorted by this column!)]],"")</f>
        <v>1.371</v>
      </c>
      <c r="O102" s="5">
        <v>0.71499999999999997</v>
      </c>
      <c r="P102" s="23" t="str">
        <f>IF(Table1[[#This Row],[Team]]="David",Table1[[#This Row],[S&amp;P Return, same period]],"")</f>
        <v/>
      </c>
      <c r="Q102" s="23">
        <f>IF(Table1[[#This Row],[Team]]="Tom",Table1[[#This Row],[S&amp;P Return, same period]],"")</f>
        <v>0.71499999999999997</v>
      </c>
      <c r="R102" s="5">
        <v>0.65500000000000003</v>
      </c>
      <c r="S102" s="14" t="str">
        <f>IF(Table1[[#This Row],[Team]]="David",Table1[[#This Row],[Difference Vs. S&amp;P Return]],"")</f>
        <v/>
      </c>
      <c r="T102" s="14">
        <f>IF(Table1[[#This Row],[Team]]="Tom",Table1[[#This Row],[Difference Vs. S&amp;P Return]],"")</f>
        <v>0.65500000000000003</v>
      </c>
      <c r="U102" s="14">
        <f>ROUND((1+Table1[[#This Row],[Return (keep sorted by this column!)]])/(1+Table1[[#This Row],[S&amp;P Return, same period]])-1,1)</f>
        <v>0.4</v>
      </c>
      <c r="V102" s="15" t="str">
        <f>IF(Table1[[#This Row],[Team]]="David",Table1[[#This Row],[Improvement Vs. S&amp;P Return]],"")</f>
        <v/>
      </c>
      <c r="W102" s="15">
        <f>IF(Table1[[#This Row],[Team]]="Tom",Table1[[#This Row],[Improvement Vs. S&amp;P Return]],"")</f>
        <v>0.4</v>
      </c>
    </row>
    <row r="103" spans="1:23" ht="17" x14ac:dyDescent="0.2">
      <c r="A103" s="18">
        <v>41929</v>
      </c>
      <c r="B103" s="2" t="s">
        <v>284</v>
      </c>
      <c r="C103" s="2">
        <f>SUBTOTAL(103,Table1[[#This Row],[Recommendation Date]])</f>
        <v>1</v>
      </c>
      <c r="D103" s="2">
        <f>1</f>
        <v>1</v>
      </c>
      <c r="E103" s="16" t="s">
        <v>285</v>
      </c>
      <c r="F103" s="3" t="s">
        <v>61</v>
      </c>
      <c r="G103" s="3" t="s">
        <v>12</v>
      </c>
      <c r="H103" s="16">
        <v>10</v>
      </c>
      <c r="I103" s="4">
        <v>61.06</v>
      </c>
      <c r="J103" s="5">
        <v>1.359</v>
      </c>
      <c r="K103" s="48">
        <f>ROUND(LOG10(Table1[[#This Row],[Return (keep sorted by this column!)]]+1),2)</f>
        <v>0.37</v>
      </c>
      <c r="L103" s="48">
        <f>COUNTIF(Table1[Return (keep sorted by this column!)],"&lt;"&amp;Table1[[#This Row],[Return (keep sorted by this column!)]])</f>
        <v>332</v>
      </c>
      <c r="M103" s="76">
        <f>IF(Table1[[#This Row],[Team]]="David",Table1[[#This Row],[Return (keep sorted by this column!)]],"")</f>
        <v>1.359</v>
      </c>
      <c r="N103" s="76" t="str">
        <f>IF(Table1[[#This Row],[Team]]="Tom",Table1[[#This Row],[Return (keep sorted by this column!)]],"")</f>
        <v/>
      </c>
      <c r="O103" s="5">
        <v>0.626</v>
      </c>
      <c r="P103" s="68">
        <f>IF(Table1[[#This Row],[Team]]="David",Table1[[#This Row],[S&amp;P Return, same period]],"")</f>
        <v>0.626</v>
      </c>
      <c r="Q103" s="68" t="str">
        <f>IF(Table1[[#This Row],[Team]]="Tom",Table1[[#This Row],[S&amp;P Return, same period]],"")</f>
        <v/>
      </c>
      <c r="R103" s="5">
        <v>0.73299999999999998</v>
      </c>
      <c r="S103" s="14">
        <f>IF(Table1[[#This Row],[Team]]="David",Table1[[#This Row],[Difference Vs. S&amp;P Return]],"")</f>
        <v>0.73299999999999998</v>
      </c>
      <c r="T103" s="14" t="str">
        <f>IF(Table1[[#This Row],[Team]]="Tom",Table1[[#This Row],[Difference Vs. S&amp;P Return]],"")</f>
        <v/>
      </c>
      <c r="U103" s="14">
        <f>ROUND((1+Table1[[#This Row],[Return (keep sorted by this column!)]])/(1+Table1[[#This Row],[S&amp;P Return, same period]])-1,1)</f>
        <v>0.5</v>
      </c>
      <c r="V103" s="15">
        <f>IF(Table1[[#This Row],[Team]]="David",Table1[[#This Row],[Improvement Vs. S&amp;P Return]],"")</f>
        <v>0.5</v>
      </c>
      <c r="W103" s="15" t="str">
        <f>IF(Table1[[#This Row],[Team]]="Tom",Table1[[#This Row],[Improvement Vs. S&amp;P Return]],"")</f>
        <v/>
      </c>
    </row>
    <row r="104" spans="1:23" ht="60" x14ac:dyDescent="0.2">
      <c r="A104" s="18">
        <v>40256</v>
      </c>
      <c r="B104" s="2" t="s">
        <v>469</v>
      </c>
      <c r="C104" s="2">
        <f>SUBTOTAL(103,Table1[[#This Row],[Recommendation Date]])</f>
        <v>1</v>
      </c>
      <c r="D104" s="2">
        <f>1</f>
        <v>1</v>
      </c>
      <c r="E104" s="16" t="s">
        <v>453</v>
      </c>
      <c r="F104" s="3" t="s">
        <v>454</v>
      </c>
      <c r="G104" s="3" t="s">
        <v>8</v>
      </c>
      <c r="H104" s="17"/>
      <c r="I104" s="4">
        <v>9.56</v>
      </c>
      <c r="J104" s="5">
        <v>1.357</v>
      </c>
      <c r="K104" s="48">
        <f>ROUND(LOG10(Table1[[#This Row],[Return (keep sorted by this column!)]]+1),2)</f>
        <v>0.37</v>
      </c>
      <c r="L104" s="48">
        <f>COUNTIF(Table1[Return (keep sorted by this column!)],"&lt;"&amp;Table1[[#This Row],[Return (keep sorted by this column!)]])</f>
        <v>331</v>
      </c>
      <c r="M104" s="76" t="str">
        <f>IF(Table1[[#This Row],[Team]]="David",Table1[[#This Row],[Return (keep sorted by this column!)]],"")</f>
        <v/>
      </c>
      <c r="N104" s="76">
        <f>IF(Table1[[#This Row],[Team]]="Tom",Table1[[#This Row],[Return (keep sorted by this column!)]],"")</f>
        <v>1.357</v>
      </c>
      <c r="O104" s="5">
        <v>1.913</v>
      </c>
      <c r="P104" s="68" t="str">
        <f>IF(Table1[[#This Row],[Team]]="David",Table1[[#This Row],[S&amp;P Return, same period]],"")</f>
        <v/>
      </c>
      <c r="Q104" s="68">
        <f>IF(Table1[[#This Row],[Team]]="Tom",Table1[[#This Row],[S&amp;P Return, same period]],"")</f>
        <v>1.913</v>
      </c>
      <c r="R104" s="5">
        <v>-0.55600000000000005</v>
      </c>
      <c r="S104" s="14" t="str">
        <f>IF(Table1[[#This Row],[Team]]="David",Table1[[#This Row],[Difference Vs. S&amp;P Return]],"")</f>
        <v/>
      </c>
      <c r="T104" s="14">
        <f>IF(Table1[[#This Row],[Team]]="Tom",Table1[[#This Row],[Difference Vs. S&amp;P Return]],"")</f>
        <v>-0.55600000000000005</v>
      </c>
      <c r="U104" s="14">
        <f>ROUND((1+Table1[[#This Row],[Return (keep sorted by this column!)]])/(1+Table1[[#This Row],[S&amp;P Return, same period]])-1,1)</f>
        <v>-0.2</v>
      </c>
      <c r="V104" s="15" t="str">
        <f>IF(Table1[[#This Row],[Team]]="David",Table1[[#This Row],[Improvement Vs. S&amp;P Return]],"")</f>
        <v/>
      </c>
      <c r="W104" s="15">
        <f>IF(Table1[[#This Row],[Team]]="Tom",Table1[[#This Row],[Improvement Vs. S&amp;P Return]],"")</f>
        <v>-0.2</v>
      </c>
    </row>
    <row r="105" spans="1:23" ht="75" x14ac:dyDescent="0.2">
      <c r="A105" s="1">
        <v>39864</v>
      </c>
      <c r="B105" s="2" t="s">
        <v>518</v>
      </c>
      <c r="C105" s="2">
        <f>SUBTOTAL(103,Table1[[#This Row],[Recommendation Date]])</f>
        <v>1</v>
      </c>
      <c r="D105" s="2">
        <f>1</f>
        <v>1</v>
      </c>
      <c r="E105" s="16" t="s">
        <v>519</v>
      </c>
      <c r="F105" s="3" t="s">
        <v>41</v>
      </c>
      <c r="G105" s="3" t="s">
        <v>8</v>
      </c>
      <c r="H105" s="17"/>
      <c r="I105" s="4">
        <v>14.18</v>
      </c>
      <c r="J105" s="5">
        <v>1.3180000000000001</v>
      </c>
      <c r="K105" s="48">
        <f>ROUND(LOG10(Table1[[#This Row],[Return (keep sorted by this column!)]]+1),2)</f>
        <v>0.37</v>
      </c>
      <c r="L105" s="48">
        <f>COUNTIF(Table1[Return (keep sorted by this column!)],"&lt;"&amp;Table1[[#This Row],[Return (keep sorted by this column!)]])</f>
        <v>330</v>
      </c>
      <c r="M105" s="14" t="str">
        <f>IF(Table1[[#This Row],[Team]]="David",Table1[[#This Row],[Return (keep sorted by this column!)]],"")</f>
        <v/>
      </c>
      <c r="N105" s="14">
        <f>IF(Table1[[#This Row],[Team]]="Tom",Table1[[#This Row],[Return (keep sorted by this column!)]],"")</f>
        <v>1.3180000000000001</v>
      </c>
      <c r="O105" s="5">
        <v>0.73299999999999998</v>
      </c>
      <c r="P105" s="23" t="str">
        <f>IF(Table1[[#This Row],[Team]]="David",Table1[[#This Row],[S&amp;P Return, same period]],"")</f>
        <v/>
      </c>
      <c r="Q105" s="23">
        <f>IF(Table1[[#This Row],[Team]]="Tom",Table1[[#This Row],[S&amp;P Return, same period]],"")</f>
        <v>0.73299999999999998</v>
      </c>
      <c r="R105" s="5">
        <v>0.58399999999999996</v>
      </c>
      <c r="S105" s="14" t="str">
        <f>IF(Table1[[#This Row],[Team]]="David",Table1[[#This Row],[Difference Vs. S&amp;P Return]],"")</f>
        <v/>
      </c>
      <c r="T105" s="14">
        <f>IF(Table1[[#This Row],[Team]]="Tom",Table1[[#This Row],[Difference Vs. S&amp;P Return]],"")</f>
        <v>0.58399999999999996</v>
      </c>
      <c r="U105" s="14">
        <f>ROUND((1+Table1[[#This Row],[Return (keep sorted by this column!)]])/(1+Table1[[#This Row],[S&amp;P Return, same period]])-1,1)</f>
        <v>0.3</v>
      </c>
      <c r="V105" s="15" t="str">
        <f>IF(Table1[[#This Row],[Team]]="David",Table1[[#This Row],[Improvement Vs. S&amp;P Return]],"")</f>
        <v/>
      </c>
      <c r="W105" s="15">
        <f>IF(Table1[[#This Row],[Team]]="Tom",Table1[[#This Row],[Improvement Vs. S&amp;P Return]],"")</f>
        <v>0.3</v>
      </c>
    </row>
    <row r="106" spans="1:23" ht="60" x14ac:dyDescent="0.2">
      <c r="A106" s="1">
        <v>40893</v>
      </c>
      <c r="B106" s="2" t="s">
        <v>394</v>
      </c>
      <c r="C106" s="2">
        <f>SUBTOTAL(103,Table1[[#This Row],[Recommendation Date]])</f>
        <v>1</v>
      </c>
      <c r="D106" s="2">
        <f>1</f>
        <v>1</v>
      </c>
      <c r="E106" s="16" t="s">
        <v>395</v>
      </c>
      <c r="F106" s="3" t="s">
        <v>252</v>
      </c>
      <c r="G106" s="3" t="s">
        <v>12</v>
      </c>
      <c r="H106" s="17"/>
      <c r="I106" s="4">
        <v>135.44</v>
      </c>
      <c r="J106" s="5">
        <v>1.31</v>
      </c>
      <c r="K106" s="48">
        <f>ROUND(LOG10(Table1[[#This Row],[Return (keep sorted by this column!)]]+1),2)</f>
        <v>0.36</v>
      </c>
      <c r="L106" s="48">
        <f>COUNTIF(Table1[Return (keep sorted by this column!)],"&lt;"&amp;Table1[[#This Row],[Return (keep sorted by this column!)]])</f>
        <v>329</v>
      </c>
      <c r="M106" s="76">
        <f>IF(Table1[[#This Row],[Team]]="David",Table1[[#This Row],[Return (keep sorted by this column!)]],"")</f>
        <v>1.31</v>
      </c>
      <c r="N106" s="76" t="str">
        <f>IF(Table1[[#This Row],[Team]]="Tom",Table1[[#This Row],[Return (keep sorted by this column!)]],"")</f>
        <v/>
      </c>
      <c r="O106" s="5">
        <v>1.161</v>
      </c>
      <c r="P106" s="68">
        <f>IF(Table1[[#This Row],[Team]]="David",Table1[[#This Row],[S&amp;P Return, same period]],"")</f>
        <v>1.161</v>
      </c>
      <c r="Q106" s="68" t="str">
        <f>IF(Table1[[#This Row],[Team]]="Tom",Table1[[#This Row],[S&amp;P Return, same period]],"")</f>
        <v/>
      </c>
      <c r="R106" s="5">
        <v>0.15</v>
      </c>
      <c r="S106" s="14">
        <f>IF(Table1[[#This Row],[Team]]="David",Table1[[#This Row],[Difference Vs. S&amp;P Return]],"")</f>
        <v>0.15</v>
      </c>
      <c r="T106" s="14" t="str">
        <f>IF(Table1[[#This Row],[Team]]="Tom",Table1[[#This Row],[Difference Vs. S&amp;P Return]],"")</f>
        <v/>
      </c>
      <c r="U106" s="14">
        <f>ROUND((1+Table1[[#This Row],[Return (keep sorted by this column!)]])/(1+Table1[[#This Row],[S&amp;P Return, same period]])-1,1)</f>
        <v>0.1</v>
      </c>
      <c r="V106" s="15">
        <f>IF(Table1[[#This Row],[Team]]="David",Table1[[#This Row],[Improvement Vs. S&amp;P Return]],"")</f>
        <v>0.1</v>
      </c>
      <c r="W106" s="15" t="str">
        <f>IF(Table1[[#This Row],[Team]]="Tom",Table1[[#This Row],[Improvement Vs. S&amp;P Return]],"")</f>
        <v/>
      </c>
    </row>
    <row r="107" spans="1:23" ht="60" x14ac:dyDescent="0.2">
      <c r="A107" s="1">
        <v>40438</v>
      </c>
      <c r="B107" s="2" t="s">
        <v>450</v>
      </c>
      <c r="C107" s="2">
        <f>SUBTOTAL(103,Table1[[#This Row],[Recommendation Date]])</f>
        <v>1</v>
      </c>
      <c r="D107" s="2">
        <f>1</f>
        <v>1</v>
      </c>
      <c r="E107" s="16" t="s">
        <v>451</v>
      </c>
      <c r="F107" s="3" t="s">
        <v>252</v>
      </c>
      <c r="G107" s="3" t="s">
        <v>8</v>
      </c>
      <c r="H107" s="17"/>
      <c r="I107" s="4">
        <v>18.649999999999999</v>
      </c>
      <c r="J107" s="5">
        <v>1.3049999999999999</v>
      </c>
      <c r="K107" s="48">
        <f>ROUND(LOG10(Table1[[#This Row],[Return (keep sorted by this column!)]]+1),2)</f>
        <v>0.36</v>
      </c>
      <c r="L107" s="48">
        <f>COUNTIF(Table1[Return (keep sorted by this column!)],"&lt;"&amp;Table1[[#This Row],[Return (keep sorted by this column!)]])</f>
        <v>328</v>
      </c>
      <c r="M107" s="76" t="str">
        <f>IF(Table1[[#This Row],[Team]]="David",Table1[[#This Row],[Return (keep sorted by this column!)]],"")</f>
        <v/>
      </c>
      <c r="N107" s="76">
        <f>IF(Table1[[#This Row],[Team]]="Tom",Table1[[#This Row],[Return (keep sorted by this column!)]],"")</f>
        <v>1.3049999999999999</v>
      </c>
      <c r="O107" s="5">
        <v>6.3E-2</v>
      </c>
      <c r="P107" s="68" t="str">
        <f>IF(Table1[[#This Row],[Team]]="David",Table1[[#This Row],[S&amp;P Return, same period]],"")</f>
        <v/>
      </c>
      <c r="Q107" s="68">
        <f>IF(Table1[[#This Row],[Team]]="Tom",Table1[[#This Row],[S&amp;P Return, same period]],"")</f>
        <v>6.3E-2</v>
      </c>
      <c r="R107" s="5">
        <v>1.242</v>
      </c>
      <c r="S107" s="14" t="str">
        <f>IF(Table1[[#This Row],[Team]]="David",Table1[[#This Row],[Difference Vs. S&amp;P Return]],"")</f>
        <v/>
      </c>
      <c r="T107" s="14">
        <f>IF(Table1[[#This Row],[Team]]="Tom",Table1[[#This Row],[Difference Vs. S&amp;P Return]],"")</f>
        <v>1.242</v>
      </c>
      <c r="U107" s="14">
        <f>ROUND((1+Table1[[#This Row],[Return (keep sorted by this column!)]])/(1+Table1[[#This Row],[S&amp;P Return, same period]])-1,1)</f>
        <v>1.2</v>
      </c>
      <c r="V107" s="15" t="str">
        <f>IF(Table1[[#This Row],[Team]]="David",Table1[[#This Row],[Improvement Vs. S&amp;P Return]],"")</f>
        <v/>
      </c>
      <c r="W107" s="15">
        <f>IF(Table1[[#This Row],[Team]]="Tom",Table1[[#This Row],[Improvement Vs. S&amp;P Return]],"")</f>
        <v>1.2</v>
      </c>
    </row>
    <row r="108" spans="1:23" ht="60" x14ac:dyDescent="0.2">
      <c r="A108" s="1">
        <v>39647</v>
      </c>
      <c r="B108" s="2" t="s">
        <v>541</v>
      </c>
      <c r="C108" s="2">
        <f>SUBTOTAL(103,Table1[[#This Row],[Recommendation Date]])</f>
        <v>1</v>
      </c>
      <c r="D108" s="2">
        <f>1</f>
        <v>1</v>
      </c>
      <c r="E108" s="16" t="s">
        <v>542</v>
      </c>
      <c r="F108" s="3" t="s">
        <v>252</v>
      </c>
      <c r="G108" s="3" t="s">
        <v>8</v>
      </c>
      <c r="H108" s="17"/>
      <c r="I108" s="4">
        <v>26.21</v>
      </c>
      <c r="J108" s="5">
        <v>1.2969999999999999</v>
      </c>
      <c r="K108" s="48">
        <f>ROUND(LOG10(Table1[[#This Row],[Return (keep sorted by this column!)]]+1),2)</f>
        <v>0.36</v>
      </c>
      <c r="L108" s="48">
        <f>COUNTIF(Table1[Return (keep sorted by this column!)],"&lt;"&amp;Table1[[#This Row],[Return (keep sorted by this column!)]])</f>
        <v>327</v>
      </c>
      <c r="M108" s="14" t="str">
        <f>IF(Table1[[#This Row],[Team]]="David",Table1[[#This Row],[Return (keep sorted by this column!)]],"")</f>
        <v/>
      </c>
      <c r="N108" s="14">
        <f>IF(Table1[[#This Row],[Team]]="Tom",Table1[[#This Row],[Return (keep sorted by this column!)]],"")</f>
        <v>1.2969999999999999</v>
      </c>
      <c r="O108" s="5">
        <v>1.0589999999999999</v>
      </c>
      <c r="P108" s="23" t="str">
        <f>IF(Table1[[#This Row],[Team]]="David",Table1[[#This Row],[S&amp;P Return, same period]],"")</f>
        <v/>
      </c>
      <c r="Q108" s="23">
        <f>IF(Table1[[#This Row],[Team]]="Tom",Table1[[#This Row],[S&amp;P Return, same period]],"")</f>
        <v>1.0589999999999999</v>
      </c>
      <c r="R108" s="5">
        <v>0.23799999999999999</v>
      </c>
      <c r="S108" s="14" t="str">
        <f>IF(Table1[[#This Row],[Team]]="David",Table1[[#This Row],[Difference Vs. S&amp;P Return]],"")</f>
        <v/>
      </c>
      <c r="T108" s="14">
        <f>IF(Table1[[#This Row],[Team]]="Tom",Table1[[#This Row],[Difference Vs. S&amp;P Return]],"")</f>
        <v>0.23799999999999999</v>
      </c>
      <c r="U108" s="14">
        <f>ROUND((1+Table1[[#This Row],[Return (keep sorted by this column!)]])/(1+Table1[[#This Row],[S&amp;P Return, same period]])-1,1)</f>
        <v>0.1</v>
      </c>
      <c r="V108" s="15" t="str">
        <f>IF(Table1[[#This Row],[Team]]="David",Table1[[#This Row],[Improvement Vs. S&amp;P Return]],"")</f>
        <v/>
      </c>
      <c r="W108" s="15">
        <f>IF(Table1[[#This Row],[Team]]="Tom",Table1[[#This Row],[Improvement Vs. S&amp;P Return]],"")</f>
        <v>0.1</v>
      </c>
    </row>
    <row r="109" spans="1:23" ht="17" x14ac:dyDescent="0.2">
      <c r="A109" s="18">
        <v>42139</v>
      </c>
      <c r="B109" s="2" t="s">
        <v>260</v>
      </c>
      <c r="C109" s="2">
        <f>SUBTOTAL(103,Table1[[#This Row],[Recommendation Date]])</f>
        <v>1</v>
      </c>
      <c r="D109" s="2">
        <f>1</f>
        <v>1</v>
      </c>
      <c r="E109" s="16" t="s">
        <v>261</v>
      </c>
      <c r="F109" s="3" t="s">
        <v>262</v>
      </c>
      <c r="G109" s="3" t="s">
        <v>12</v>
      </c>
      <c r="H109" s="16">
        <v>14</v>
      </c>
      <c r="I109" s="4">
        <v>46.76</v>
      </c>
      <c r="J109" s="5">
        <v>1.2609999999999999</v>
      </c>
      <c r="K109" s="48">
        <f>ROUND(LOG10(Table1[[#This Row],[Return (keep sorted by this column!)]]+1),2)</f>
        <v>0.35</v>
      </c>
      <c r="L109" s="48">
        <f>COUNTIF(Table1[Return (keep sorted by this column!)],"&lt;"&amp;Table1[[#This Row],[Return (keep sorted by this column!)]])</f>
        <v>326</v>
      </c>
      <c r="M109" s="76">
        <f>IF(Table1[[#This Row],[Team]]="David",Table1[[#This Row],[Return (keep sorted by this column!)]],"")</f>
        <v>1.2609999999999999</v>
      </c>
      <c r="N109" s="76" t="str">
        <f>IF(Table1[[#This Row],[Team]]="Tom",Table1[[#This Row],[Return (keep sorted by this column!)]],"")</f>
        <v/>
      </c>
      <c r="O109" s="5">
        <v>0.42799999999999999</v>
      </c>
      <c r="P109" s="68">
        <f>IF(Table1[[#This Row],[Team]]="David",Table1[[#This Row],[S&amp;P Return, same period]],"")</f>
        <v>0.42799999999999999</v>
      </c>
      <c r="Q109" s="68" t="str">
        <f>IF(Table1[[#This Row],[Team]]="Tom",Table1[[#This Row],[S&amp;P Return, same period]],"")</f>
        <v/>
      </c>
      <c r="R109" s="5">
        <v>0.83299999999999996</v>
      </c>
      <c r="S109" s="14">
        <f>IF(Table1[[#This Row],[Team]]="David",Table1[[#This Row],[Difference Vs. S&amp;P Return]],"")</f>
        <v>0.83299999999999996</v>
      </c>
      <c r="T109" s="14" t="str">
        <f>IF(Table1[[#This Row],[Team]]="Tom",Table1[[#This Row],[Difference Vs. S&amp;P Return]],"")</f>
        <v/>
      </c>
      <c r="U109" s="14">
        <f>ROUND((1+Table1[[#This Row],[Return (keep sorted by this column!)]])/(1+Table1[[#This Row],[S&amp;P Return, same period]])-1,1)</f>
        <v>0.6</v>
      </c>
      <c r="V109" s="15">
        <f>IF(Table1[[#This Row],[Team]]="David",Table1[[#This Row],[Improvement Vs. S&amp;P Return]],"")</f>
        <v>0.6</v>
      </c>
      <c r="W109" s="15" t="str">
        <f>IF(Table1[[#This Row],[Team]]="Tom",Table1[[#This Row],[Improvement Vs. S&amp;P Return]],"")</f>
        <v/>
      </c>
    </row>
    <row r="110" spans="1:23" ht="17" x14ac:dyDescent="0.2">
      <c r="A110" s="18">
        <v>37631</v>
      </c>
      <c r="B110" s="2" t="s">
        <v>597</v>
      </c>
      <c r="C110" s="2">
        <f>SUBTOTAL(103,Table1[[#This Row],[Recommendation Date]])</f>
        <v>1</v>
      </c>
      <c r="D110" s="2">
        <f>1</f>
        <v>1</v>
      </c>
      <c r="E110" s="16" t="s">
        <v>598</v>
      </c>
      <c r="F110" s="3" t="s">
        <v>288</v>
      </c>
      <c r="G110" s="3" t="s">
        <v>12</v>
      </c>
      <c r="H110" s="16">
        <v>10</v>
      </c>
      <c r="I110" s="4">
        <v>51.2</v>
      </c>
      <c r="J110" s="5">
        <v>1.26</v>
      </c>
      <c r="K110" s="48">
        <f>ROUND(LOG10(Table1[[#This Row],[Return (keep sorted by this column!)]]+1),2)</f>
        <v>0.35</v>
      </c>
      <c r="L110" s="48">
        <f>COUNTIF(Table1[Return (keep sorted by this column!)],"&lt;"&amp;Table1[[#This Row],[Return (keep sorted by this column!)]])</f>
        <v>325</v>
      </c>
      <c r="M110" s="14">
        <f>IF(Table1[[#This Row],[Team]]="David",Table1[[#This Row],[Return (keep sorted by this column!)]],"")</f>
        <v>1.26</v>
      </c>
      <c r="N110" s="14" t="str">
        <f>IF(Table1[[#This Row],[Team]]="Tom",Table1[[#This Row],[Return (keep sorted by this column!)]],"")</f>
        <v/>
      </c>
      <c r="O110" s="5">
        <v>3.2029999999999998</v>
      </c>
      <c r="P110" s="23">
        <f>IF(Table1[[#This Row],[Team]]="David",Table1[[#This Row],[S&amp;P Return, same period]],"")</f>
        <v>3.2029999999999998</v>
      </c>
      <c r="Q110" s="23" t="str">
        <f>IF(Table1[[#This Row],[Team]]="Tom",Table1[[#This Row],[S&amp;P Return, same period]],"")</f>
        <v/>
      </c>
      <c r="R110" s="5">
        <v>-1.944</v>
      </c>
      <c r="S110" s="14">
        <f>IF(Table1[[#This Row],[Team]]="David",Table1[[#This Row],[Difference Vs. S&amp;P Return]],"")</f>
        <v>-1.944</v>
      </c>
      <c r="T110" s="14" t="str">
        <f>IF(Table1[[#This Row],[Team]]="Tom",Table1[[#This Row],[Difference Vs. S&amp;P Return]],"")</f>
        <v/>
      </c>
      <c r="U110" s="14">
        <f>ROUND((1+Table1[[#This Row],[Return (keep sorted by this column!)]])/(1+Table1[[#This Row],[S&amp;P Return, same period]])-1,1)</f>
        <v>-0.5</v>
      </c>
      <c r="V110" s="15">
        <f>IF(Table1[[#This Row],[Team]]="David",Table1[[#This Row],[Improvement Vs. S&amp;P Return]],"")</f>
        <v>-0.5</v>
      </c>
      <c r="W110" s="15" t="str">
        <f>IF(Table1[[#This Row],[Team]]="Tom",Table1[[#This Row],[Improvement Vs. S&amp;P Return]],"")</f>
        <v/>
      </c>
    </row>
    <row r="111" spans="1:23" ht="45" x14ac:dyDescent="0.2">
      <c r="A111" s="1">
        <v>39465</v>
      </c>
      <c r="B111" s="2" t="s">
        <v>378</v>
      </c>
      <c r="C111" s="2">
        <f>SUBTOTAL(103,Table1[[#This Row],[Recommendation Date]])</f>
        <v>1</v>
      </c>
      <c r="D111" s="2">
        <f>1</f>
        <v>1</v>
      </c>
      <c r="E111" s="16" t="s">
        <v>379</v>
      </c>
      <c r="F111" s="3" t="s">
        <v>41</v>
      </c>
      <c r="G111" s="3" t="s">
        <v>8</v>
      </c>
      <c r="H111" s="17"/>
      <c r="I111" s="4">
        <v>20.28</v>
      </c>
      <c r="J111" s="5">
        <v>1.258</v>
      </c>
      <c r="K111" s="48">
        <f>ROUND(LOG10(Table1[[#This Row],[Return (keep sorted by this column!)]]+1),2)</f>
        <v>0.35</v>
      </c>
      <c r="L111" s="48">
        <f>COUNTIF(Table1[Return (keep sorted by this column!)],"&lt;"&amp;Table1[[#This Row],[Return (keep sorted by this column!)]])</f>
        <v>324</v>
      </c>
      <c r="M111" s="14" t="str">
        <f>IF(Table1[[#This Row],[Team]]="David",Table1[[#This Row],[Return (keep sorted by this column!)]],"")</f>
        <v/>
      </c>
      <c r="N111" s="14">
        <f>IF(Table1[[#This Row],[Team]]="Tom",Table1[[#This Row],[Return (keep sorted by this column!)]],"")</f>
        <v>1.258</v>
      </c>
      <c r="O111" s="5">
        <v>1.609</v>
      </c>
      <c r="P111" s="23" t="str">
        <f>IF(Table1[[#This Row],[Team]]="David",Table1[[#This Row],[S&amp;P Return, same period]],"")</f>
        <v/>
      </c>
      <c r="Q111" s="23">
        <f>IF(Table1[[#This Row],[Team]]="Tom",Table1[[#This Row],[S&amp;P Return, same period]],"")</f>
        <v>1.609</v>
      </c>
      <c r="R111" s="5">
        <v>-0.35199999999999998</v>
      </c>
      <c r="S111" s="14" t="str">
        <f>IF(Table1[[#This Row],[Team]]="David",Table1[[#This Row],[Difference Vs. S&amp;P Return]],"")</f>
        <v/>
      </c>
      <c r="T111" s="14">
        <f>IF(Table1[[#This Row],[Team]]="Tom",Table1[[#This Row],[Difference Vs. S&amp;P Return]],"")</f>
        <v>-0.35199999999999998</v>
      </c>
      <c r="U111" s="14">
        <f>ROUND((1+Table1[[#This Row],[Return (keep sorted by this column!)]])/(1+Table1[[#This Row],[S&amp;P Return, same period]])-1,1)</f>
        <v>-0.1</v>
      </c>
      <c r="V111" s="15" t="str">
        <f>IF(Table1[[#This Row],[Team]]="David",Table1[[#This Row],[Improvement Vs. S&amp;P Return]],"")</f>
        <v/>
      </c>
      <c r="W111" s="15">
        <f>IF(Table1[[#This Row],[Team]]="Tom",Table1[[#This Row],[Improvement Vs. S&amp;P Return]],"")</f>
        <v>-0.1</v>
      </c>
    </row>
    <row r="112" spans="1:23" ht="17" x14ac:dyDescent="0.2">
      <c r="A112" s="18">
        <v>38884</v>
      </c>
      <c r="B112" s="2" t="s">
        <v>483</v>
      </c>
      <c r="C112" s="2">
        <f>SUBTOTAL(103,Table1[[#This Row],[Recommendation Date]])</f>
        <v>1</v>
      </c>
      <c r="D112" s="2">
        <f>1</f>
        <v>1</v>
      </c>
      <c r="E112" s="16" t="s">
        <v>484</v>
      </c>
      <c r="F112" s="3" t="s">
        <v>485</v>
      </c>
      <c r="G112" s="3" t="s">
        <v>8</v>
      </c>
      <c r="H112" s="17"/>
      <c r="I112" s="4">
        <v>16.809999999999999</v>
      </c>
      <c r="J112" s="5">
        <v>1.236</v>
      </c>
      <c r="K112" s="48">
        <f>ROUND(LOG10(Table1[[#This Row],[Return (keep sorted by this column!)]]+1),2)</f>
        <v>0.35</v>
      </c>
      <c r="L112" s="48">
        <f>COUNTIF(Table1[Return (keep sorted by this column!)],"&lt;"&amp;Table1[[#This Row],[Return (keep sorted by this column!)]])</f>
        <v>323</v>
      </c>
      <c r="M112" s="14" t="str">
        <f>IF(Table1[[#This Row],[Team]]="David",Table1[[#This Row],[Return (keep sorted by this column!)]],"")</f>
        <v/>
      </c>
      <c r="N112" s="14">
        <f>IF(Table1[[#This Row],[Team]]="Tom",Table1[[#This Row],[Return (keep sorted by this column!)]],"")</f>
        <v>1.236</v>
      </c>
      <c r="O112" s="5">
        <v>1.9279999999999999</v>
      </c>
      <c r="P112" s="23" t="str">
        <f>IF(Table1[[#This Row],[Team]]="David",Table1[[#This Row],[S&amp;P Return, same period]],"")</f>
        <v/>
      </c>
      <c r="Q112" s="23">
        <f>IF(Table1[[#This Row],[Team]]="Tom",Table1[[#This Row],[S&amp;P Return, same period]],"")</f>
        <v>1.9279999999999999</v>
      </c>
      <c r="R112" s="5">
        <v>-0.69199999999999995</v>
      </c>
      <c r="S112" s="14" t="str">
        <f>IF(Table1[[#This Row],[Team]]="David",Table1[[#This Row],[Difference Vs. S&amp;P Return]],"")</f>
        <v/>
      </c>
      <c r="T112" s="14">
        <f>IF(Table1[[#This Row],[Team]]="Tom",Table1[[#This Row],[Difference Vs. S&amp;P Return]],"")</f>
        <v>-0.69199999999999995</v>
      </c>
      <c r="U112" s="14">
        <f>ROUND((1+Table1[[#This Row],[Return (keep sorted by this column!)]])/(1+Table1[[#This Row],[S&amp;P Return, same period]])-1,1)</f>
        <v>-0.2</v>
      </c>
      <c r="V112" s="15" t="str">
        <f>IF(Table1[[#This Row],[Team]]="David",Table1[[#This Row],[Improvement Vs. S&amp;P Return]],"")</f>
        <v/>
      </c>
      <c r="W112" s="15">
        <f>IF(Table1[[#This Row],[Team]]="Tom",Table1[[#This Row],[Improvement Vs. S&amp;P Return]],"")</f>
        <v>-0.2</v>
      </c>
    </row>
    <row r="113" spans="1:23" ht="17" x14ac:dyDescent="0.2">
      <c r="A113" s="18">
        <v>42846</v>
      </c>
      <c r="B113" s="2" t="s">
        <v>163</v>
      </c>
      <c r="C113" s="2">
        <f>SUBTOTAL(103,Table1[[#This Row],[Recommendation Date]])</f>
        <v>1</v>
      </c>
      <c r="D113" s="2">
        <f>1</f>
        <v>1</v>
      </c>
      <c r="E113" s="16" t="s">
        <v>164</v>
      </c>
      <c r="F113" s="3" t="s">
        <v>119</v>
      </c>
      <c r="G113" s="3" t="s">
        <v>12</v>
      </c>
      <c r="H113" s="16">
        <v>9</v>
      </c>
      <c r="I113" s="4">
        <v>39.53</v>
      </c>
      <c r="J113" s="5">
        <v>1.204</v>
      </c>
      <c r="K113" s="48">
        <f>ROUND(LOG10(Table1[[#This Row],[Return (keep sorted by this column!)]]+1),2)</f>
        <v>0.34</v>
      </c>
      <c r="L113" s="48">
        <f>COUNTIF(Table1[Return (keep sorted by this column!)],"&lt;"&amp;Table1[[#This Row],[Return (keep sorted by this column!)]])</f>
        <v>322</v>
      </c>
      <c r="M113" s="76">
        <f>IF(Table1[[#This Row],[Team]]="David",Table1[[#This Row],[Return (keep sorted by this column!)]],"")</f>
        <v>1.204</v>
      </c>
      <c r="N113" s="76" t="str">
        <f>IF(Table1[[#This Row],[Team]]="Tom",Table1[[#This Row],[Return (keep sorted by this column!)]],"")</f>
        <v/>
      </c>
      <c r="O113" s="5">
        <v>0.23799999999999999</v>
      </c>
      <c r="P113" s="68">
        <f>IF(Table1[[#This Row],[Team]]="David",Table1[[#This Row],[S&amp;P Return, same period]],"")</f>
        <v>0.23799999999999999</v>
      </c>
      <c r="Q113" s="68" t="str">
        <f>IF(Table1[[#This Row],[Team]]="Tom",Table1[[#This Row],[S&amp;P Return, same period]],"")</f>
        <v/>
      </c>
      <c r="R113" s="5">
        <v>0.96599999999999997</v>
      </c>
      <c r="S113" s="14">
        <f>IF(Table1[[#This Row],[Team]]="David",Table1[[#This Row],[Difference Vs. S&amp;P Return]],"")</f>
        <v>0.96599999999999997</v>
      </c>
      <c r="T113" s="14" t="str">
        <f>IF(Table1[[#This Row],[Team]]="Tom",Table1[[#This Row],[Difference Vs. S&amp;P Return]],"")</f>
        <v/>
      </c>
      <c r="U113" s="14">
        <f>ROUND((1+Table1[[#This Row],[Return (keep sorted by this column!)]])/(1+Table1[[#This Row],[S&amp;P Return, same period]])-1,1)</f>
        <v>0.8</v>
      </c>
      <c r="V113" s="15">
        <f>IF(Table1[[#This Row],[Team]]="David",Table1[[#This Row],[Improvement Vs. S&amp;P Return]],"")</f>
        <v>0.8</v>
      </c>
      <c r="W113" s="15" t="str">
        <f>IF(Table1[[#This Row],[Team]]="Tom",Table1[[#This Row],[Improvement Vs. S&amp;P Return]],"")</f>
        <v/>
      </c>
    </row>
    <row r="114" spans="1:23" ht="17" x14ac:dyDescent="0.2">
      <c r="A114" s="18">
        <v>40137</v>
      </c>
      <c r="B114" s="2" t="s">
        <v>483</v>
      </c>
      <c r="C114" s="2">
        <f>SUBTOTAL(103,Table1[[#This Row],[Recommendation Date]])</f>
        <v>1</v>
      </c>
      <c r="D114" s="2">
        <f>1</f>
        <v>1</v>
      </c>
      <c r="E114" s="16" t="s">
        <v>484</v>
      </c>
      <c r="F114" s="3" t="s">
        <v>485</v>
      </c>
      <c r="G114" s="3" t="s">
        <v>8</v>
      </c>
      <c r="H114" s="17"/>
      <c r="I114" s="4">
        <v>17.18</v>
      </c>
      <c r="J114" s="5">
        <v>1.1879999999999999</v>
      </c>
      <c r="K114" s="48">
        <f>ROUND(LOG10(Table1[[#This Row],[Return (keep sorted by this column!)]]+1),2)</f>
        <v>0.34</v>
      </c>
      <c r="L114" s="48">
        <f>COUNTIF(Table1[Return (keep sorted by this column!)],"&lt;"&amp;Table1[[#This Row],[Return (keep sorted by this column!)]])</f>
        <v>321</v>
      </c>
      <c r="M114" s="14" t="str">
        <f>IF(Table1[[#This Row],[Team]]="David",Table1[[#This Row],[Return (keep sorted by this column!)]],"")</f>
        <v/>
      </c>
      <c r="N114" s="14">
        <f>IF(Table1[[#This Row],[Team]]="Tom",Table1[[#This Row],[Return (keep sorted by this column!)]],"")</f>
        <v>1.1879999999999999</v>
      </c>
      <c r="O114" s="5">
        <v>2.1160000000000001</v>
      </c>
      <c r="P114" s="23" t="str">
        <f>IF(Table1[[#This Row],[Team]]="David",Table1[[#This Row],[S&amp;P Return, same period]],"")</f>
        <v/>
      </c>
      <c r="Q114" s="23">
        <f>IF(Table1[[#This Row],[Team]]="Tom",Table1[[#This Row],[S&amp;P Return, same period]],"")</f>
        <v>2.1160000000000001</v>
      </c>
      <c r="R114" s="5">
        <v>-0.92800000000000005</v>
      </c>
      <c r="S114" s="14" t="str">
        <f>IF(Table1[[#This Row],[Team]]="David",Table1[[#This Row],[Difference Vs. S&amp;P Return]],"")</f>
        <v/>
      </c>
      <c r="T114" s="14">
        <f>IF(Table1[[#This Row],[Team]]="Tom",Table1[[#This Row],[Difference Vs. S&amp;P Return]],"")</f>
        <v>-0.92800000000000005</v>
      </c>
      <c r="U114" s="14">
        <f>ROUND((1+Table1[[#This Row],[Return (keep sorted by this column!)]])/(1+Table1[[#This Row],[S&amp;P Return, same period]])-1,1)</f>
        <v>-0.3</v>
      </c>
      <c r="V114" s="15" t="str">
        <f>IF(Table1[[#This Row],[Team]]="David",Table1[[#This Row],[Improvement Vs. S&amp;P Return]],"")</f>
        <v/>
      </c>
      <c r="W114" s="15">
        <f>IF(Table1[[#This Row],[Team]]="Tom",Table1[[#This Row],[Improvement Vs. S&amp;P Return]],"")</f>
        <v>-0.3</v>
      </c>
    </row>
    <row r="115" spans="1:23" ht="30" x14ac:dyDescent="0.2">
      <c r="A115" s="18">
        <v>41502</v>
      </c>
      <c r="B115" s="2" t="s">
        <v>228</v>
      </c>
      <c r="C115" s="2">
        <f>SUBTOTAL(103,Table1[[#This Row],[Recommendation Date]])</f>
        <v>1</v>
      </c>
      <c r="D115" s="2">
        <f>1</f>
        <v>1</v>
      </c>
      <c r="E115" s="16" t="s">
        <v>229</v>
      </c>
      <c r="F115" s="3" t="s">
        <v>66</v>
      </c>
      <c r="G115" s="3" t="s">
        <v>12</v>
      </c>
      <c r="H115" s="16">
        <v>6</v>
      </c>
      <c r="I115" s="4">
        <v>22.2</v>
      </c>
      <c r="J115" s="5">
        <v>1.1639999999999999</v>
      </c>
      <c r="K115" s="48">
        <f>ROUND(LOG10(Table1[[#This Row],[Return (keep sorted by this column!)]]+1),2)</f>
        <v>0.34</v>
      </c>
      <c r="L115" s="48">
        <f>COUNTIF(Table1[Return (keep sorted by this column!)],"&lt;"&amp;Table1[[#This Row],[Return (keep sorted by this column!)]])</f>
        <v>320</v>
      </c>
      <c r="M115" s="76">
        <f>IF(Table1[[#This Row],[Team]]="David",Table1[[#This Row],[Return (keep sorted by this column!)]],"")</f>
        <v>1.1639999999999999</v>
      </c>
      <c r="N115" s="76" t="str">
        <f>IF(Table1[[#This Row],[Team]]="Tom",Table1[[#This Row],[Return (keep sorted by this column!)]],"")</f>
        <v/>
      </c>
      <c r="O115" s="5">
        <v>0.89700000000000002</v>
      </c>
      <c r="P115" s="68">
        <f>IF(Table1[[#This Row],[Team]]="David",Table1[[#This Row],[S&amp;P Return, same period]],"")</f>
        <v>0.89700000000000002</v>
      </c>
      <c r="Q115" s="68" t="str">
        <f>IF(Table1[[#This Row],[Team]]="Tom",Table1[[#This Row],[S&amp;P Return, same period]],"")</f>
        <v/>
      </c>
      <c r="R115" s="5">
        <v>0.26600000000000001</v>
      </c>
      <c r="S115" s="14">
        <f>IF(Table1[[#This Row],[Team]]="David",Table1[[#This Row],[Difference Vs. S&amp;P Return]],"")</f>
        <v>0.26600000000000001</v>
      </c>
      <c r="T115" s="14" t="str">
        <f>IF(Table1[[#This Row],[Team]]="Tom",Table1[[#This Row],[Difference Vs. S&amp;P Return]],"")</f>
        <v/>
      </c>
      <c r="U115" s="14">
        <f>ROUND((1+Table1[[#This Row],[Return (keep sorted by this column!)]])/(1+Table1[[#This Row],[S&amp;P Return, same period]])-1,1)</f>
        <v>0.1</v>
      </c>
      <c r="V115" s="15">
        <f>IF(Table1[[#This Row],[Team]]="David",Table1[[#This Row],[Improvement Vs. S&amp;P Return]],"")</f>
        <v>0.1</v>
      </c>
      <c r="W115" s="15" t="str">
        <f>IF(Table1[[#This Row],[Team]]="Tom",Table1[[#This Row],[Improvement Vs. S&amp;P Return]],"")</f>
        <v/>
      </c>
    </row>
    <row r="116" spans="1:23" ht="30" x14ac:dyDescent="0.2">
      <c r="A116" s="18">
        <v>42874</v>
      </c>
      <c r="B116" s="2" t="s">
        <v>158</v>
      </c>
      <c r="C116" s="2">
        <f>SUBTOTAL(103,Table1[[#This Row],[Recommendation Date]])</f>
        <v>1</v>
      </c>
      <c r="D116" s="2">
        <f>1</f>
        <v>1</v>
      </c>
      <c r="E116" s="16" t="s">
        <v>159</v>
      </c>
      <c r="F116" s="3" t="s">
        <v>44</v>
      </c>
      <c r="G116" s="3" t="s">
        <v>12</v>
      </c>
      <c r="H116" s="16">
        <v>6</v>
      </c>
      <c r="I116" s="4">
        <v>84.96</v>
      </c>
      <c r="J116" s="5">
        <v>1.139</v>
      </c>
      <c r="K116" s="48">
        <f>ROUND(LOG10(Table1[[#This Row],[Return (keep sorted by this column!)]]+1),2)</f>
        <v>0.33</v>
      </c>
      <c r="L116" s="48">
        <f>COUNTIF(Table1[Return (keep sorted by this column!)],"&lt;"&amp;Table1[[#This Row],[Return (keep sorted by this column!)]])</f>
        <v>319</v>
      </c>
      <c r="M116" s="76">
        <f>IF(Table1[[#This Row],[Team]]="David",Table1[[#This Row],[Return (keep sorted by this column!)]],"")</f>
        <v>1.139</v>
      </c>
      <c r="N116" s="76" t="str">
        <f>IF(Table1[[#This Row],[Team]]="Tom",Table1[[#This Row],[Return (keep sorted by this column!)]],"")</f>
        <v/>
      </c>
      <c r="O116" s="5">
        <v>0.219</v>
      </c>
      <c r="P116" s="68">
        <f>IF(Table1[[#This Row],[Team]]="David",Table1[[#This Row],[S&amp;P Return, same period]],"")</f>
        <v>0.219</v>
      </c>
      <c r="Q116" s="68" t="str">
        <f>IF(Table1[[#This Row],[Team]]="Tom",Table1[[#This Row],[S&amp;P Return, same period]],"")</f>
        <v/>
      </c>
      <c r="R116" s="5">
        <v>0.92</v>
      </c>
      <c r="S116" s="14">
        <f>IF(Table1[[#This Row],[Team]]="David",Table1[[#This Row],[Difference Vs. S&amp;P Return]],"")</f>
        <v>0.92</v>
      </c>
      <c r="T116" s="14" t="str">
        <f>IF(Table1[[#This Row],[Team]]="Tom",Table1[[#This Row],[Difference Vs. S&amp;P Return]],"")</f>
        <v/>
      </c>
      <c r="U116" s="14">
        <f>ROUND((1+Table1[[#This Row],[Return (keep sorted by this column!)]])/(1+Table1[[#This Row],[S&amp;P Return, same period]])-1,1)</f>
        <v>0.8</v>
      </c>
      <c r="V116" s="15">
        <f>IF(Table1[[#This Row],[Team]]="David",Table1[[#This Row],[Improvement Vs. S&amp;P Return]],"")</f>
        <v>0.8</v>
      </c>
      <c r="W116" s="15" t="str">
        <f>IF(Table1[[#This Row],[Team]]="Tom",Table1[[#This Row],[Improvement Vs. S&amp;P Return]],"")</f>
        <v/>
      </c>
    </row>
    <row r="117" spans="1:23" ht="17" x14ac:dyDescent="0.2">
      <c r="A117" s="18">
        <v>41810</v>
      </c>
      <c r="B117" s="2" t="s">
        <v>151</v>
      </c>
      <c r="C117" s="2">
        <f>SUBTOTAL(103,Table1[[#This Row],[Recommendation Date]])</f>
        <v>1</v>
      </c>
      <c r="D117" s="2">
        <f>1</f>
        <v>1</v>
      </c>
      <c r="E117" s="16" t="s">
        <v>152</v>
      </c>
      <c r="F117" s="3" t="s">
        <v>130</v>
      </c>
      <c r="G117" s="3" t="s">
        <v>12</v>
      </c>
      <c r="H117" s="16">
        <v>9</v>
      </c>
      <c r="I117" s="4">
        <v>18.57</v>
      </c>
      <c r="J117" s="5">
        <v>1.1379999999999999</v>
      </c>
      <c r="K117" s="48">
        <f>ROUND(LOG10(Table1[[#This Row],[Return (keep sorted by this column!)]]+1),2)</f>
        <v>0.33</v>
      </c>
      <c r="L117" s="48">
        <f>COUNTIF(Table1[Return (keep sorted by this column!)],"&lt;"&amp;Table1[[#This Row],[Return (keep sorted by this column!)]])</f>
        <v>318</v>
      </c>
      <c r="M117" s="76">
        <f>IF(Table1[[#This Row],[Team]]="David",Table1[[#This Row],[Return (keep sorted by this column!)]],"")</f>
        <v>1.1379999999999999</v>
      </c>
      <c r="N117" s="76" t="str">
        <f>IF(Table1[[#This Row],[Team]]="Tom",Table1[[#This Row],[Return (keep sorted by this column!)]],"")</f>
        <v/>
      </c>
      <c r="O117" s="5">
        <v>0.57299999999999995</v>
      </c>
      <c r="P117" s="68">
        <f>IF(Table1[[#This Row],[Team]]="David",Table1[[#This Row],[S&amp;P Return, same period]],"")</f>
        <v>0.57299999999999995</v>
      </c>
      <c r="Q117" s="68" t="str">
        <f>IF(Table1[[#This Row],[Team]]="Tom",Table1[[#This Row],[S&amp;P Return, same period]],"")</f>
        <v/>
      </c>
      <c r="R117" s="5">
        <v>0.56499999999999995</v>
      </c>
      <c r="S117" s="14">
        <f>IF(Table1[[#This Row],[Team]]="David",Table1[[#This Row],[Difference Vs. S&amp;P Return]],"")</f>
        <v>0.56499999999999995</v>
      </c>
      <c r="T117" s="14" t="str">
        <f>IF(Table1[[#This Row],[Team]]="Tom",Table1[[#This Row],[Difference Vs. S&amp;P Return]],"")</f>
        <v/>
      </c>
      <c r="U117" s="14">
        <f>ROUND((1+Table1[[#This Row],[Return (keep sorted by this column!)]])/(1+Table1[[#This Row],[S&amp;P Return, same period]])-1,1)</f>
        <v>0.4</v>
      </c>
      <c r="V117" s="15">
        <f>IF(Table1[[#This Row],[Team]]="David",Table1[[#This Row],[Improvement Vs. S&amp;P Return]],"")</f>
        <v>0.4</v>
      </c>
      <c r="W117" s="15" t="str">
        <f>IF(Table1[[#This Row],[Team]]="Tom",Table1[[#This Row],[Improvement Vs. S&amp;P Return]],"")</f>
        <v/>
      </c>
    </row>
    <row r="118" spans="1:23" ht="60" x14ac:dyDescent="0.2">
      <c r="A118" s="1">
        <v>39948</v>
      </c>
      <c r="B118" s="2" t="s">
        <v>508</v>
      </c>
      <c r="C118" s="2">
        <f>SUBTOTAL(103,Table1[[#This Row],[Recommendation Date]])</f>
        <v>1</v>
      </c>
      <c r="D118" s="2">
        <f>1</f>
        <v>1</v>
      </c>
      <c r="E118" s="16" t="s">
        <v>509</v>
      </c>
      <c r="F118" s="3" t="s">
        <v>252</v>
      </c>
      <c r="G118" s="3" t="s">
        <v>12</v>
      </c>
      <c r="H118" s="17"/>
      <c r="I118" s="4">
        <v>11.57</v>
      </c>
      <c r="J118" s="5">
        <v>1.1359999999999999</v>
      </c>
      <c r="K118" s="48">
        <f>ROUND(LOG10(Table1[[#This Row],[Return (keep sorted by this column!)]]+1),2)</f>
        <v>0.33</v>
      </c>
      <c r="L118" s="48">
        <f>COUNTIF(Table1[Return (keep sorted by this column!)],"&lt;"&amp;Table1[[#This Row],[Return (keep sorted by this column!)]])</f>
        <v>317</v>
      </c>
      <c r="M118" s="14">
        <f>IF(Table1[[#This Row],[Team]]="David",Table1[[#This Row],[Return (keep sorted by this column!)]],"")</f>
        <v>1.1359999999999999</v>
      </c>
      <c r="N118" s="14" t="str">
        <f>IF(Table1[[#This Row],[Team]]="Tom",Table1[[#This Row],[Return (keep sorted by this column!)]],"")</f>
        <v/>
      </c>
      <c r="O118" s="5">
        <v>0.25800000000000001</v>
      </c>
      <c r="P118" s="23">
        <f>IF(Table1[[#This Row],[Team]]="David",Table1[[#This Row],[S&amp;P Return, same period]],"")</f>
        <v>0.25800000000000001</v>
      </c>
      <c r="Q118" s="23" t="str">
        <f>IF(Table1[[#This Row],[Team]]="Tom",Table1[[#This Row],[S&amp;P Return, same period]],"")</f>
        <v/>
      </c>
      <c r="R118" s="5">
        <v>0.878</v>
      </c>
      <c r="S118" s="14">
        <f>IF(Table1[[#This Row],[Team]]="David",Table1[[#This Row],[Difference Vs. S&amp;P Return]],"")</f>
        <v>0.878</v>
      </c>
      <c r="T118" s="14" t="str">
        <f>IF(Table1[[#This Row],[Team]]="Tom",Table1[[#This Row],[Difference Vs. S&amp;P Return]],"")</f>
        <v/>
      </c>
      <c r="U118" s="14">
        <f>ROUND((1+Table1[[#This Row],[Return (keep sorted by this column!)]])/(1+Table1[[#This Row],[S&amp;P Return, same period]])-1,1)</f>
        <v>0.7</v>
      </c>
      <c r="V118" s="15">
        <f>IF(Table1[[#This Row],[Team]]="David",Table1[[#This Row],[Improvement Vs. S&amp;P Return]],"")</f>
        <v>0.7</v>
      </c>
      <c r="W118" s="15" t="str">
        <f>IF(Table1[[#This Row],[Team]]="Tom",Table1[[#This Row],[Improvement Vs. S&amp;P Return]],"")</f>
        <v/>
      </c>
    </row>
    <row r="119" spans="1:23" ht="17" x14ac:dyDescent="0.2">
      <c r="A119" s="18">
        <v>42055</v>
      </c>
      <c r="B119" s="2" t="s">
        <v>193</v>
      </c>
      <c r="C119" s="2">
        <f>SUBTOTAL(103,Table1[[#This Row],[Recommendation Date]])</f>
        <v>1</v>
      </c>
      <c r="D119" s="2">
        <f>1</f>
        <v>1</v>
      </c>
      <c r="E119" s="16" t="s">
        <v>194</v>
      </c>
      <c r="F119" s="3" t="s">
        <v>195</v>
      </c>
      <c r="G119" s="3" t="s">
        <v>8</v>
      </c>
      <c r="H119" s="17"/>
      <c r="I119" s="4">
        <v>79.900000000000006</v>
      </c>
      <c r="J119" s="5">
        <v>1.1220000000000001</v>
      </c>
      <c r="K119" s="48">
        <f>ROUND(LOG10(Table1[[#This Row],[Return (keep sorted by this column!)]]+1),2)</f>
        <v>0.33</v>
      </c>
      <c r="L119" s="48">
        <f>COUNTIF(Table1[Return (keep sorted by this column!)],"&lt;"&amp;Table1[[#This Row],[Return (keep sorted by this column!)]])</f>
        <v>316</v>
      </c>
      <c r="M119" s="76" t="str">
        <f>IF(Table1[[#This Row],[Team]]="David",Table1[[#This Row],[Return (keep sorted by this column!)]],"")</f>
        <v/>
      </c>
      <c r="N119" s="76">
        <f>IF(Table1[[#This Row],[Team]]="Tom",Table1[[#This Row],[Return (keep sorted by this column!)]],"")</f>
        <v>1.1220000000000001</v>
      </c>
      <c r="O119" s="5">
        <v>0.443</v>
      </c>
      <c r="P119" s="68" t="str">
        <f>IF(Table1[[#This Row],[Team]]="David",Table1[[#This Row],[S&amp;P Return, same period]],"")</f>
        <v/>
      </c>
      <c r="Q119" s="68">
        <f>IF(Table1[[#This Row],[Team]]="Tom",Table1[[#This Row],[S&amp;P Return, same period]],"")</f>
        <v>0.443</v>
      </c>
      <c r="R119" s="5">
        <v>0.67900000000000005</v>
      </c>
      <c r="S119" s="14" t="str">
        <f>IF(Table1[[#This Row],[Team]]="David",Table1[[#This Row],[Difference Vs. S&amp;P Return]],"")</f>
        <v/>
      </c>
      <c r="T119" s="14">
        <f>IF(Table1[[#This Row],[Team]]="Tom",Table1[[#This Row],[Difference Vs. S&amp;P Return]],"")</f>
        <v>0.67900000000000005</v>
      </c>
      <c r="U119" s="14">
        <f>ROUND((1+Table1[[#This Row],[Return (keep sorted by this column!)]])/(1+Table1[[#This Row],[S&amp;P Return, same period]])-1,1)</f>
        <v>0.5</v>
      </c>
      <c r="V119" s="15" t="str">
        <f>IF(Table1[[#This Row],[Team]]="David",Table1[[#This Row],[Improvement Vs. S&amp;P Return]],"")</f>
        <v/>
      </c>
      <c r="W119" s="15">
        <f>IF(Table1[[#This Row],[Team]]="Tom",Table1[[#This Row],[Improvement Vs. S&amp;P Return]],"")</f>
        <v>0.5</v>
      </c>
    </row>
    <row r="120" spans="1:23" ht="17" x14ac:dyDescent="0.2">
      <c r="A120" s="18">
        <v>41348</v>
      </c>
      <c r="B120" s="2" t="s">
        <v>346</v>
      </c>
      <c r="C120" s="2">
        <f>SUBTOTAL(103,Table1[[#This Row],[Recommendation Date]])</f>
        <v>1</v>
      </c>
      <c r="D120" s="2">
        <f>1</f>
        <v>1</v>
      </c>
      <c r="E120" s="16" t="s">
        <v>347</v>
      </c>
      <c r="F120" s="3" t="s">
        <v>33</v>
      </c>
      <c r="G120" s="3" t="s">
        <v>8</v>
      </c>
      <c r="H120" s="17"/>
      <c r="I120" s="4">
        <v>52.09</v>
      </c>
      <c r="J120" s="5">
        <v>1.1140000000000001</v>
      </c>
      <c r="K120" s="48">
        <f>ROUND(LOG10(Table1[[#This Row],[Return (keep sorted by this column!)]]+1),2)</f>
        <v>0.33</v>
      </c>
      <c r="L120" s="48">
        <f>COUNTIF(Table1[Return (keep sorted by this column!)],"&lt;"&amp;Table1[[#This Row],[Return (keep sorted by this column!)]])</f>
        <v>315</v>
      </c>
      <c r="M120" s="76" t="str">
        <f>IF(Table1[[#This Row],[Team]]="David",Table1[[#This Row],[Return (keep sorted by this column!)]],"")</f>
        <v/>
      </c>
      <c r="N120" s="76">
        <f>IF(Table1[[#This Row],[Team]]="Tom",Table1[[#This Row],[Return (keep sorted by this column!)]],"")</f>
        <v>1.1140000000000001</v>
      </c>
      <c r="O120" s="5">
        <v>1.03</v>
      </c>
      <c r="P120" s="68" t="str">
        <f>IF(Table1[[#This Row],[Team]]="David",Table1[[#This Row],[S&amp;P Return, same period]],"")</f>
        <v/>
      </c>
      <c r="Q120" s="68">
        <f>IF(Table1[[#This Row],[Team]]="Tom",Table1[[#This Row],[S&amp;P Return, same period]],"")</f>
        <v>1.03</v>
      </c>
      <c r="R120" s="5">
        <v>8.4000000000000005E-2</v>
      </c>
      <c r="S120" s="14" t="str">
        <f>IF(Table1[[#This Row],[Team]]="David",Table1[[#This Row],[Difference Vs. S&amp;P Return]],"")</f>
        <v/>
      </c>
      <c r="T120" s="14">
        <f>IF(Table1[[#This Row],[Team]]="Tom",Table1[[#This Row],[Difference Vs. S&amp;P Return]],"")</f>
        <v>8.4000000000000005E-2</v>
      </c>
      <c r="U120" s="14">
        <f>ROUND((1+Table1[[#This Row],[Return (keep sorted by this column!)]])/(1+Table1[[#This Row],[S&amp;P Return, same period]])-1,1)</f>
        <v>0</v>
      </c>
      <c r="V120" s="15" t="str">
        <f>IF(Table1[[#This Row],[Team]]="David",Table1[[#This Row],[Improvement Vs. S&amp;P Return]],"")</f>
        <v/>
      </c>
      <c r="W120" s="15">
        <f>IF(Table1[[#This Row],[Team]]="Tom",Table1[[#This Row],[Improvement Vs. S&amp;P Return]],"")</f>
        <v>0</v>
      </c>
    </row>
    <row r="121" spans="1:23" ht="60" x14ac:dyDescent="0.2">
      <c r="A121" s="1">
        <v>38247</v>
      </c>
      <c r="B121" s="2" t="s">
        <v>672</v>
      </c>
      <c r="C121" s="2">
        <f>SUBTOTAL(103,Table1[[#This Row],[Recommendation Date]])</f>
        <v>1</v>
      </c>
      <c r="D121" s="2">
        <f>1</f>
        <v>1</v>
      </c>
      <c r="E121" s="16" t="s">
        <v>673</v>
      </c>
      <c r="F121" s="3" t="s">
        <v>252</v>
      </c>
      <c r="G121" s="3" t="s">
        <v>8</v>
      </c>
      <c r="H121" s="17"/>
      <c r="I121" s="4">
        <v>17.739999999999998</v>
      </c>
      <c r="J121" s="5">
        <v>1.099</v>
      </c>
      <c r="K121" s="48">
        <f>ROUND(LOG10(Table1[[#This Row],[Return (keep sorted by this column!)]]+1),2)</f>
        <v>0.32</v>
      </c>
      <c r="L121" s="48">
        <f>COUNTIF(Table1[Return (keep sorted by this column!)],"&lt;"&amp;Table1[[#This Row],[Return (keep sorted by this column!)]])</f>
        <v>314</v>
      </c>
      <c r="M121" s="14" t="str">
        <f>IF(Table1[[#This Row],[Team]]="David",Table1[[#This Row],[Return (keep sorted by this column!)]],"")</f>
        <v/>
      </c>
      <c r="N121" s="14">
        <f>IF(Table1[[#This Row],[Team]]="Tom",Table1[[#This Row],[Return (keep sorted by this column!)]],"")</f>
        <v>1.099</v>
      </c>
      <c r="O121" s="5">
        <v>0.14599999999999999</v>
      </c>
      <c r="P121" s="23" t="str">
        <f>IF(Table1[[#This Row],[Team]]="David",Table1[[#This Row],[S&amp;P Return, same period]],"")</f>
        <v/>
      </c>
      <c r="Q121" s="23">
        <f>IF(Table1[[#This Row],[Team]]="Tom",Table1[[#This Row],[S&amp;P Return, same period]],"")</f>
        <v>0.14599999999999999</v>
      </c>
      <c r="R121" s="5">
        <v>0.95399999999999996</v>
      </c>
      <c r="S121" s="14" t="str">
        <f>IF(Table1[[#This Row],[Team]]="David",Table1[[#This Row],[Difference Vs. S&amp;P Return]],"")</f>
        <v/>
      </c>
      <c r="T121" s="14">
        <f>IF(Table1[[#This Row],[Team]]="Tom",Table1[[#This Row],[Difference Vs. S&amp;P Return]],"")</f>
        <v>0.95399999999999996</v>
      </c>
      <c r="U121" s="14">
        <f>ROUND((1+Table1[[#This Row],[Return (keep sorted by this column!)]])/(1+Table1[[#This Row],[S&amp;P Return, same period]])-1,1)</f>
        <v>0.8</v>
      </c>
      <c r="V121" s="15" t="str">
        <f>IF(Table1[[#This Row],[Team]]="David",Table1[[#This Row],[Improvement Vs. S&amp;P Return]],"")</f>
        <v/>
      </c>
      <c r="W121" s="15">
        <f>IF(Table1[[#This Row],[Team]]="Tom",Table1[[#This Row],[Improvement Vs. S&amp;P Return]],"")</f>
        <v>0.8</v>
      </c>
    </row>
    <row r="122" spans="1:23" ht="30" x14ac:dyDescent="0.2">
      <c r="A122" s="18">
        <v>41320</v>
      </c>
      <c r="B122" s="2" t="s">
        <v>155</v>
      </c>
      <c r="C122" s="2">
        <f>SUBTOTAL(103,Table1[[#This Row],[Recommendation Date]])</f>
        <v>1</v>
      </c>
      <c r="D122" s="2">
        <f>1</f>
        <v>1</v>
      </c>
      <c r="E122" s="16" t="s">
        <v>156</v>
      </c>
      <c r="F122" s="3" t="s">
        <v>157</v>
      </c>
      <c r="G122" s="3" t="s">
        <v>8</v>
      </c>
      <c r="H122" s="17"/>
      <c r="I122" s="4">
        <v>314.19</v>
      </c>
      <c r="J122" s="5">
        <v>1.0940000000000001</v>
      </c>
      <c r="K122" s="48">
        <f>ROUND(LOG10(Table1[[#This Row],[Return (keep sorted by this column!)]]+1),2)</f>
        <v>0.32</v>
      </c>
      <c r="L122" s="48">
        <f>COUNTIF(Table1[Return (keep sorted by this column!)],"&lt;"&amp;Table1[[#This Row],[Return (keep sorted by this column!)]])</f>
        <v>313</v>
      </c>
      <c r="M122" s="76" t="str">
        <f>IF(Table1[[#This Row],[Team]]="David",Table1[[#This Row],[Return (keep sorted by this column!)]],"")</f>
        <v/>
      </c>
      <c r="N122" s="76">
        <f>IF(Table1[[#This Row],[Team]]="Tom",Table1[[#This Row],[Return (keep sorted by this column!)]],"")</f>
        <v>1.0940000000000001</v>
      </c>
      <c r="O122" s="5">
        <v>1.089</v>
      </c>
      <c r="P122" s="68" t="str">
        <f>IF(Table1[[#This Row],[Team]]="David",Table1[[#This Row],[S&amp;P Return, same period]],"")</f>
        <v/>
      </c>
      <c r="Q122" s="68">
        <f>IF(Table1[[#This Row],[Team]]="Tom",Table1[[#This Row],[S&amp;P Return, same period]],"")</f>
        <v>1.089</v>
      </c>
      <c r="R122" s="5">
        <v>4.0000000000000001E-3</v>
      </c>
      <c r="S122" s="14" t="str">
        <f>IF(Table1[[#This Row],[Team]]="David",Table1[[#This Row],[Difference Vs. S&amp;P Return]],"")</f>
        <v/>
      </c>
      <c r="T122" s="14">
        <f>IF(Table1[[#This Row],[Team]]="Tom",Table1[[#This Row],[Difference Vs. S&amp;P Return]],"")</f>
        <v>4.0000000000000001E-3</v>
      </c>
      <c r="U122" s="14">
        <f>ROUND((1+Table1[[#This Row],[Return (keep sorted by this column!)]])/(1+Table1[[#This Row],[S&amp;P Return, same period]])-1,1)</f>
        <v>0</v>
      </c>
      <c r="V122" s="15" t="str">
        <f>IF(Table1[[#This Row],[Team]]="David",Table1[[#This Row],[Improvement Vs. S&amp;P Return]],"")</f>
        <v/>
      </c>
      <c r="W122" s="15">
        <f>IF(Table1[[#This Row],[Team]]="Tom",Table1[[#This Row],[Improvement Vs. S&amp;P Return]],"")</f>
        <v>0</v>
      </c>
    </row>
    <row r="123" spans="1:23" ht="17" x14ac:dyDescent="0.2">
      <c r="A123" s="18">
        <v>43084</v>
      </c>
      <c r="B123" s="2" t="s">
        <v>75</v>
      </c>
      <c r="C123" s="2">
        <f>SUBTOTAL(103,Table1[[#This Row],[Recommendation Date]])</f>
        <v>1</v>
      </c>
      <c r="D123" s="2">
        <f>1</f>
        <v>1</v>
      </c>
      <c r="E123" s="16" t="s">
        <v>76</v>
      </c>
      <c r="F123" s="3" t="s">
        <v>66</v>
      </c>
      <c r="G123" s="3" t="s">
        <v>8</v>
      </c>
      <c r="H123" s="17"/>
      <c r="I123" s="4">
        <v>20.86</v>
      </c>
      <c r="J123" s="5">
        <v>1.0780000000000001</v>
      </c>
      <c r="K123" s="48">
        <f>ROUND(LOG10(Table1[[#This Row],[Return (keep sorted by this column!)]]+1),2)</f>
        <v>0.32</v>
      </c>
      <c r="L123" s="48">
        <f>COUNTIF(Table1[Return (keep sorted by this column!)],"&lt;"&amp;Table1[[#This Row],[Return (keep sorted by this column!)]])</f>
        <v>312</v>
      </c>
      <c r="M123" s="76" t="str">
        <f>IF(Table1[[#This Row],[Team]]="David",Table1[[#This Row],[Return (keep sorted by this column!)]],"")</f>
        <v/>
      </c>
      <c r="N123" s="76">
        <f>IF(Table1[[#This Row],[Team]]="Tom",Table1[[#This Row],[Return (keep sorted by this column!)]],"")</f>
        <v>1.0780000000000001</v>
      </c>
      <c r="O123" s="5">
        <v>7.1999999999999995E-2</v>
      </c>
      <c r="P123" s="68" t="str">
        <f>IF(Table1[[#This Row],[Team]]="David",Table1[[#This Row],[S&amp;P Return, same period]],"")</f>
        <v/>
      </c>
      <c r="Q123" s="68">
        <f>IF(Table1[[#This Row],[Team]]="Tom",Table1[[#This Row],[S&amp;P Return, same period]],"")</f>
        <v>7.1999999999999995E-2</v>
      </c>
      <c r="R123" s="5">
        <v>1.006</v>
      </c>
      <c r="S123" s="14" t="str">
        <f>IF(Table1[[#This Row],[Team]]="David",Table1[[#This Row],[Difference Vs. S&amp;P Return]],"")</f>
        <v/>
      </c>
      <c r="T123" s="14">
        <f>IF(Table1[[#This Row],[Team]]="Tom",Table1[[#This Row],[Difference Vs. S&amp;P Return]],"")</f>
        <v>1.006</v>
      </c>
      <c r="U123" s="14">
        <f>ROUND((1+Table1[[#This Row],[Return (keep sorted by this column!)]])/(1+Table1[[#This Row],[S&amp;P Return, same period]])-1,1)</f>
        <v>0.9</v>
      </c>
      <c r="V123" s="15" t="str">
        <f>IF(Table1[[#This Row],[Team]]="David",Table1[[#This Row],[Improvement Vs. S&amp;P Return]],"")</f>
        <v/>
      </c>
      <c r="W123" s="15">
        <f>IF(Table1[[#This Row],[Team]]="Tom",Table1[[#This Row],[Improvement Vs. S&amp;P Return]],"")</f>
        <v>0.9</v>
      </c>
    </row>
    <row r="124" spans="1:23" ht="17" x14ac:dyDescent="0.2">
      <c r="A124" s="18">
        <v>40739</v>
      </c>
      <c r="B124" s="2" t="s">
        <v>409</v>
      </c>
      <c r="C124" s="2">
        <f>SUBTOTAL(103,Table1[[#This Row],[Recommendation Date]])</f>
        <v>1</v>
      </c>
      <c r="D124" s="2">
        <f>1</f>
        <v>1</v>
      </c>
      <c r="E124" s="16" t="s">
        <v>410</v>
      </c>
      <c r="F124" s="3" t="s">
        <v>66</v>
      </c>
      <c r="G124" s="3" t="s">
        <v>8</v>
      </c>
      <c r="H124" s="17"/>
      <c r="I124" s="4">
        <v>42.98</v>
      </c>
      <c r="J124" s="5">
        <v>1.071</v>
      </c>
      <c r="K124" s="48">
        <f>ROUND(LOG10(Table1[[#This Row],[Return (keep sorted by this column!)]]+1),2)</f>
        <v>0.32</v>
      </c>
      <c r="L124" s="48">
        <f>COUNTIF(Table1[Return (keep sorted by this column!)],"&lt;"&amp;Table1[[#This Row],[Return (keep sorted by this column!)]])</f>
        <v>311</v>
      </c>
      <c r="M124" s="76" t="str">
        <f>IF(Table1[[#This Row],[Team]]="David",Table1[[#This Row],[Return (keep sorted by this column!)]],"")</f>
        <v/>
      </c>
      <c r="N124" s="76">
        <f>IF(Table1[[#This Row],[Team]]="Tom",Table1[[#This Row],[Return (keep sorted by this column!)]],"")</f>
        <v>1.071</v>
      </c>
      <c r="O124" s="5">
        <v>1.5009999999999999</v>
      </c>
      <c r="P124" s="68" t="str">
        <f>IF(Table1[[#This Row],[Team]]="David",Table1[[#This Row],[S&amp;P Return, same period]],"")</f>
        <v/>
      </c>
      <c r="Q124" s="68">
        <f>IF(Table1[[#This Row],[Team]]="Tom",Table1[[#This Row],[S&amp;P Return, same period]],"")</f>
        <v>1.5009999999999999</v>
      </c>
      <c r="R124" s="5">
        <v>-0.43</v>
      </c>
      <c r="S124" s="14" t="str">
        <f>IF(Table1[[#This Row],[Team]]="David",Table1[[#This Row],[Difference Vs. S&amp;P Return]],"")</f>
        <v/>
      </c>
      <c r="T124" s="14">
        <f>IF(Table1[[#This Row],[Team]]="Tom",Table1[[#This Row],[Difference Vs. S&amp;P Return]],"")</f>
        <v>-0.43</v>
      </c>
      <c r="U124" s="14">
        <f>ROUND((1+Table1[[#This Row],[Return (keep sorted by this column!)]])/(1+Table1[[#This Row],[S&amp;P Return, same period]])-1,1)</f>
        <v>-0.2</v>
      </c>
      <c r="V124" s="15" t="str">
        <f>IF(Table1[[#This Row],[Team]]="David",Table1[[#This Row],[Improvement Vs. S&amp;P Return]],"")</f>
        <v/>
      </c>
      <c r="W124" s="15">
        <f>IF(Table1[[#This Row],[Team]]="Tom",Table1[[#This Row],[Improvement Vs. S&amp;P Return]],"")</f>
        <v>-0.2</v>
      </c>
    </row>
    <row r="125" spans="1:23" ht="60" x14ac:dyDescent="0.2">
      <c r="A125" s="1">
        <v>39010</v>
      </c>
      <c r="B125" s="2" t="s">
        <v>603</v>
      </c>
      <c r="C125" s="2">
        <f>SUBTOTAL(103,Table1[[#This Row],[Recommendation Date]])</f>
        <v>1</v>
      </c>
      <c r="D125" s="2">
        <f>1</f>
        <v>1</v>
      </c>
      <c r="E125" s="16" t="s">
        <v>602</v>
      </c>
      <c r="F125" s="3" t="s">
        <v>27</v>
      </c>
      <c r="G125" s="3" t="s">
        <v>8</v>
      </c>
      <c r="H125" s="17"/>
      <c r="I125" s="4">
        <v>17.32</v>
      </c>
      <c r="J125" s="5">
        <v>1.07</v>
      </c>
      <c r="K125" s="48">
        <f>ROUND(LOG10(Table1[[#This Row],[Return (keep sorted by this column!)]]+1),2)</f>
        <v>0.32</v>
      </c>
      <c r="L125" s="48">
        <f>COUNTIF(Table1[Return (keep sorted by this column!)],"&lt;"&amp;Table1[[#This Row],[Return (keep sorted by this column!)]])</f>
        <v>310</v>
      </c>
      <c r="M125" s="14" t="str">
        <f>IF(Table1[[#This Row],[Team]]="David",Table1[[#This Row],[Return (keep sorted by this column!)]],"")</f>
        <v/>
      </c>
      <c r="N125" s="14">
        <f>IF(Table1[[#This Row],[Team]]="Tom",Table1[[#This Row],[Return (keep sorted by this column!)]],"")</f>
        <v>1.07</v>
      </c>
      <c r="O125" s="5">
        <v>0.86199999999999999</v>
      </c>
      <c r="P125" s="23" t="str">
        <f>IF(Table1[[#This Row],[Team]]="David",Table1[[#This Row],[S&amp;P Return, same period]],"")</f>
        <v/>
      </c>
      <c r="Q125" s="23">
        <f>IF(Table1[[#This Row],[Team]]="Tom",Table1[[#This Row],[S&amp;P Return, same period]],"")</f>
        <v>0.86199999999999999</v>
      </c>
      <c r="R125" s="5">
        <v>0.20899999999999999</v>
      </c>
      <c r="S125" s="14" t="str">
        <f>IF(Table1[[#This Row],[Team]]="David",Table1[[#This Row],[Difference Vs. S&amp;P Return]],"")</f>
        <v/>
      </c>
      <c r="T125" s="14">
        <f>IF(Table1[[#This Row],[Team]]="Tom",Table1[[#This Row],[Difference Vs. S&amp;P Return]],"")</f>
        <v>0.20899999999999999</v>
      </c>
      <c r="U125" s="14">
        <f>ROUND((1+Table1[[#This Row],[Return (keep sorted by this column!)]])/(1+Table1[[#This Row],[S&amp;P Return, same period]])-1,1)</f>
        <v>0.1</v>
      </c>
      <c r="V125" s="15" t="str">
        <f>IF(Table1[[#This Row],[Team]]="David",Table1[[#This Row],[Improvement Vs. S&amp;P Return]],"")</f>
        <v/>
      </c>
      <c r="W125" s="15">
        <f>IF(Table1[[#This Row],[Team]]="Tom",Table1[[#This Row],[Improvement Vs. S&amp;P Return]],"")</f>
        <v>0.1</v>
      </c>
    </row>
    <row r="126" spans="1:23" ht="45" x14ac:dyDescent="0.2">
      <c r="A126" s="1">
        <v>38919</v>
      </c>
      <c r="B126" s="2" t="s">
        <v>578</v>
      </c>
      <c r="C126" s="2">
        <f>SUBTOTAL(103,Table1[[#This Row],[Recommendation Date]])</f>
        <v>1</v>
      </c>
      <c r="D126" s="2">
        <f>1</f>
        <v>1</v>
      </c>
      <c r="E126" s="16" t="s">
        <v>579</v>
      </c>
      <c r="F126" s="3" t="s">
        <v>252</v>
      </c>
      <c r="G126" s="3" t="s">
        <v>12</v>
      </c>
      <c r="H126" s="17"/>
      <c r="I126" s="4">
        <v>37.03</v>
      </c>
      <c r="J126" s="5">
        <v>1.0640000000000001</v>
      </c>
      <c r="K126" s="48">
        <f>ROUND(LOG10(Table1[[#This Row],[Return (keep sorted by this column!)]]+1),2)</f>
        <v>0.31</v>
      </c>
      <c r="L126" s="48">
        <f>COUNTIF(Table1[Return (keep sorted by this column!)],"&lt;"&amp;Table1[[#This Row],[Return (keep sorted by this column!)]])</f>
        <v>309</v>
      </c>
      <c r="M126" s="14">
        <f>IF(Table1[[#This Row],[Team]]="David",Table1[[#This Row],[Return (keep sorted by this column!)]],"")</f>
        <v>1.0640000000000001</v>
      </c>
      <c r="N126" s="14" t="str">
        <f>IF(Table1[[#This Row],[Team]]="Tom",Table1[[#This Row],[Return (keep sorted by this column!)]],"")</f>
        <v/>
      </c>
      <c r="O126" s="5">
        <v>0.27600000000000002</v>
      </c>
      <c r="P126" s="23">
        <f>IF(Table1[[#This Row],[Team]]="David",Table1[[#This Row],[S&amp;P Return, same period]],"")</f>
        <v>0.27600000000000002</v>
      </c>
      <c r="Q126" s="23" t="str">
        <f>IF(Table1[[#This Row],[Team]]="Tom",Table1[[#This Row],[S&amp;P Return, same period]],"")</f>
        <v/>
      </c>
      <c r="R126" s="5">
        <v>0.78900000000000003</v>
      </c>
      <c r="S126" s="14">
        <f>IF(Table1[[#This Row],[Team]]="David",Table1[[#This Row],[Difference Vs. S&amp;P Return]],"")</f>
        <v>0.78900000000000003</v>
      </c>
      <c r="T126" s="14" t="str">
        <f>IF(Table1[[#This Row],[Team]]="Tom",Table1[[#This Row],[Difference Vs. S&amp;P Return]],"")</f>
        <v/>
      </c>
      <c r="U126" s="14">
        <f>ROUND((1+Table1[[#This Row],[Return (keep sorted by this column!)]])/(1+Table1[[#This Row],[S&amp;P Return, same period]])-1,1)</f>
        <v>0.6</v>
      </c>
      <c r="V126" s="15">
        <f>IF(Table1[[#This Row],[Team]]="David",Table1[[#This Row],[Improvement Vs. S&amp;P Return]],"")</f>
        <v>0.6</v>
      </c>
      <c r="W126" s="15" t="str">
        <f>IF(Table1[[#This Row],[Team]]="Tom",Table1[[#This Row],[Improvement Vs. S&amp;P Return]],"")</f>
        <v/>
      </c>
    </row>
    <row r="127" spans="1:23" ht="45" x14ac:dyDescent="0.2">
      <c r="A127" s="18">
        <v>42111</v>
      </c>
      <c r="B127" s="2" t="s">
        <v>269</v>
      </c>
      <c r="C127" s="2">
        <f>SUBTOTAL(103,Table1[[#This Row],[Recommendation Date]])</f>
        <v>1</v>
      </c>
      <c r="D127" s="2">
        <f>1</f>
        <v>1</v>
      </c>
      <c r="E127" s="16" t="s">
        <v>270</v>
      </c>
      <c r="F127" s="3" t="s">
        <v>27</v>
      </c>
      <c r="G127" s="3" t="s">
        <v>12</v>
      </c>
      <c r="H127" s="16">
        <v>9</v>
      </c>
      <c r="I127" s="4">
        <v>83.61</v>
      </c>
      <c r="J127" s="5">
        <v>1.0569999999999999</v>
      </c>
      <c r="K127" s="48">
        <f>ROUND(LOG10(Table1[[#This Row],[Return (keep sorted by this column!)]]+1),2)</f>
        <v>0.31</v>
      </c>
      <c r="L127" s="48">
        <f>COUNTIF(Table1[Return (keep sorted by this column!)],"&lt;"&amp;Table1[[#This Row],[Return (keep sorted by this column!)]])</f>
        <v>308</v>
      </c>
      <c r="M127" s="76">
        <f>IF(Table1[[#This Row],[Team]]="David",Table1[[#This Row],[Return (keep sorted by this column!)]],"")</f>
        <v>1.0569999999999999</v>
      </c>
      <c r="N127" s="76" t="str">
        <f>IF(Table1[[#This Row],[Team]]="Tom",Table1[[#This Row],[Return (keep sorted by this column!)]],"")</f>
        <v/>
      </c>
      <c r="O127" s="5">
        <v>0.45900000000000002</v>
      </c>
      <c r="P127" s="68">
        <f>IF(Table1[[#This Row],[Team]]="David",Table1[[#This Row],[S&amp;P Return, same period]],"")</f>
        <v>0.45900000000000002</v>
      </c>
      <c r="Q127" s="68" t="str">
        <f>IF(Table1[[#This Row],[Team]]="Tom",Table1[[#This Row],[S&amp;P Return, same period]],"")</f>
        <v/>
      </c>
      <c r="R127" s="5">
        <v>0.59799999999999998</v>
      </c>
      <c r="S127" s="14">
        <f>IF(Table1[[#This Row],[Team]]="David",Table1[[#This Row],[Difference Vs. S&amp;P Return]],"")</f>
        <v>0.59799999999999998</v>
      </c>
      <c r="T127" s="14" t="str">
        <f>IF(Table1[[#This Row],[Team]]="Tom",Table1[[#This Row],[Difference Vs. S&amp;P Return]],"")</f>
        <v/>
      </c>
      <c r="U127" s="14">
        <f>ROUND((1+Table1[[#This Row],[Return (keep sorted by this column!)]])/(1+Table1[[#This Row],[S&amp;P Return, same period]])-1,1)</f>
        <v>0.4</v>
      </c>
      <c r="V127" s="15">
        <f>IF(Table1[[#This Row],[Team]]="David",Table1[[#This Row],[Improvement Vs. S&amp;P Return]],"")</f>
        <v>0.4</v>
      </c>
      <c r="W127" s="15" t="str">
        <f>IF(Table1[[#This Row],[Team]]="Tom",Table1[[#This Row],[Improvement Vs. S&amp;P Return]],"")</f>
        <v/>
      </c>
    </row>
    <row r="128" spans="1:23" ht="17" x14ac:dyDescent="0.2">
      <c r="A128" s="18">
        <v>41383</v>
      </c>
      <c r="B128" s="2" t="s">
        <v>344</v>
      </c>
      <c r="C128" s="2">
        <f>SUBTOTAL(103,Table1[[#This Row],[Recommendation Date]])</f>
        <v>1</v>
      </c>
      <c r="D128" s="2">
        <f>1</f>
        <v>1</v>
      </c>
      <c r="E128" s="16" t="s">
        <v>345</v>
      </c>
      <c r="F128" s="3" t="s">
        <v>7</v>
      </c>
      <c r="G128" s="3" t="s">
        <v>12</v>
      </c>
      <c r="H128" s="16">
        <v>14</v>
      </c>
      <c r="I128" s="4">
        <v>20.57</v>
      </c>
      <c r="J128" s="5">
        <v>1.0089999999999999</v>
      </c>
      <c r="K128" s="48">
        <f>ROUND(LOG10(Table1[[#This Row],[Return (keep sorted by this column!)]]+1),2)</f>
        <v>0.3</v>
      </c>
      <c r="L128" s="48">
        <f>COUNTIF(Table1[Return (keep sorted by this column!)],"&lt;"&amp;Table1[[#This Row],[Return (keep sorted by this column!)]])</f>
        <v>307</v>
      </c>
      <c r="M128" s="76">
        <f>IF(Table1[[#This Row],[Team]]="David",Table1[[#This Row],[Return (keep sorted by this column!)]],"")</f>
        <v>1.0089999999999999</v>
      </c>
      <c r="N128" s="76" t="str">
        <f>IF(Table1[[#This Row],[Team]]="Tom",Table1[[#This Row],[Return (keep sorted by this column!)]],"")</f>
        <v/>
      </c>
      <c r="O128" s="5">
        <v>1.0349999999999999</v>
      </c>
      <c r="P128" s="68">
        <f>IF(Table1[[#This Row],[Team]]="David",Table1[[#This Row],[S&amp;P Return, same period]],"")</f>
        <v>1.0349999999999999</v>
      </c>
      <c r="Q128" s="68" t="str">
        <f>IF(Table1[[#This Row],[Team]]="Tom",Table1[[#This Row],[S&amp;P Return, same period]],"")</f>
        <v/>
      </c>
      <c r="R128" s="5">
        <v>-2.5999999999999999E-2</v>
      </c>
      <c r="S128" s="14">
        <f>IF(Table1[[#This Row],[Team]]="David",Table1[[#This Row],[Difference Vs. S&amp;P Return]],"")</f>
        <v>-2.5999999999999999E-2</v>
      </c>
      <c r="T128" s="14" t="str">
        <f>IF(Table1[[#This Row],[Team]]="Tom",Table1[[#This Row],[Difference Vs. S&amp;P Return]],"")</f>
        <v/>
      </c>
      <c r="U128" s="14">
        <f>ROUND((1+Table1[[#This Row],[Return (keep sorted by this column!)]])/(1+Table1[[#This Row],[S&amp;P Return, same period]])-1,1)</f>
        <v>0</v>
      </c>
      <c r="V128" s="15">
        <f>IF(Table1[[#This Row],[Team]]="David",Table1[[#This Row],[Improvement Vs. S&amp;P Return]],"")</f>
        <v>0</v>
      </c>
      <c r="W128" s="15" t="str">
        <f>IF(Table1[[#This Row],[Team]]="Tom",Table1[[#This Row],[Improvement Vs. S&amp;P Return]],"")</f>
        <v/>
      </c>
    </row>
    <row r="129" spans="1:23" ht="17" x14ac:dyDescent="0.2">
      <c r="A129" s="18">
        <v>42447</v>
      </c>
      <c r="B129" s="2" t="s">
        <v>213</v>
      </c>
      <c r="C129" s="2">
        <f>SUBTOTAL(103,Table1[[#This Row],[Recommendation Date]])</f>
        <v>1</v>
      </c>
      <c r="D129" s="2">
        <f>1</f>
        <v>1</v>
      </c>
      <c r="E129" s="16" t="s">
        <v>214</v>
      </c>
      <c r="F129" s="3" t="s">
        <v>215</v>
      </c>
      <c r="G129" s="3" t="s">
        <v>8</v>
      </c>
      <c r="H129" s="17"/>
      <c r="I129" s="4">
        <v>72</v>
      </c>
      <c r="J129" s="5">
        <v>0.98599999999999999</v>
      </c>
      <c r="K129" s="48">
        <f>ROUND(LOG10(Table1[[#This Row],[Return (keep sorted by this column!)]]+1),2)</f>
        <v>0.3</v>
      </c>
      <c r="L129" s="48">
        <f>COUNTIF(Table1[Return (keep sorted by this column!)],"&lt;"&amp;Table1[[#This Row],[Return (keep sorted by this column!)]])</f>
        <v>306</v>
      </c>
      <c r="M129" s="76" t="str">
        <f>IF(Table1[[#This Row],[Team]]="David",Table1[[#This Row],[Return (keep sorted by this column!)]],"")</f>
        <v/>
      </c>
      <c r="N129" s="76">
        <f>IF(Table1[[#This Row],[Team]]="Tom",Table1[[#This Row],[Return (keep sorted by this column!)]],"")</f>
        <v>0.98599999999999999</v>
      </c>
      <c r="O129" s="5">
        <v>0.45200000000000001</v>
      </c>
      <c r="P129" s="68" t="str">
        <f>IF(Table1[[#This Row],[Team]]="David",Table1[[#This Row],[S&amp;P Return, same period]],"")</f>
        <v/>
      </c>
      <c r="Q129" s="68">
        <f>IF(Table1[[#This Row],[Team]]="Tom",Table1[[#This Row],[S&amp;P Return, same period]],"")</f>
        <v>0.45200000000000001</v>
      </c>
      <c r="R129" s="5">
        <v>0.53400000000000003</v>
      </c>
      <c r="S129" s="14" t="str">
        <f>IF(Table1[[#This Row],[Team]]="David",Table1[[#This Row],[Difference Vs. S&amp;P Return]],"")</f>
        <v/>
      </c>
      <c r="T129" s="14">
        <f>IF(Table1[[#This Row],[Team]]="Tom",Table1[[#This Row],[Difference Vs. S&amp;P Return]],"")</f>
        <v>0.53400000000000003</v>
      </c>
      <c r="U129" s="14">
        <f>ROUND((1+Table1[[#This Row],[Return (keep sorted by this column!)]])/(1+Table1[[#This Row],[S&amp;P Return, same period]])-1,1)</f>
        <v>0.4</v>
      </c>
      <c r="V129" s="15" t="str">
        <f>IF(Table1[[#This Row],[Team]]="David",Table1[[#This Row],[Improvement Vs. S&amp;P Return]],"")</f>
        <v/>
      </c>
      <c r="W129" s="15">
        <f>IF(Table1[[#This Row],[Team]]="Tom",Table1[[#This Row],[Improvement Vs. S&amp;P Return]],"")</f>
        <v>0.4</v>
      </c>
    </row>
    <row r="130" spans="1:23" ht="45" x14ac:dyDescent="0.2">
      <c r="A130" s="1">
        <v>40228</v>
      </c>
      <c r="B130" s="2" t="s">
        <v>475</v>
      </c>
      <c r="C130" s="2">
        <f>SUBTOTAL(103,Table1[[#This Row],[Recommendation Date]])</f>
        <v>1</v>
      </c>
      <c r="D130" s="2">
        <f>1</f>
        <v>1</v>
      </c>
      <c r="E130" s="16" t="s">
        <v>476</v>
      </c>
      <c r="F130" s="3" t="s">
        <v>15</v>
      </c>
      <c r="G130" s="3" t="s">
        <v>8</v>
      </c>
      <c r="H130" s="17"/>
      <c r="I130" s="4">
        <v>16.68</v>
      </c>
      <c r="J130" s="5">
        <v>0.98099999999999998</v>
      </c>
      <c r="K130" s="48">
        <f>ROUND(LOG10(Table1[[#This Row],[Return (keep sorted by this column!)]]+1),2)</f>
        <v>0.3</v>
      </c>
      <c r="L130" s="48">
        <f>COUNTIF(Table1[Return (keep sorted by this column!)],"&lt;"&amp;Table1[[#This Row],[Return (keep sorted by this column!)]])</f>
        <v>305</v>
      </c>
      <c r="M130" s="76" t="str">
        <f>IF(Table1[[#This Row],[Team]]="David",Table1[[#This Row],[Return (keep sorted by this column!)]],"")</f>
        <v/>
      </c>
      <c r="N130" s="76">
        <f>IF(Table1[[#This Row],[Team]]="Tom",Table1[[#This Row],[Return (keep sorted by this column!)]],"")</f>
        <v>0.98099999999999998</v>
      </c>
      <c r="O130" s="5">
        <v>0.54100000000000004</v>
      </c>
      <c r="P130" s="68" t="str">
        <f>IF(Table1[[#This Row],[Team]]="David",Table1[[#This Row],[S&amp;P Return, same period]],"")</f>
        <v/>
      </c>
      <c r="Q130" s="68">
        <f>IF(Table1[[#This Row],[Team]]="Tom",Table1[[#This Row],[S&amp;P Return, same period]],"")</f>
        <v>0.54100000000000004</v>
      </c>
      <c r="R130" s="5">
        <v>0.44</v>
      </c>
      <c r="S130" s="14" t="str">
        <f>IF(Table1[[#This Row],[Team]]="David",Table1[[#This Row],[Difference Vs. S&amp;P Return]],"")</f>
        <v/>
      </c>
      <c r="T130" s="14">
        <f>IF(Table1[[#This Row],[Team]]="Tom",Table1[[#This Row],[Difference Vs. S&amp;P Return]],"")</f>
        <v>0.44</v>
      </c>
      <c r="U130" s="14">
        <f>ROUND((1+Table1[[#This Row],[Return (keep sorted by this column!)]])/(1+Table1[[#This Row],[S&amp;P Return, same period]])-1,1)</f>
        <v>0.3</v>
      </c>
      <c r="V130" s="15" t="str">
        <f>IF(Table1[[#This Row],[Team]]="David",Table1[[#This Row],[Improvement Vs. S&amp;P Return]],"")</f>
        <v/>
      </c>
      <c r="W130" s="15">
        <f>IF(Table1[[#This Row],[Team]]="Tom",Table1[[#This Row],[Improvement Vs. S&amp;P Return]],"")</f>
        <v>0.3</v>
      </c>
    </row>
    <row r="131" spans="1:23" ht="30" x14ac:dyDescent="0.2">
      <c r="A131" s="18">
        <v>40802</v>
      </c>
      <c r="B131" s="2" t="s">
        <v>356</v>
      </c>
      <c r="C131" s="2">
        <f>SUBTOTAL(103,Table1[[#This Row],[Recommendation Date]])</f>
        <v>1</v>
      </c>
      <c r="D131" s="2">
        <f>1</f>
        <v>1</v>
      </c>
      <c r="E131" s="16" t="s">
        <v>357</v>
      </c>
      <c r="F131" s="3" t="s">
        <v>58</v>
      </c>
      <c r="G131" s="3" t="s">
        <v>8</v>
      </c>
      <c r="H131" s="17"/>
      <c r="I131" s="4">
        <v>27.39</v>
      </c>
      <c r="J131" s="5">
        <v>0.97199999999999998</v>
      </c>
      <c r="K131" s="48">
        <f>ROUND(LOG10(Table1[[#This Row],[Return (keep sorted by this column!)]]+1),2)</f>
        <v>0.28999999999999998</v>
      </c>
      <c r="L131" s="48">
        <f>COUNTIF(Table1[Return (keep sorted by this column!)],"&lt;"&amp;Table1[[#This Row],[Return (keep sorted by this column!)]])</f>
        <v>304</v>
      </c>
      <c r="M131" s="76" t="str">
        <f>IF(Table1[[#This Row],[Team]]="David",Table1[[#This Row],[Return (keep sorted by this column!)]],"")</f>
        <v/>
      </c>
      <c r="N131" s="76">
        <f>IF(Table1[[#This Row],[Team]]="Tom",Table1[[#This Row],[Return (keep sorted by this column!)]],"")</f>
        <v>0.97199999999999998</v>
      </c>
      <c r="O131" s="5">
        <v>1.696</v>
      </c>
      <c r="P131" s="68" t="str">
        <f>IF(Table1[[#This Row],[Team]]="David",Table1[[#This Row],[S&amp;P Return, same period]],"")</f>
        <v/>
      </c>
      <c r="Q131" s="68">
        <f>IF(Table1[[#This Row],[Team]]="Tom",Table1[[#This Row],[S&amp;P Return, same period]],"")</f>
        <v>1.696</v>
      </c>
      <c r="R131" s="5">
        <v>-0.72499999999999998</v>
      </c>
      <c r="S131" s="14" t="str">
        <f>IF(Table1[[#This Row],[Team]]="David",Table1[[#This Row],[Difference Vs. S&amp;P Return]],"")</f>
        <v/>
      </c>
      <c r="T131" s="14">
        <f>IF(Table1[[#This Row],[Team]]="Tom",Table1[[#This Row],[Difference Vs. S&amp;P Return]],"")</f>
        <v>-0.72499999999999998</v>
      </c>
      <c r="U131" s="14">
        <f>ROUND((1+Table1[[#This Row],[Return (keep sorted by this column!)]])/(1+Table1[[#This Row],[S&amp;P Return, same period]])-1,1)</f>
        <v>-0.3</v>
      </c>
      <c r="V131" s="15" t="str">
        <f>IF(Table1[[#This Row],[Team]]="David",Table1[[#This Row],[Improvement Vs. S&amp;P Return]],"")</f>
        <v/>
      </c>
      <c r="W131" s="15">
        <f>IF(Table1[[#This Row],[Team]]="Tom",Table1[[#This Row],[Improvement Vs. S&amp;P Return]],"")</f>
        <v>-0.3</v>
      </c>
    </row>
    <row r="132" spans="1:23" ht="17" x14ac:dyDescent="0.2">
      <c r="A132" s="18">
        <v>40774</v>
      </c>
      <c r="B132" s="2" t="s">
        <v>405</v>
      </c>
      <c r="C132" s="2">
        <f>SUBTOTAL(103,Table1[[#This Row],[Recommendation Date]])</f>
        <v>1</v>
      </c>
      <c r="D132" s="2">
        <f>1</f>
        <v>1</v>
      </c>
      <c r="E132" s="16" t="s">
        <v>406</v>
      </c>
      <c r="F132" s="3" t="s">
        <v>262</v>
      </c>
      <c r="G132" s="3" t="s">
        <v>12</v>
      </c>
      <c r="H132" s="16">
        <v>9</v>
      </c>
      <c r="I132" s="4">
        <v>11.59</v>
      </c>
      <c r="J132" s="5">
        <v>0.97</v>
      </c>
      <c r="K132" s="48">
        <f>ROUND(LOG10(Table1[[#This Row],[Return (keep sorted by this column!)]]+1),2)</f>
        <v>0.28999999999999998</v>
      </c>
      <c r="L132" s="48">
        <f>COUNTIF(Table1[Return (keep sorted by this column!)],"&lt;"&amp;Table1[[#This Row],[Return (keep sorted by this column!)]])</f>
        <v>303</v>
      </c>
      <c r="M132" s="76">
        <f>IF(Table1[[#This Row],[Team]]="David",Table1[[#This Row],[Return (keep sorted by this column!)]],"")</f>
        <v>0.97</v>
      </c>
      <c r="N132" s="76" t="str">
        <f>IF(Table1[[#This Row],[Team]]="Tom",Table1[[#This Row],[Return (keep sorted by this column!)]],"")</f>
        <v/>
      </c>
      <c r="O132" s="5">
        <v>1.923</v>
      </c>
      <c r="P132" s="68">
        <f>IF(Table1[[#This Row],[Team]]="David",Table1[[#This Row],[S&amp;P Return, same period]],"")</f>
        <v>1.923</v>
      </c>
      <c r="Q132" s="68" t="str">
        <f>IF(Table1[[#This Row],[Team]]="Tom",Table1[[#This Row],[S&amp;P Return, same period]],"")</f>
        <v/>
      </c>
      <c r="R132" s="5">
        <v>-0.95399999999999996</v>
      </c>
      <c r="S132" s="14">
        <f>IF(Table1[[#This Row],[Team]]="David",Table1[[#This Row],[Difference Vs. S&amp;P Return]],"")</f>
        <v>-0.95399999999999996</v>
      </c>
      <c r="T132" s="14" t="str">
        <f>IF(Table1[[#This Row],[Team]]="Tom",Table1[[#This Row],[Difference Vs. S&amp;P Return]],"")</f>
        <v/>
      </c>
      <c r="U132" s="14">
        <f>ROUND((1+Table1[[#This Row],[Return (keep sorted by this column!)]])/(1+Table1[[#This Row],[S&amp;P Return, same period]])-1,1)</f>
        <v>-0.3</v>
      </c>
      <c r="V132" s="15">
        <f>IF(Table1[[#This Row],[Team]]="David",Table1[[#This Row],[Improvement Vs. S&amp;P Return]],"")</f>
        <v>-0.3</v>
      </c>
      <c r="W132" s="15" t="str">
        <f>IF(Table1[[#This Row],[Team]]="Tom",Table1[[#This Row],[Improvement Vs. S&amp;P Return]],"")</f>
        <v/>
      </c>
    </row>
    <row r="133" spans="1:23" ht="90" x14ac:dyDescent="0.2">
      <c r="A133" s="1">
        <v>39584</v>
      </c>
      <c r="B133" s="2" t="s">
        <v>547</v>
      </c>
      <c r="C133" s="2">
        <f>SUBTOTAL(103,Table1[[#This Row],[Recommendation Date]])</f>
        <v>1</v>
      </c>
      <c r="D133" s="2">
        <f>1</f>
        <v>1</v>
      </c>
      <c r="E133" s="16" t="s">
        <v>548</v>
      </c>
      <c r="F133" s="17"/>
      <c r="G133" s="3" t="s">
        <v>12</v>
      </c>
      <c r="H133" s="17"/>
      <c r="I133" s="4">
        <v>36.11</v>
      </c>
      <c r="J133" s="5">
        <v>0.94399999999999995</v>
      </c>
      <c r="K133" s="48">
        <f>ROUND(LOG10(Table1[[#This Row],[Return (keep sorted by this column!)]]+1),2)</f>
        <v>0.28999999999999998</v>
      </c>
      <c r="L133" s="48">
        <f>COUNTIF(Table1[Return (keep sorted by this column!)],"&lt;"&amp;Table1[[#This Row],[Return (keep sorted by this column!)]])</f>
        <v>302</v>
      </c>
      <c r="M133" s="14">
        <f>IF(Table1[[#This Row],[Team]]="David",Table1[[#This Row],[Return (keep sorted by this column!)]],"")</f>
        <v>0.94399999999999995</v>
      </c>
      <c r="N133" s="14" t="str">
        <f>IF(Table1[[#This Row],[Team]]="Tom",Table1[[#This Row],[Return (keep sorted by this column!)]],"")</f>
        <v/>
      </c>
      <c r="O133" s="5">
        <v>0.80100000000000005</v>
      </c>
      <c r="P133" s="23">
        <f>IF(Table1[[#This Row],[Team]]="David",Table1[[#This Row],[S&amp;P Return, same period]],"")</f>
        <v>0.80100000000000005</v>
      </c>
      <c r="Q133" s="23" t="str">
        <f>IF(Table1[[#This Row],[Team]]="Tom",Table1[[#This Row],[S&amp;P Return, same period]],"")</f>
        <v/>
      </c>
      <c r="R133" s="5">
        <v>0.14299999999999999</v>
      </c>
      <c r="S133" s="14">
        <f>IF(Table1[[#This Row],[Team]]="David",Table1[[#This Row],[Difference Vs. S&amp;P Return]],"")</f>
        <v>0.14299999999999999</v>
      </c>
      <c r="T133" s="14" t="str">
        <f>IF(Table1[[#This Row],[Team]]="Tom",Table1[[#This Row],[Difference Vs. S&amp;P Return]],"")</f>
        <v/>
      </c>
      <c r="U133" s="14">
        <f>ROUND((1+Table1[[#This Row],[Return (keep sorted by this column!)]])/(1+Table1[[#This Row],[S&amp;P Return, same period]])-1,1)</f>
        <v>0.1</v>
      </c>
      <c r="V133" s="15">
        <f>IF(Table1[[#This Row],[Team]]="David",Table1[[#This Row],[Improvement Vs. S&amp;P Return]],"")</f>
        <v>0.1</v>
      </c>
      <c r="W133" s="15" t="str">
        <f>IF(Table1[[#This Row],[Team]]="Tom",Table1[[#This Row],[Improvement Vs. S&amp;P Return]],"")</f>
        <v/>
      </c>
    </row>
    <row r="134" spans="1:23" ht="45" x14ac:dyDescent="0.2">
      <c r="A134" s="1">
        <v>41691</v>
      </c>
      <c r="B134" s="2" t="s">
        <v>318</v>
      </c>
      <c r="C134" s="2">
        <f>SUBTOTAL(103,Table1[[#This Row],[Recommendation Date]])</f>
        <v>1</v>
      </c>
      <c r="D134" s="2">
        <f>1</f>
        <v>1</v>
      </c>
      <c r="E134" s="16" t="s">
        <v>319</v>
      </c>
      <c r="F134" s="3" t="s">
        <v>252</v>
      </c>
      <c r="G134" s="3" t="s">
        <v>8</v>
      </c>
      <c r="H134" s="17"/>
      <c r="I134" s="4">
        <v>28.73</v>
      </c>
      <c r="J134" s="5">
        <v>0.92300000000000004</v>
      </c>
      <c r="K134" s="48">
        <f>ROUND(LOG10(Table1[[#This Row],[Return (keep sorted by this column!)]]+1),2)</f>
        <v>0.28000000000000003</v>
      </c>
      <c r="L134" s="48">
        <f>COUNTIF(Table1[Return (keep sorted by this column!)],"&lt;"&amp;Table1[[#This Row],[Return (keep sorted by this column!)]])</f>
        <v>301</v>
      </c>
      <c r="M134" s="76" t="str">
        <f>IF(Table1[[#This Row],[Team]]="David",Table1[[#This Row],[Return (keep sorted by this column!)]],"")</f>
        <v/>
      </c>
      <c r="N134" s="76">
        <f>IF(Table1[[#This Row],[Team]]="Tom",Table1[[#This Row],[Return (keep sorted by this column!)]],"")</f>
        <v>0.92300000000000004</v>
      </c>
      <c r="O134" s="5">
        <v>0.30499999999999999</v>
      </c>
      <c r="P134" s="68" t="str">
        <f>IF(Table1[[#This Row],[Team]]="David",Table1[[#This Row],[S&amp;P Return, same period]],"")</f>
        <v/>
      </c>
      <c r="Q134" s="68">
        <f>IF(Table1[[#This Row],[Team]]="Tom",Table1[[#This Row],[S&amp;P Return, same period]],"")</f>
        <v>0.30499999999999999</v>
      </c>
      <c r="R134" s="5">
        <v>0.61799999999999999</v>
      </c>
      <c r="S134" s="14" t="str">
        <f>IF(Table1[[#This Row],[Team]]="David",Table1[[#This Row],[Difference Vs. S&amp;P Return]],"")</f>
        <v/>
      </c>
      <c r="T134" s="14">
        <f>IF(Table1[[#This Row],[Team]]="Tom",Table1[[#This Row],[Difference Vs. S&amp;P Return]],"")</f>
        <v>0.61799999999999999</v>
      </c>
      <c r="U134" s="14">
        <f>ROUND((1+Table1[[#This Row],[Return (keep sorted by this column!)]])/(1+Table1[[#This Row],[S&amp;P Return, same period]])-1,1)</f>
        <v>0.5</v>
      </c>
      <c r="V134" s="15" t="str">
        <f>IF(Table1[[#This Row],[Team]]="David",Table1[[#This Row],[Improvement Vs. S&amp;P Return]],"")</f>
        <v/>
      </c>
      <c r="W134" s="15">
        <f>IF(Table1[[#This Row],[Team]]="Tom",Table1[[#This Row],[Improvement Vs. S&amp;P Return]],"")</f>
        <v>0.5</v>
      </c>
    </row>
    <row r="135" spans="1:23" ht="17" x14ac:dyDescent="0.2">
      <c r="A135" s="18">
        <v>43147</v>
      </c>
      <c r="B135" s="2" t="s">
        <v>124</v>
      </c>
      <c r="C135" s="2">
        <f>SUBTOTAL(103,Table1[[#This Row],[Recommendation Date]])</f>
        <v>1</v>
      </c>
      <c r="D135" s="2">
        <f>1</f>
        <v>1</v>
      </c>
      <c r="E135" s="16" t="s">
        <v>125</v>
      </c>
      <c r="F135" s="3" t="s">
        <v>7</v>
      </c>
      <c r="G135" s="3" t="s">
        <v>12</v>
      </c>
      <c r="H135" s="16">
        <v>10</v>
      </c>
      <c r="I135" s="4">
        <v>166.48</v>
      </c>
      <c r="J135" s="5">
        <v>0.89700000000000002</v>
      </c>
      <c r="K135" s="48">
        <f>ROUND(LOG10(Table1[[#This Row],[Return (keep sorted by this column!)]]+1),2)</f>
        <v>0.28000000000000003</v>
      </c>
      <c r="L135" s="48">
        <f>COUNTIF(Table1[Return (keep sorted by this column!)],"&lt;"&amp;Table1[[#This Row],[Return (keep sorted by this column!)]])</f>
        <v>300</v>
      </c>
      <c r="M135" s="76">
        <f>IF(Table1[[#This Row],[Team]]="David",Table1[[#This Row],[Return (keep sorted by this column!)]],"")</f>
        <v>0.89700000000000002</v>
      </c>
      <c r="N135" s="76" t="str">
        <f>IF(Table1[[#This Row],[Team]]="Tom",Table1[[#This Row],[Return (keep sorted by this column!)]],"")</f>
        <v/>
      </c>
      <c r="O135" s="5">
        <v>4.7E-2</v>
      </c>
      <c r="P135" s="68">
        <f>IF(Table1[[#This Row],[Team]]="David",Table1[[#This Row],[S&amp;P Return, same period]],"")</f>
        <v>4.7E-2</v>
      </c>
      <c r="Q135" s="68" t="str">
        <f>IF(Table1[[#This Row],[Team]]="Tom",Table1[[#This Row],[S&amp;P Return, same period]],"")</f>
        <v/>
      </c>
      <c r="R135" s="5">
        <v>0.85</v>
      </c>
      <c r="S135" s="14">
        <f>IF(Table1[[#This Row],[Team]]="David",Table1[[#This Row],[Difference Vs. S&amp;P Return]],"")</f>
        <v>0.85</v>
      </c>
      <c r="T135" s="14" t="str">
        <f>IF(Table1[[#This Row],[Team]]="Tom",Table1[[#This Row],[Difference Vs. S&amp;P Return]],"")</f>
        <v/>
      </c>
      <c r="U135" s="14">
        <f>ROUND((1+Table1[[#This Row],[Return (keep sorted by this column!)]])/(1+Table1[[#This Row],[S&amp;P Return, same period]])-1,1)</f>
        <v>0.8</v>
      </c>
      <c r="V135" s="15">
        <f>IF(Table1[[#This Row],[Team]]="David",Table1[[#This Row],[Improvement Vs. S&amp;P Return]],"")</f>
        <v>0.8</v>
      </c>
      <c r="W135" s="15" t="str">
        <f>IF(Table1[[#This Row],[Team]]="Tom",Table1[[#This Row],[Improvement Vs. S&amp;P Return]],"")</f>
        <v/>
      </c>
    </row>
    <row r="136" spans="1:23" ht="30" x14ac:dyDescent="0.2">
      <c r="A136" s="18">
        <v>40564</v>
      </c>
      <c r="B136" s="2" t="s">
        <v>436</v>
      </c>
      <c r="C136" s="2">
        <f>SUBTOTAL(103,Table1[[#This Row],[Recommendation Date]])</f>
        <v>1</v>
      </c>
      <c r="D136" s="2">
        <f>1</f>
        <v>1</v>
      </c>
      <c r="E136" s="16" t="s">
        <v>437</v>
      </c>
      <c r="F136" s="3" t="s">
        <v>150</v>
      </c>
      <c r="G136" s="3" t="s">
        <v>8</v>
      </c>
      <c r="H136" s="17"/>
      <c r="I136" s="4">
        <v>33.729999999999997</v>
      </c>
      <c r="J136" s="5">
        <v>0.89</v>
      </c>
      <c r="K136" s="48">
        <f>ROUND(LOG10(Table1[[#This Row],[Return (keep sorted by this column!)]]+1),2)</f>
        <v>0.28000000000000003</v>
      </c>
      <c r="L136" s="48">
        <f>COUNTIF(Table1[Return (keep sorted by this column!)],"&lt;"&amp;Table1[[#This Row],[Return (keep sorted by this column!)]])</f>
        <v>299</v>
      </c>
      <c r="M136" s="76" t="str">
        <f>IF(Table1[[#This Row],[Team]]="David",Table1[[#This Row],[Return (keep sorted by this column!)]],"")</f>
        <v/>
      </c>
      <c r="N136" s="76">
        <f>IF(Table1[[#This Row],[Team]]="Tom",Table1[[#This Row],[Return (keep sorted by this column!)]],"")</f>
        <v>0.89</v>
      </c>
      <c r="O136" s="5">
        <v>1.59</v>
      </c>
      <c r="P136" s="68" t="str">
        <f>IF(Table1[[#This Row],[Team]]="David",Table1[[#This Row],[S&amp;P Return, same period]],"")</f>
        <v/>
      </c>
      <c r="Q136" s="68">
        <f>IF(Table1[[#This Row],[Team]]="Tom",Table1[[#This Row],[S&amp;P Return, same period]],"")</f>
        <v>1.59</v>
      </c>
      <c r="R136" s="5">
        <v>-0.7</v>
      </c>
      <c r="S136" s="14" t="str">
        <f>IF(Table1[[#This Row],[Team]]="David",Table1[[#This Row],[Difference Vs. S&amp;P Return]],"")</f>
        <v/>
      </c>
      <c r="T136" s="14">
        <f>IF(Table1[[#This Row],[Team]]="Tom",Table1[[#This Row],[Difference Vs. S&amp;P Return]],"")</f>
        <v>-0.7</v>
      </c>
      <c r="U136" s="14">
        <f>ROUND((1+Table1[[#This Row],[Return (keep sorted by this column!)]])/(1+Table1[[#This Row],[S&amp;P Return, same period]])-1,1)</f>
        <v>-0.3</v>
      </c>
      <c r="V136" s="15" t="str">
        <f>IF(Table1[[#This Row],[Team]]="David",Table1[[#This Row],[Improvement Vs. S&amp;P Return]],"")</f>
        <v/>
      </c>
      <c r="W136" s="15">
        <f>IF(Table1[[#This Row],[Team]]="Tom",Table1[[#This Row],[Improvement Vs. S&amp;P Return]],"")</f>
        <v>-0.3</v>
      </c>
    </row>
    <row r="137" spans="1:23" ht="30" x14ac:dyDescent="0.2">
      <c r="A137" s="18">
        <v>42293</v>
      </c>
      <c r="B137" s="2" t="s">
        <v>240</v>
      </c>
      <c r="C137" s="2">
        <f>SUBTOTAL(103,Table1[[#This Row],[Recommendation Date]])</f>
        <v>1</v>
      </c>
      <c r="D137" s="2">
        <f>1</f>
        <v>1</v>
      </c>
      <c r="E137" s="16" t="s">
        <v>241</v>
      </c>
      <c r="F137" s="3" t="s">
        <v>215</v>
      </c>
      <c r="G137" s="3" t="s">
        <v>8</v>
      </c>
      <c r="H137" s="17"/>
      <c r="I137" s="4">
        <v>169.21</v>
      </c>
      <c r="J137" s="5">
        <v>0.86299999999999999</v>
      </c>
      <c r="K137" s="48">
        <f>ROUND(LOG10(Table1[[#This Row],[Return (keep sorted by this column!)]]+1),2)</f>
        <v>0.27</v>
      </c>
      <c r="L137" s="48">
        <f>COUNTIF(Table1[Return (keep sorted by this column!)],"&lt;"&amp;Table1[[#This Row],[Return (keep sorted by this column!)]])</f>
        <v>298</v>
      </c>
      <c r="M137" s="76" t="str">
        <f>IF(Table1[[#This Row],[Team]]="David",Table1[[#This Row],[Return (keep sorted by this column!)]],"")</f>
        <v/>
      </c>
      <c r="N137" s="76">
        <f>IF(Table1[[#This Row],[Team]]="Tom",Table1[[#This Row],[Return (keep sorted by this column!)]],"")</f>
        <v>0.86299999999999999</v>
      </c>
      <c r="O137" s="5">
        <v>0.47799999999999998</v>
      </c>
      <c r="P137" s="68" t="str">
        <f>IF(Table1[[#This Row],[Team]]="David",Table1[[#This Row],[S&amp;P Return, same period]],"")</f>
        <v/>
      </c>
      <c r="Q137" s="68">
        <f>IF(Table1[[#This Row],[Team]]="Tom",Table1[[#This Row],[S&amp;P Return, same period]],"")</f>
        <v>0.47799999999999998</v>
      </c>
      <c r="R137" s="5">
        <v>0.38600000000000001</v>
      </c>
      <c r="S137" s="14" t="str">
        <f>IF(Table1[[#This Row],[Team]]="David",Table1[[#This Row],[Difference Vs. S&amp;P Return]],"")</f>
        <v/>
      </c>
      <c r="T137" s="14">
        <f>IF(Table1[[#This Row],[Team]]="Tom",Table1[[#This Row],[Difference Vs. S&amp;P Return]],"")</f>
        <v>0.38600000000000001</v>
      </c>
      <c r="U137" s="14">
        <f>ROUND((1+Table1[[#This Row],[Return (keep sorted by this column!)]])/(1+Table1[[#This Row],[S&amp;P Return, same period]])-1,1)</f>
        <v>0.3</v>
      </c>
      <c r="V137" s="15" t="str">
        <f>IF(Table1[[#This Row],[Team]]="David",Table1[[#This Row],[Improvement Vs. S&amp;P Return]],"")</f>
        <v/>
      </c>
      <c r="W137" s="15">
        <f>IF(Table1[[#This Row],[Team]]="Tom",Table1[[#This Row],[Improvement Vs. S&amp;P Return]],"")</f>
        <v>0.3</v>
      </c>
    </row>
    <row r="138" spans="1:23" ht="60" x14ac:dyDescent="0.2">
      <c r="A138" s="1">
        <v>38947</v>
      </c>
      <c r="B138" s="2" t="s">
        <v>601</v>
      </c>
      <c r="C138" s="2">
        <f>SUBTOTAL(103,Table1[[#This Row],[Recommendation Date]])</f>
        <v>1</v>
      </c>
      <c r="D138" s="2">
        <f>1</f>
        <v>1</v>
      </c>
      <c r="E138" s="16" t="s">
        <v>602</v>
      </c>
      <c r="F138" s="3" t="s">
        <v>27</v>
      </c>
      <c r="G138" s="3" t="s">
        <v>8</v>
      </c>
      <c r="H138" s="17"/>
      <c r="I138" s="4">
        <v>19.07</v>
      </c>
      <c r="J138" s="5">
        <v>0.85199999999999998</v>
      </c>
      <c r="K138" s="48">
        <f>ROUND(LOG10(Table1[[#This Row],[Return (keep sorted by this column!)]]+1),2)</f>
        <v>0.27</v>
      </c>
      <c r="L138" s="48">
        <f>COUNTIF(Table1[Return (keep sorted by this column!)],"&lt;"&amp;Table1[[#This Row],[Return (keep sorted by this column!)]])</f>
        <v>297</v>
      </c>
      <c r="M138" s="14" t="str">
        <f>IF(Table1[[#This Row],[Team]]="David",Table1[[#This Row],[Return (keep sorted by this column!)]],"")</f>
        <v/>
      </c>
      <c r="N138" s="14">
        <f>IF(Table1[[#This Row],[Team]]="Tom",Table1[[#This Row],[Return (keep sorted by this column!)]],"")</f>
        <v>0.85199999999999998</v>
      </c>
      <c r="O138" s="5">
        <v>0.56299999999999994</v>
      </c>
      <c r="P138" s="23" t="str">
        <f>IF(Table1[[#This Row],[Team]]="David",Table1[[#This Row],[S&amp;P Return, same period]],"")</f>
        <v/>
      </c>
      <c r="Q138" s="23">
        <f>IF(Table1[[#This Row],[Team]]="Tom",Table1[[#This Row],[S&amp;P Return, same period]],"")</f>
        <v>0.56299999999999994</v>
      </c>
      <c r="R138" s="5">
        <v>0.28899999999999998</v>
      </c>
      <c r="S138" s="14" t="str">
        <f>IF(Table1[[#This Row],[Team]]="David",Table1[[#This Row],[Difference Vs. S&amp;P Return]],"")</f>
        <v/>
      </c>
      <c r="T138" s="14">
        <f>IF(Table1[[#This Row],[Team]]="Tom",Table1[[#This Row],[Difference Vs. S&amp;P Return]],"")</f>
        <v>0.28899999999999998</v>
      </c>
      <c r="U138" s="14">
        <f>ROUND((1+Table1[[#This Row],[Return (keep sorted by this column!)]])/(1+Table1[[#This Row],[S&amp;P Return, same period]])-1,1)</f>
        <v>0.2</v>
      </c>
      <c r="V138" s="15" t="str">
        <f>IF(Table1[[#This Row],[Team]]="David",Table1[[#This Row],[Improvement Vs. S&amp;P Return]],"")</f>
        <v/>
      </c>
      <c r="W138" s="15">
        <f>IF(Table1[[#This Row],[Team]]="Tom",Table1[[#This Row],[Improvement Vs. S&amp;P Return]],"")</f>
        <v>0.2</v>
      </c>
    </row>
    <row r="139" spans="1:23" ht="30" x14ac:dyDescent="0.2">
      <c r="A139" s="1">
        <v>42202</v>
      </c>
      <c r="B139" s="2" t="s">
        <v>255</v>
      </c>
      <c r="C139" s="2">
        <f>SUBTOTAL(103,Table1[[#This Row],[Recommendation Date]])</f>
        <v>1</v>
      </c>
      <c r="D139" s="2">
        <f>1</f>
        <v>1</v>
      </c>
      <c r="E139" s="16" t="s">
        <v>256</v>
      </c>
      <c r="F139" s="3" t="s">
        <v>257</v>
      </c>
      <c r="G139" s="3" t="s">
        <v>8</v>
      </c>
      <c r="H139" s="17"/>
      <c r="I139" s="4">
        <v>30.48</v>
      </c>
      <c r="J139" s="5">
        <v>0.84199999999999997</v>
      </c>
      <c r="K139" s="48">
        <f>ROUND(LOG10(Table1[[#This Row],[Return (keep sorted by this column!)]]+1),2)</f>
        <v>0.27</v>
      </c>
      <c r="L139" s="48">
        <f>COUNTIF(Table1[Return (keep sorted by this column!)],"&lt;"&amp;Table1[[#This Row],[Return (keep sorted by this column!)]])</f>
        <v>296</v>
      </c>
      <c r="M139" s="76" t="str">
        <f>IF(Table1[[#This Row],[Team]]="David",Table1[[#This Row],[Return (keep sorted by this column!)]],"")</f>
        <v/>
      </c>
      <c r="N139" s="76">
        <f>IF(Table1[[#This Row],[Team]]="Tom",Table1[[#This Row],[Return (keep sorted by this column!)]],"")</f>
        <v>0.84199999999999997</v>
      </c>
      <c r="O139" s="5">
        <v>0.307</v>
      </c>
      <c r="P139" s="68" t="str">
        <f>IF(Table1[[#This Row],[Team]]="David",Table1[[#This Row],[S&amp;P Return, same period]],"")</f>
        <v/>
      </c>
      <c r="Q139" s="68">
        <f>IF(Table1[[#This Row],[Team]]="Tom",Table1[[#This Row],[S&amp;P Return, same period]],"")</f>
        <v>0.307</v>
      </c>
      <c r="R139" s="5">
        <v>0.53500000000000003</v>
      </c>
      <c r="S139" s="14" t="str">
        <f>IF(Table1[[#This Row],[Team]]="David",Table1[[#This Row],[Difference Vs. S&amp;P Return]],"")</f>
        <v/>
      </c>
      <c r="T139" s="14">
        <f>IF(Table1[[#This Row],[Team]]="Tom",Table1[[#This Row],[Difference Vs. S&amp;P Return]],"")</f>
        <v>0.53500000000000003</v>
      </c>
      <c r="U139" s="14">
        <f>ROUND((1+Table1[[#This Row],[Return (keep sorted by this column!)]])/(1+Table1[[#This Row],[S&amp;P Return, same period]])-1,1)</f>
        <v>0.4</v>
      </c>
      <c r="V139" s="15" t="str">
        <f>IF(Table1[[#This Row],[Team]]="David",Table1[[#This Row],[Improvement Vs. S&amp;P Return]],"")</f>
        <v/>
      </c>
      <c r="W139" s="15">
        <f>IF(Table1[[#This Row],[Team]]="Tom",Table1[[#This Row],[Improvement Vs. S&amp;P Return]],"")</f>
        <v>0.4</v>
      </c>
    </row>
    <row r="140" spans="1:23" ht="45" x14ac:dyDescent="0.2">
      <c r="A140" s="1">
        <v>39038</v>
      </c>
      <c r="B140" s="2" t="s">
        <v>506</v>
      </c>
      <c r="C140" s="2">
        <f>SUBTOTAL(103,Table1[[#This Row],[Recommendation Date]])</f>
        <v>1</v>
      </c>
      <c r="D140" s="2">
        <f>1</f>
        <v>1</v>
      </c>
      <c r="E140" s="16" t="s">
        <v>507</v>
      </c>
      <c r="F140" s="3" t="s">
        <v>252</v>
      </c>
      <c r="G140" s="3" t="s">
        <v>12</v>
      </c>
      <c r="H140" s="17"/>
      <c r="I140" s="4">
        <v>11.8</v>
      </c>
      <c r="J140" s="5">
        <v>0.81599999999999995</v>
      </c>
      <c r="K140" s="48">
        <f>ROUND(LOG10(Table1[[#This Row],[Return (keep sorted by this column!)]]+1),2)</f>
        <v>0.26</v>
      </c>
      <c r="L140" s="48">
        <f>COUNTIF(Table1[Return (keep sorted by this column!)],"&lt;"&amp;Table1[[#This Row],[Return (keep sorted by this column!)]])</f>
        <v>295</v>
      </c>
      <c r="M140" s="14">
        <f>IF(Table1[[#This Row],[Team]]="David",Table1[[#This Row],[Return (keep sorted by this column!)]],"")</f>
        <v>0.81599999999999995</v>
      </c>
      <c r="N140" s="14" t="str">
        <f>IF(Table1[[#This Row],[Team]]="Tom",Table1[[#This Row],[Return (keep sorted by this column!)]],"")</f>
        <v/>
      </c>
      <c r="O140" s="5">
        <v>-0.17199999999999999</v>
      </c>
      <c r="P140" s="23">
        <f>IF(Table1[[#This Row],[Team]]="David",Table1[[#This Row],[S&amp;P Return, same period]],"")</f>
        <v>-0.17199999999999999</v>
      </c>
      <c r="Q140" s="23" t="str">
        <f>IF(Table1[[#This Row],[Team]]="Tom",Table1[[#This Row],[S&amp;P Return, same period]],"")</f>
        <v/>
      </c>
      <c r="R140" s="5">
        <v>0.98799999999999999</v>
      </c>
      <c r="S140" s="14">
        <f>IF(Table1[[#This Row],[Team]]="David",Table1[[#This Row],[Difference Vs. S&amp;P Return]],"")</f>
        <v>0.98799999999999999</v>
      </c>
      <c r="T140" s="14" t="str">
        <f>IF(Table1[[#This Row],[Team]]="Tom",Table1[[#This Row],[Difference Vs. S&amp;P Return]],"")</f>
        <v/>
      </c>
      <c r="U140" s="14">
        <f>ROUND((1+Table1[[#This Row],[Return (keep sorted by this column!)]])/(1+Table1[[#This Row],[S&amp;P Return, same period]])-1,1)</f>
        <v>1.2</v>
      </c>
      <c r="V140" s="15">
        <f>IF(Table1[[#This Row],[Team]]="David",Table1[[#This Row],[Improvement Vs. S&amp;P Return]],"")</f>
        <v>1.2</v>
      </c>
      <c r="W140" s="15" t="str">
        <f>IF(Table1[[#This Row],[Team]]="Tom",Table1[[#This Row],[Improvement Vs. S&amp;P Return]],"")</f>
        <v/>
      </c>
    </row>
    <row r="141" spans="1:23" ht="17" x14ac:dyDescent="0.2">
      <c r="A141" s="18">
        <v>41348</v>
      </c>
      <c r="B141" s="2" t="s">
        <v>348</v>
      </c>
      <c r="C141" s="2">
        <f>SUBTOTAL(103,Table1[[#This Row],[Recommendation Date]])</f>
        <v>1</v>
      </c>
      <c r="D141" s="2">
        <f>1</f>
        <v>1</v>
      </c>
      <c r="E141" s="16" t="s">
        <v>349</v>
      </c>
      <c r="F141" s="3" t="s">
        <v>47</v>
      </c>
      <c r="G141" s="3" t="s">
        <v>12</v>
      </c>
      <c r="H141" s="16">
        <v>14</v>
      </c>
      <c r="I141" s="4">
        <v>41.66</v>
      </c>
      <c r="J141" s="5">
        <v>0.80500000000000005</v>
      </c>
      <c r="K141" s="48">
        <f>ROUND(LOG10(Table1[[#This Row],[Return (keep sorted by this column!)]]+1),2)</f>
        <v>0.26</v>
      </c>
      <c r="L141" s="48">
        <f>COUNTIF(Table1[Return (keep sorted by this column!)],"&lt;"&amp;Table1[[#This Row],[Return (keep sorted by this column!)]])</f>
        <v>294</v>
      </c>
      <c r="M141" s="76">
        <f>IF(Table1[[#This Row],[Team]]="David",Table1[[#This Row],[Return (keep sorted by this column!)]],"")</f>
        <v>0.80500000000000005</v>
      </c>
      <c r="N141" s="76" t="str">
        <f>IF(Table1[[#This Row],[Team]]="Tom",Table1[[#This Row],[Return (keep sorted by this column!)]],"")</f>
        <v/>
      </c>
      <c r="O141" s="5">
        <v>1.03</v>
      </c>
      <c r="P141" s="68">
        <f>IF(Table1[[#This Row],[Team]]="David",Table1[[#This Row],[S&amp;P Return, same period]],"")</f>
        <v>1.03</v>
      </c>
      <c r="Q141" s="68" t="str">
        <f>IF(Table1[[#This Row],[Team]]="Tom",Table1[[#This Row],[S&amp;P Return, same period]],"")</f>
        <v/>
      </c>
      <c r="R141" s="5">
        <v>-0.22500000000000001</v>
      </c>
      <c r="S141" s="14">
        <f>IF(Table1[[#This Row],[Team]]="David",Table1[[#This Row],[Difference Vs. S&amp;P Return]],"")</f>
        <v>-0.22500000000000001</v>
      </c>
      <c r="T141" s="14" t="str">
        <f>IF(Table1[[#This Row],[Team]]="Tom",Table1[[#This Row],[Difference Vs. S&amp;P Return]],"")</f>
        <v/>
      </c>
      <c r="U141" s="14">
        <f>ROUND((1+Table1[[#This Row],[Return (keep sorted by this column!)]])/(1+Table1[[#This Row],[S&amp;P Return, same period]])-1,1)</f>
        <v>-0.1</v>
      </c>
      <c r="V141" s="15">
        <f>IF(Table1[[#This Row],[Team]]="David",Table1[[#This Row],[Improvement Vs. S&amp;P Return]],"")</f>
        <v>-0.1</v>
      </c>
      <c r="W141" s="15" t="str">
        <f>IF(Table1[[#This Row],[Team]]="Tom",Table1[[#This Row],[Improvement Vs. S&amp;P Return]],"")</f>
        <v/>
      </c>
    </row>
    <row r="142" spans="1:23" ht="30" x14ac:dyDescent="0.2">
      <c r="A142" s="18">
        <v>41045</v>
      </c>
      <c r="B142" s="2" t="s">
        <v>380</v>
      </c>
      <c r="C142" s="2">
        <f>SUBTOTAL(103,Table1[[#This Row],[Recommendation Date]])</f>
        <v>1</v>
      </c>
      <c r="D142" s="2">
        <f>1</f>
        <v>1</v>
      </c>
      <c r="E142" s="16" t="s">
        <v>381</v>
      </c>
      <c r="F142" s="3" t="s">
        <v>41</v>
      </c>
      <c r="G142" s="3" t="s">
        <v>8</v>
      </c>
      <c r="H142" s="17"/>
      <c r="I142" s="4">
        <v>24.76</v>
      </c>
      <c r="J142" s="5">
        <v>0.80400000000000005</v>
      </c>
      <c r="K142" s="48">
        <f>ROUND(LOG10(Table1[[#This Row],[Return (keep sorted by this column!)]]+1),2)</f>
        <v>0.26</v>
      </c>
      <c r="L142" s="48">
        <f>COUNTIF(Table1[Return (keep sorted by this column!)],"&lt;"&amp;Table1[[#This Row],[Return (keep sorted by this column!)]])</f>
        <v>293</v>
      </c>
      <c r="M142" s="76" t="str">
        <f>IF(Table1[[#This Row],[Team]]="David",Table1[[#This Row],[Return (keep sorted by this column!)]],"")</f>
        <v/>
      </c>
      <c r="N142" s="76">
        <f>IF(Table1[[#This Row],[Team]]="Tom",Table1[[#This Row],[Return (keep sorted by this column!)]],"")</f>
        <v>0.80400000000000005</v>
      </c>
      <c r="O142" s="5">
        <v>1.4379999999999999</v>
      </c>
      <c r="P142" s="68" t="str">
        <f>IF(Table1[[#This Row],[Team]]="David",Table1[[#This Row],[S&amp;P Return, same period]],"")</f>
        <v/>
      </c>
      <c r="Q142" s="68">
        <f>IF(Table1[[#This Row],[Team]]="Tom",Table1[[#This Row],[S&amp;P Return, same period]],"")</f>
        <v>1.4379999999999999</v>
      </c>
      <c r="R142" s="5">
        <v>-0.63400000000000001</v>
      </c>
      <c r="S142" s="14" t="str">
        <f>IF(Table1[[#This Row],[Team]]="David",Table1[[#This Row],[Difference Vs. S&amp;P Return]],"")</f>
        <v/>
      </c>
      <c r="T142" s="14">
        <f>IF(Table1[[#This Row],[Team]]="Tom",Table1[[#This Row],[Difference Vs. S&amp;P Return]],"")</f>
        <v>-0.63400000000000001</v>
      </c>
      <c r="U142" s="14">
        <f>ROUND((1+Table1[[#This Row],[Return (keep sorted by this column!)]])/(1+Table1[[#This Row],[S&amp;P Return, same period]])-1,1)</f>
        <v>-0.3</v>
      </c>
      <c r="V142" s="15" t="str">
        <f>IF(Table1[[#This Row],[Team]]="David",Table1[[#This Row],[Improvement Vs. S&amp;P Return]],"")</f>
        <v/>
      </c>
      <c r="W142" s="15">
        <f>IF(Table1[[#This Row],[Team]]="Tom",Table1[[#This Row],[Improvement Vs. S&amp;P Return]],"")</f>
        <v>-0.3</v>
      </c>
    </row>
    <row r="143" spans="1:23" ht="17" x14ac:dyDescent="0.2">
      <c r="A143" s="18">
        <v>42566</v>
      </c>
      <c r="B143" s="2" t="s">
        <v>198</v>
      </c>
      <c r="C143" s="2">
        <f>SUBTOTAL(103,Table1[[#This Row],[Recommendation Date]])</f>
        <v>1</v>
      </c>
      <c r="D143" s="2">
        <f>1</f>
        <v>1</v>
      </c>
      <c r="E143" s="16" t="s">
        <v>199</v>
      </c>
      <c r="F143" s="3" t="s">
        <v>200</v>
      </c>
      <c r="G143" s="3" t="s">
        <v>12</v>
      </c>
      <c r="H143" s="16">
        <v>12</v>
      </c>
      <c r="I143" s="4">
        <v>44.41</v>
      </c>
      <c r="J143" s="5">
        <v>0.79600000000000004</v>
      </c>
      <c r="K143" s="48">
        <f>ROUND(LOG10(Table1[[#This Row],[Return (keep sorted by this column!)]]+1),2)</f>
        <v>0.25</v>
      </c>
      <c r="L143" s="48">
        <f>COUNTIF(Table1[Return (keep sorted by this column!)],"&lt;"&amp;Table1[[#This Row],[Return (keep sorted by this column!)]])</f>
        <v>292</v>
      </c>
      <c r="M143" s="76">
        <f>IF(Table1[[#This Row],[Team]]="David",Table1[[#This Row],[Return (keep sorted by this column!)]],"")</f>
        <v>0.79600000000000004</v>
      </c>
      <c r="N143" s="76" t="str">
        <f>IF(Table1[[#This Row],[Team]]="Tom",Table1[[#This Row],[Return (keep sorted by this column!)]],"")</f>
        <v/>
      </c>
      <c r="O143" s="5">
        <v>0.36699999999999999</v>
      </c>
      <c r="P143" s="68">
        <f>IF(Table1[[#This Row],[Team]]="David",Table1[[#This Row],[S&amp;P Return, same period]],"")</f>
        <v>0.36699999999999999</v>
      </c>
      <c r="Q143" s="68" t="str">
        <f>IF(Table1[[#This Row],[Team]]="Tom",Table1[[#This Row],[S&amp;P Return, same period]],"")</f>
        <v/>
      </c>
      <c r="R143" s="5">
        <v>0.42899999999999999</v>
      </c>
      <c r="S143" s="14">
        <f>IF(Table1[[#This Row],[Team]]="David",Table1[[#This Row],[Difference Vs. S&amp;P Return]],"")</f>
        <v>0.42899999999999999</v>
      </c>
      <c r="T143" s="14" t="str">
        <f>IF(Table1[[#This Row],[Team]]="Tom",Table1[[#This Row],[Difference Vs. S&amp;P Return]],"")</f>
        <v/>
      </c>
      <c r="U143" s="14">
        <f>ROUND((1+Table1[[#This Row],[Return (keep sorted by this column!)]])/(1+Table1[[#This Row],[S&amp;P Return, same period]])-1,1)</f>
        <v>0.3</v>
      </c>
      <c r="V143" s="15">
        <f>IF(Table1[[#This Row],[Team]]="David",Table1[[#This Row],[Improvement Vs. S&amp;P Return]],"")</f>
        <v>0.3</v>
      </c>
      <c r="W143" s="15" t="str">
        <f>IF(Table1[[#This Row],[Team]]="Tom",Table1[[#This Row],[Improvement Vs. S&amp;P Return]],"")</f>
        <v/>
      </c>
    </row>
    <row r="144" spans="1:23" ht="30" x14ac:dyDescent="0.2">
      <c r="A144" s="18">
        <v>39157</v>
      </c>
      <c r="B144" s="2" t="s">
        <v>587</v>
      </c>
      <c r="C144" s="2">
        <f>SUBTOTAL(103,Table1[[#This Row],[Recommendation Date]])</f>
        <v>1</v>
      </c>
      <c r="D144" s="2">
        <f>1</f>
        <v>1</v>
      </c>
      <c r="E144" s="16" t="s">
        <v>588</v>
      </c>
      <c r="F144" s="3" t="s">
        <v>15</v>
      </c>
      <c r="G144" s="3" t="s">
        <v>8</v>
      </c>
      <c r="H144" s="17"/>
      <c r="I144" s="4">
        <v>32.340000000000003</v>
      </c>
      <c r="J144" s="5">
        <v>0.77300000000000002</v>
      </c>
      <c r="K144" s="48">
        <f>ROUND(LOG10(Table1[[#This Row],[Return (keep sorted by this column!)]]+1),2)</f>
        <v>0.25</v>
      </c>
      <c r="L144" s="48">
        <f>COUNTIF(Table1[Return (keep sorted by this column!)],"&lt;"&amp;Table1[[#This Row],[Return (keep sorted by this column!)]])</f>
        <v>291</v>
      </c>
      <c r="M144" s="14" t="str">
        <f>IF(Table1[[#This Row],[Team]]="David",Table1[[#This Row],[Return (keep sorted by this column!)]],"")</f>
        <v/>
      </c>
      <c r="N144" s="14">
        <f>IF(Table1[[#This Row],[Team]]="Tom",Table1[[#This Row],[Return (keep sorted by this column!)]],"")</f>
        <v>0.77300000000000002</v>
      </c>
      <c r="O144" s="5">
        <v>1.6040000000000001</v>
      </c>
      <c r="P144" s="23" t="str">
        <f>IF(Table1[[#This Row],[Team]]="David",Table1[[#This Row],[S&amp;P Return, same period]],"")</f>
        <v/>
      </c>
      <c r="Q144" s="23">
        <f>IF(Table1[[#This Row],[Team]]="Tom",Table1[[#This Row],[S&amp;P Return, same period]],"")</f>
        <v>1.6040000000000001</v>
      </c>
      <c r="R144" s="5">
        <v>-0.83099999999999996</v>
      </c>
      <c r="S144" s="14" t="str">
        <f>IF(Table1[[#This Row],[Team]]="David",Table1[[#This Row],[Difference Vs. S&amp;P Return]],"")</f>
        <v/>
      </c>
      <c r="T144" s="14">
        <f>IF(Table1[[#This Row],[Team]]="Tom",Table1[[#This Row],[Difference Vs. S&amp;P Return]],"")</f>
        <v>-0.83099999999999996</v>
      </c>
      <c r="U144" s="14">
        <f>ROUND((1+Table1[[#This Row],[Return (keep sorted by this column!)]])/(1+Table1[[#This Row],[S&amp;P Return, same period]])-1,1)</f>
        <v>-0.3</v>
      </c>
      <c r="V144" s="15" t="str">
        <f>IF(Table1[[#This Row],[Team]]="David",Table1[[#This Row],[Improvement Vs. S&amp;P Return]],"")</f>
        <v/>
      </c>
      <c r="W144" s="15">
        <f>IF(Table1[[#This Row],[Team]]="Tom",Table1[[#This Row],[Improvement Vs. S&amp;P Return]],"")</f>
        <v>-0.3</v>
      </c>
    </row>
    <row r="145" spans="1:23" ht="60" x14ac:dyDescent="0.2">
      <c r="A145" s="1">
        <v>38548</v>
      </c>
      <c r="B145" s="2" t="s">
        <v>465</v>
      </c>
      <c r="C145" s="2">
        <f>SUBTOTAL(103,Table1[[#This Row],[Recommendation Date]])</f>
        <v>1</v>
      </c>
      <c r="D145" s="2">
        <f>1</f>
        <v>1</v>
      </c>
      <c r="E145" s="16" t="s">
        <v>466</v>
      </c>
      <c r="F145" s="3" t="s">
        <v>252</v>
      </c>
      <c r="G145" s="3" t="s">
        <v>12</v>
      </c>
      <c r="H145" s="17"/>
      <c r="I145" s="4">
        <v>23</v>
      </c>
      <c r="J145" s="5">
        <v>0.77</v>
      </c>
      <c r="K145" s="48">
        <f>ROUND(LOG10(Table1[[#This Row],[Return (keep sorted by this column!)]]+1),2)</f>
        <v>0.25</v>
      </c>
      <c r="L145" s="48">
        <f>COUNTIF(Table1[Return (keep sorted by this column!)],"&lt;"&amp;Table1[[#This Row],[Return (keep sorted by this column!)]])</f>
        <v>290</v>
      </c>
      <c r="M145" s="14">
        <f>IF(Table1[[#This Row],[Team]]="David",Table1[[#This Row],[Return (keep sorted by this column!)]],"")</f>
        <v>0.77</v>
      </c>
      <c r="N145" s="14" t="str">
        <f>IF(Table1[[#This Row],[Team]]="Tom",Table1[[#This Row],[Return (keep sorted by this column!)]],"")</f>
        <v/>
      </c>
      <c r="O145" s="5">
        <v>1.054</v>
      </c>
      <c r="P145" s="23">
        <f>IF(Table1[[#This Row],[Team]]="David",Table1[[#This Row],[S&amp;P Return, same period]],"")</f>
        <v>1.054</v>
      </c>
      <c r="Q145" s="23" t="str">
        <f>IF(Table1[[#This Row],[Team]]="Tom",Table1[[#This Row],[S&amp;P Return, same period]],"")</f>
        <v/>
      </c>
      <c r="R145" s="5">
        <v>-0.28299999999999997</v>
      </c>
      <c r="S145" s="14">
        <f>IF(Table1[[#This Row],[Team]]="David",Table1[[#This Row],[Difference Vs. S&amp;P Return]],"")</f>
        <v>-0.28299999999999997</v>
      </c>
      <c r="T145" s="14" t="str">
        <f>IF(Table1[[#This Row],[Team]]="Tom",Table1[[#This Row],[Difference Vs. S&amp;P Return]],"")</f>
        <v/>
      </c>
      <c r="U145" s="14">
        <f>ROUND((1+Table1[[#This Row],[Return (keep sorted by this column!)]])/(1+Table1[[#This Row],[S&amp;P Return, same period]])-1,1)</f>
        <v>-0.1</v>
      </c>
      <c r="V145" s="15">
        <f>IF(Table1[[#This Row],[Team]]="David",Table1[[#This Row],[Improvement Vs. S&amp;P Return]],"")</f>
        <v>-0.1</v>
      </c>
      <c r="W145" s="15" t="str">
        <f>IF(Table1[[#This Row],[Team]]="Tom",Table1[[#This Row],[Improvement Vs. S&amp;P Return]],"")</f>
        <v/>
      </c>
    </row>
    <row r="146" spans="1:23" ht="17" x14ac:dyDescent="0.2">
      <c r="A146" s="18">
        <v>40802</v>
      </c>
      <c r="B146" s="2" t="s">
        <v>403</v>
      </c>
      <c r="C146" s="2">
        <f>SUBTOTAL(103,Table1[[#This Row],[Recommendation Date]])</f>
        <v>1</v>
      </c>
      <c r="D146" s="2">
        <f>1</f>
        <v>1</v>
      </c>
      <c r="E146" s="16" t="s">
        <v>404</v>
      </c>
      <c r="F146" s="3" t="s">
        <v>298</v>
      </c>
      <c r="G146" s="3" t="s">
        <v>12</v>
      </c>
      <c r="H146" s="16">
        <v>9</v>
      </c>
      <c r="I146" s="4">
        <v>78.81</v>
      </c>
      <c r="J146" s="5">
        <v>0.76700000000000002</v>
      </c>
      <c r="K146" s="48">
        <f>ROUND(LOG10(Table1[[#This Row],[Return (keep sorted by this column!)]]+1),2)</f>
        <v>0.25</v>
      </c>
      <c r="L146" s="48">
        <f>COUNTIF(Table1[Return (keep sorted by this column!)],"&lt;"&amp;Table1[[#This Row],[Return (keep sorted by this column!)]])</f>
        <v>289</v>
      </c>
      <c r="M146" s="76">
        <f>IF(Table1[[#This Row],[Team]]="David",Table1[[#This Row],[Return (keep sorted by this column!)]],"")</f>
        <v>0.76700000000000002</v>
      </c>
      <c r="N146" s="76" t="str">
        <f>IF(Table1[[#This Row],[Team]]="Tom",Table1[[#This Row],[Return (keep sorted by this column!)]],"")</f>
        <v/>
      </c>
      <c r="O146" s="5">
        <v>1.696</v>
      </c>
      <c r="P146" s="68">
        <f>IF(Table1[[#This Row],[Team]]="David",Table1[[#This Row],[S&amp;P Return, same period]],"")</f>
        <v>1.696</v>
      </c>
      <c r="Q146" s="68" t="str">
        <f>IF(Table1[[#This Row],[Team]]="Tom",Table1[[#This Row],[S&amp;P Return, same period]],"")</f>
        <v/>
      </c>
      <c r="R146" s="5">
        <v>-0.92900000000000005</v>
      </c>
      <c r="S146" s="14">
        <f>IF(Table1[[#This Row],[Team]]="David",Table1[[#This Row],[Difference Vs. S&amp;P Return]],"")</f>
        <v>-0.92900000000000005</v>
      </c>
      <c r="T146" s="14" t="str">
        <f>IF(Table1[[#This Row],[Team]]="Tom",Table1[[#This Row],[Difference Vs. S&amp;P Return]],"")</f>
        <v/>
      </c>
      <c r="U146" s="14">
        <f>ROUND((1+Table1[[#This Row],[Return (keep sorted by this column!)]])/(1+Table1[[#This Row],[S&amp;P Return, same period]])-1,1)</f>
        <v>-0.3</v>
      </c>
      <c r="V146" s="15">
        <f>IF(Table1[[#This Row],[Team]]="David",Table1[[#This Row],[Improvement Vs. S&amp;P Return]],"")</f>
        <v>-0.3</v>
      </c>
      <c r="W146" s="15" t="str">
        <f>IF(Table1[[#This Row],[Team]]="Tom",Table1[[#This Row],[Improvement Vs. S&amp;P Return]],"")</f>
        <v/>
      </c>
    </row>
    <row r="147" spans="1:23" ht="17" x14ac:dyDescent="0.2">
      <c r="A147" s="18">
        <v>42755</v>
      </c>
      <c r="B147" s="2" t="s">
        <v>174</v>
      </c>
      <c r="C147" s="2">
        <f>SUBTOTAL(103,Table1[[#This Row],[Recommendation Date]])</f>
        <v>1</v>
      </c>
      <c r="D147" s="2">
        <f>1</f>
        <v>1</v>
      </c>
      <c r="E147" s="16" t="s">
        <v>175</v>
      </c>
      <c r="F147" s="3" t="s">
        <v>71</v>
      </c>
      <c r="G147" s="3" t="s">
        <v>8</v>
      </c>
      <c r="H147" s="17"/>
      <c r="I147" s="4">
        <v>21.8</v>
      </c>
      <c r="J147" s="5">
        <v>0.75600000000000001</v>
      </c>
      <c r="K147" s="48">
        <f>ROUND(LOG10(Table1[[#This Row],[Return (keep sorted by this column!)]]+1),2)</f>
        <v>0.24</v>
      </c>
      <c r="L147" s="48">
        <f>COUNTIF(Table1[Return (keep sorted by this column!)],"&lt;"&amp;Table1[[#This Row],[Return (keep sorted by this column!)]])</f>
        <v>288</v>
      </c>
      <c r="M147" s="76" t="str">
        <f>IF(Table1[[#This Row],[Team]]="David",Table1[[#This Row],[Return (keep sorted by this column!)]],"")</f>
        <v/>
      </c>
      <c r="N147" s="76">
        <f>IF(Table1[[#This Row],[Team]]="Tom",Table1[[#This Row],[Return (keep sorted by this column!)]],"")</f>
        <v>0.75600000000000001</v>
      </c>
      <c r="O147" s="5">
        <v>0.28699999999999998</v>
      </c>
      <c r="P147" s="68" t="str">
        <f>IF(Table1[[#This Row],[Team]]="David",Table1[[#This Row],[S&amp;P Return, same period]],"")</f>
        <v/>
      </c>
      <c r="Q147" s="68">
        <f>IF(Table1[[#This Row],[Team]]="Tom",Table1[[#This Row],[S&amp;P Return, same period]],"")</f>
        <v>0.28699999999999998</v>
      </c>
      <c r="R147" s="5">
        <v>0.46899999999999997</v>
      </c>
      <c r="S147" s="14" t="str">
        <f>IF(Table1[[#This Row],[Team]]="David",Table1[[#This Row],[Difference Vs. S&amp;P Return]],"")</f>
        <v/>
      </c>
      <c r="T147" s="14">
        <f>IF(Table1[[#This Row],[Team]]="Tom",Table1[[#This Row],[Difference Vs. S&amp;P Return]],"")</f>
        <v>0.46899999999999997</v>
      </c>
      <c r="U147" s="14">
        <f>ROUND((1+Table1[[#This Row],[Return (keep sorted by this column!)]])/(1+Table1[[#This Row],[S&amp;P Return, same period]])-1,1)</f>
        <v>0.4</v>
      </c>
      <c r="V147" s="15" t="str">
        <f>IF(Table1[[#This Row],[Team]]="David",Table1[[#This Row],[Improvement Vs. S&amp;P Return]],"")</f>
        <v/>
      </c>
      <c r="W147" s="15">
        <f>IF(Table1[[#This Row],[Team]]="Tom",Table1[[#This Row],[Improvement Vs. S&amp;P Return]],"")</f>
        <v>0.4</v>
      </c>
    </row>
    <row r="148" spans="1:23" ht="60" x14ac:dyDescent="0.2">
      <c r="A148" s="1">
        <v>40956</v>
      </c>
      <c r="B148" s="2" t="s">
        <v>303</v>
      </c>
      <c r="C148" s="2">
        <f>SUBTOTAL(103,Table1[[#This Row],[Recommendation Date]])</f>
        <v>1</v>
      </c>
      <c r="D148" s="2">
        <f>1</f>
        <v>1</v>
      </c>
      <c r="E148" s="16" t="s">
        <v>304</v>
      </c>
      <c r="F148" s="3" t="s">
        <v>305</v>
      </c>
      <c r="G148" s="3" t="s">
        <v>8</v>
      </c>
      <c r="H148" s="17"/>
      <c r="I148" s="4">
        <v>6.34</v>
      </c>
      <c r="J148" s="5">
        <v>0.74199999999999999</v>
      </c>
      <c r="K148" s="48">
        <f>ROUND(LOG10(Table1[[#This Row],[Return (keep sorted by this column!)]]+1),2)</f>
        <v>0.24</v>
      </c>
      <c r="L148" s="48">
        <f>COUNTIF(Table1[Return (keep sorted by this column!)],"&lt;"&amp;Table1[[#This Row],[Return (keep sorted by this column!)]])</f>
        <v>287</v>
      </c>
      <c r="M148" s="76" t="str">
        <f>IF(Table1[[#This Row],[Team]]="David",Table1[[#This Row],[Return (keep sorted by this column!)]],"")</f>
        <v/>
      </c>
      <c r="N148" s="76">
        <f>IF(Table1[[#This Row],[Team]]="Tom",Table1[[#This Row],[Return (keep sorted by this column!)]],"")</f>
        <v>0.74199999999999999</v>
      </c>
      <c r="O148" s="5">
        <v>1.284</v>
      </c>
      <c r="P148" s="68" t="str">
        <f>IF(Table1[[#This Row],[Team]]="David",Table1[[#This Row],[S&amp;P Return, same period]],"")</f>
        <v/>
      </c>
      <c r="Q148" s="68">
        <f>IF(Table1[[#This Row],[Team]]="Tom",Table1[[#This Row],[S&amp;P Return, same period]],"")</f>
        <v>1.284</v>
      </c>
      <c r="R148" s="5">
        <v>-0.54300000000000004</v>
      </c>
      <c r="S148" s="14" t="str">
        <f>IF(Table1[[#This Row],[Team]]="David",Table1[[#This Row],[Difference Vs. S&amp;P Return]],"")</f>
        <v/>
      </c>
      <c r="T148" s="14">
        <f>IF(Table1[[#This Row],[Team]]="Tom",Table1[[#This Row],[Difference Vs. S&amp;P Return]],"")</f>
        <v>-0.54300000000000004</v>
      </c>
      <c r="U148" s="14">
        <f>ROUND((1+Table1[[#This Row],[Return (keep sorted by this column!)]])/(1+Table1[[#This Row],[S&amp;P Return, same period]])-1,1)</f>
        <v>-0.2</v>
      </c>
      <c r="V148" s="15" t="str">
        <f>IF(Table1[[#This Row],[Team]]="David",Table1[[#This Row],[Improvement Vs. S&amp;P Return]],"")</f>
        <v/>
      </c>
      <c r="W148" s="15">
        <f>IF(Table1[[#This Row],[Team]]="Tom",Table1[[#This Row],[Improvement Vs. S&amp;P Return]],"")</f>
        <v>-0.2</v>
      </c>
    </row>
    <row r="149" spans="1:23" ht="60" x14ac:dyDescent="0.2">
      <c r="A149" s="1">
        <v>37505</v>
      </c>
      <c r="B149" s="2" t="s">
        <v>729</v>
      </c>
      <c r="C149" s="2">
        <f>SUBTOTAL(103,Table1[[#This Row],[Recommendation Date]])</f>
        <v>1</v>
      </c>
      <c r="D149" s="2">
        <f>1</f>
        <v>1</v>
      </c>
      <c r="E149" s="16" t="s">
        <v>730</v>
      </c>
      <c r="F149" s="3" t="s">
        <v>66</v>
      </c>
      <c r="G149" s="3" t="s">
        <v>8</v>
      </c>
      <c r="H149" s="17"/>
      <c r="I149" s="4">
        <v>11.44</v>
      </c>
      <c r="J149" s="5">
        <v>0.74099999999999999</v>
      </c>
      <c r="K149" s="48">
        <f>ROUND(LOG10(Table1[[#This Row],[Return (keep sorted by this column!)]]+1),2)</f>
        <v>0.24</v>
      </c>
      <c r="L149" s="48">
        <f>COUNTIF(Table1[Return (keep sorted by this column!)],"&lt;"&amp;Table1[[#This Row],[Return (keep sorted by this column!)]])</f>
        <v>286</v>
      </c>
      <c r="M149" s="14" t="str">
        <f>IF(Table1[[#This Row],[Team]]="David",Table1[[#This Row],[Return (keep sorted by this column!)]],"")</f>
        <v/>
      </c>
      <c r="N149" s="14">
        <f>IF(Table1[[#This Row],[Team]]="Tom",Table1[[#This Row],[Return (keep sorted by this column!)]],"")</f>
        <v>0.74099999999999999</v>
      </c>
      <c r="O149" s="5">
        <v>0.13900000000000001</v>
      </c>
      <c r="P149" s="23" t="str">
        <f>IF(Table1[[#This Row],[Team]]="David",Table1[[#This Row],[S&amp;P Return, same period]],"")</f>
        <v/>
      </c>
      <c r="Q149" s="23">
        <f>IF(Table1[[#This Row],[Team]]="Tom",Table1[[#This Row],[S&amp;P Return, same period]],"")</f>
        <v>0.13900000000000001</v>
      </c>
      <c r="R149" s="5">
        <v>0.60199999999999998</v>
      </c>
      <c r="S149" s="14" t="str">
        <f>IF(Table1[[#This Row],[Team]]="David",Table1[[#This Row],[Difference Vs. S&amp;P Return]],"")</f>
        <v/>
      </c>
      <c r="T149" s="14">
        <f>IF(Table1[[#This Row],[Team]]="Tom",Table1[[#This Row],[Difference Vs. S&amp;P Return]],"")</f>
        <v>0.60199999999999998</v>
      </c>
      <c r="U149" s="14">
        <f>ROUND((1+Table1[[#This Row],[Return (keep sorted by this column!)]])/(1+Table1[[#This Row],[S&amp;P Return, same period]])-1,1)</f>
        <v>0.5</v>
      </c>
      <c r="V149" s="15" t="str">
        <f>IF(Table1[[#This Row],[Team]]="David",Table1[[#This Row],[Improvement Vs. S&amp;P Return]],"")</f>
        <v/>
      </c>
      <c r="W149" s="15">
        <f>IF(Table1[[#This Row],[Team]]="Tom",Table1[[#This Row],[Improvement Vs. S&amp;P Return]],"")</f>
        <v>0.5</v>
      </c>
    </row>
    <row r="150" spans="1:23" ht="30" x14ac:dyDescent="0.2">
      <c r="A150" s="18">
        <v>42419</v>
      </c>
      <c r="B150" s="2" t="s">
        <v>219</v>
      </c>
      <c r="C150" s="2">
        <f>SUBTOTAL(103,Table1[[#This Row],[Recommendation Date]])</f>
        <v>1</v>
      </c>
      <c r="D150" s="2">
        <f>1</f>
        <v>1</v>
      </c>
      <c r="E150" s="16" t="s">
        <v>220</v>
      </c>
      <c r="F150" s="3" t="s">
        <v>221</v>
      </c>
      <c r="G150" s="3" t="s">
        <v>8</v>
      </c>
      <c r="H150" s="17"/>
      <c r="I150" s="4">
        <v>700.91</v>
      </c>
      <c r="J150" s="5">
        <v>0.73399999999999999</v>
      </c>
      <c r="K150" s="48">
        <f>ROUND(LOG10(Table1[[#This Row],[Return (keep sorted by this column!)]]+1),2)</f>
        <v>0.24</v>
      </c>
      <c r="L150" s="48">
        <f>COUNTIF(Table1[Return (keep sorted by this column!)],"&lt;"&amp;Table1[[#This Row],[Return (keep sorted by this column!)]])</f>
        <v>285</v>
      </c>
      <c r="M150" s="76" t="str">
        <f>IF(Table1[[#This Row],[Team]]="David",Table1[[#This Row],[Return (keep sorted by this column!)]],"")</f>
        <v/>
      </c>
      <c r="N150" s="76">
        <f>IF(Table1[[#This Row],[Team]]="Tom",Table1[[#This Row],[Return (keep sorted by this column!)]],"")</f>
        <v>0.73399999999999999</v>
      </c>
      <c r="O150" s="5">
        <v>0.55400000000000005</v>
      </c>
      <c r="P150" s="68" t="str">
        <f>IF(Table1[[#This Row],[Team]]="David",Table1[[#This Row],[S&amp;P Return, same period]],"")</f>
        <v/>
      </c>
      <c r="Q150" s="68">
        <f>IF(Table1[[#This Row],[Team]]="Tom",Table1[[#This Row],[S&amp;P Return, same period]],"")</f>
        <v>0.55400000000000005</v>
      </c>
      <c r="R150" s="5">
        <v>0.18</v>
      </c>
      <c r="S150" s="14" t="str">
        <f>IF(Table1[[#This Row],[Team]]="David",Table1[[#This Row],[Difference Vs. S&amp;P Return]],"")</f>
        <v/>
      </c>
      <c r="T150" s="14">
        <f>IF(Table1[[#This Row],[Team]]="Tom",Table1[[#This Row],[Difference Vs. S&amp;P Return]],"")</f>
        <v>0.18</v>
      </c>
      <c r="U150" s="14">
        <f>ROUND((1+Table1[[#This Row],[Return (keep sorted by this column!)]])/(1+Table1[[#This Row],[S&amp;P Return, same period]])-1,1)</f>
        <v>0.1</v>
      </c>
      <c r="V150" s="15" t="str">
        <f>IF(Table1[[#This Row],[Team]]="David",Table1[[#This Row],[Improvement Vs. S&amp;P Return]],"")</f>
        <v/>
      </c>
      <c r="W150" s="15">
        <f>IF(Table1[[#This Row],[Team]]="Tom",Table1[[#This Row],[Improvement Vs. S&amp;P Return]],"")</f>
        <v>0.1</v>
      </c>
    </row>
    <row r="151" spans="1:23" ht="45" x14ac:dyDescent="0.2">
      <c r="A151" s="1">
        <v>39983</v>
      </c>
      <c r="B151" s="2" t="s">
        <v>506</v>
      </c>
      <c r="C151" s="2">
        <f>SUBTOTAL(103,Table1[[#This Row],[Recommendation Date]])</f>
        <v>1</v>
      </c>
      <c r="D151" s="2">
        <f>1</f>
        <v>1</v>
      </c>
      <c r="E151" s="16" t="s">
        <v>507</v>
      </c>
      <c r="F151" s="3" t="s">
        <v>252</v>
      </c>
      <c r="G151" s="3" t="s">
        <v>12</v>
      </c>
      <c r="H151" s="17"/>
      <c r="I151" s="4">
        <v>12.37</v>
      </c>
      <c r="J151" s="5">
        <v>0.73199999999999998</v>
      </c>
      <c r="K151" s="48">
        <f>ROUND(LOG10(Table1[[#This Row],[Return (keep sorted by this column!)]]+1),2)</f>
        <v>0.24</v>
      </c>
      <c r="L151" s="48">
        <f>COUNTIF(Table1[Return (keep sorted by this column!)],"&lt;"&amp;Table1[[#This Row],[Return (keep sorted by this column!)]])</f>
        <v>284</v>
      </c>
      <c r="M151" s="14">
        <f>IF(Table1[[#This Row],[Team]]="David",Table1[[#This Row],[Return (keep sorted by this column!)]],"")</f>
        <v>0.73199999999999998</v>
      </c>
      <c r="N151" s="14" t="str">
        <f>IF(Table1[[#This Row],[Team]]="Tom",Table1[[#This Row],[Return (keep sorted by this column!)]],"")</f>
        <v/>
      </c>
      <c r="O151" s="5">
        <v>0.189</v>
      </c>
      <c r="P151" s="23">
        <f>IF(Table1[[#This Row],[Team]]="David",Table1[[#This Row],[S&amp;P Return, same period]],"")</f>
        <v>0.189</v>
      </c>
      <c r="Q151" s="23" t="str">
        <f>IF(Table1[[#This Row],[Team]]="Tom",Table1[[#This Row],[S&amp;P Return, same period]],"")</f>
        <v/>
      </c>
      <c r="R151" s="5">
        <v>0.54400000000000004</v>
      </c>
      <c r="S151" s="14">
        <f>IF(Table1[[#This Row],[Team]]="David",Table1[[#This Row],[Difference Vs. S&amp;P Return]],"")</f>
        <v>0.54400000000000004</v>
      </c>
      <c r="T151" s="14" t="str">
        <f>IF(Table1[[#This Row],[Team]]="Tom",Table1[[#This Row],[Difference Vs. S&amp;P Return]],"")</f>
        <v/>
      </c>
      <c r="U151" s="14">
        <f>ROUND((1+Table1[[#This Row],[Return (keep sorted by this column!)]])/(1+Table1[[#This Row],[S&amp;P Return, same period]])-1,1)</f>
        <v>0.5</v>
      </c>
      <c r="V151" s="15">
        <f>IF(Table1[[#This Row],[Team]]="David",Table1[[#This Row],[Improvement Vs. S&amp;P Return]],"")</f>
        <v>0.5</v>
      </c>
      <c r="W151" s="15" t="str">
        <f>IF(Table1[[#This Row],[Team]]="Tom",Table1[[#This Row],[Improvement Vs. S&amp;P Return]],"")</f>
        <v/>
      </c>
    </row>
    <row r="152" spans="1:23" ht="17" x14ac:dyDescent="0.2">
      <c r="A152" s="18">
        <v>42447</v>
      </c>
      <c r="B152" s="2" t="s">
        <v>216</v>
      </c>
      <c r="C152" s="2">
        <f>SUBTOTAL(103,Table1[[#This Row],[Recommendation Date]])</f>
        <v>1</v>
      </c>
      <c r="D152" s="2">
        <f>1</f>
        <v>1</v>
      </c>
      <c r="E152" s="16" t="s">
        <v>217</v>
      </c>
      <c r="F152" s="3" t="s">
        <v>218</v>
      </c>
      <c r="G152" s="3" t="s">
        <v>12</v>
      </c>
      <c r="H152" s="16">
        <v>8</v>
      </c>
      <c r="I152" s="4">
        <v>150.24</v>
      </c>
      <c r="J152" s="5">
        <v>0.72899999999999998</v>
      </c>
      <c r="K152" s="48">
        <f>ROUND(LOG10(Table1[[#This Row],[Return (keep sorted by this column!)]]+1),2)</f>
        <v>0.24</v>
      </c>
      <c r="L152" s="48">
        <f>COUNTIF(Table1[Return (keep sorted by this column!)],"&lt;"&amp;Table1[[#This Row],[Return (keep sorted by this column!)]])</f>
        <v>283</v>
      </c>
      <c r="M152" s="76">
        <f>IF(Table1[[#This Row],[Team]]="David",Table1[[#This Row],[Return (keep sorted by this column!)]],"")</f>
        <v>0.72899999999999998</v>
      </c>
      <c r="N152" s="76" t="str">
        <f>IF(Table1[[#This Row],[Team]]="Tom",Table1[[#This Row],[Return (keep sorted by this column!)]],"")</f>
        <v/>
      </c>
      <c r="O152" s="5">
        <v>0.45200000000000001</v>
      </c>
      <c r="P152" s="68">
        <f>IF(Table1[[#This Row],[Team]]="David",Table1[[#This Row],[S&amp;P Return, same period]],"")</f>
        <v>0.45200000000000001</v>
      </c>
      <c r="Q152" s="68" t="str">
        <f>IF(Table1[[#This Row],[Team]]="Tom",Table1[[#This Row],[S&amp;P Return, same period]],"")</f>
        <v/>
      </c>
      <c r="R152" s="5">
        <v>0.27800000000000002</v>
      </c>
      <c r="S152" s="14">
        <f>IF(Table1[[#This Row],[Team]]="David",Table1[[#This Row],[Difference Vs. S&amp;P Return]],"")</f>
        <v>0.27800000000000002</v>
      </c>
      <c r="T152" s="14" t="str">
        <f>IF(Table1[[#This Row],[Team]]="Tom",Table1[[#This Row],[Difference Vs. S&amp;P Return]],"")</f>
        <v/>
      </c>
      <c r="U152" s="14">
        <f>ROUND((1+Table1[[#This Row],[Return (keep sorted by this column!)]])/(1+Table1[[#This Row],[S&amp;P Return, same period]])-1,1)</f>
        <v>0.2</v>
      </c>
      <c r="V152" s="15">
        <f>IF(Table1[[#This Row],[Team]]="David",Table1[[#This Row],[Improvement Vs. S&amp;P Return]],"")</f>
        <v>0.2</v>
      </c>
      <c r="W152" s="15" t="str">
        <f>IF(Table1[[#This Row],[Team]]="Tom",Table1[[#This Row],[Improvement Vs. S&amp;P Return]],"")</f>
        <v/>
      </c>
    </row>
    <row r="153" spans="1:23" ht="45" x14ac:dyDescent="0.2">
      <c r="A153" s="1">
        <v>39892</v>
      </c>
      <c r="B153" s="2" t="s">
        <v>512</v>
      </c>
      <c r="C153" s="2">
        <f>SUBTOTAL(103,Table1[[#This Row],[Recommendation Date]])</f>
        <v>1</v>
      </c>
      <c r="D153" s="2">
        <f>1</f>
        <v>1</v>
      </c>
      <c r="E153" s="16" t="s">
        <v>513</v>
      </c>
      <c r="F153" s="3" t="s">
        <v>36</v>
      </c>
      <c r="G153" s="3" t="s">
        <v>8</v>
      </c>
      <c r="H153" s="17"/>
      <c r="I153" s="4">
        <v>10.65</v>
      </c>
      <c r="J153" s="5">
        <v>0.72799999999999998</v>
      </c>
      <c r="K153" s="48">
        <f>ROUND(LOG10(Table1[[#This Row],[Return (keep sorted by this column!)]]+1),2)</f>
        <v>0.24</v>
      </c>
      <c r="L153" s="48">
        <f>COUNTIF(Table1[Return (keep sorted by this column!)],"&lt;"&amp;Table1[[#This Row],[Return (keep sorted by this column!)]])</f>
        <v>282</v>
      </c>
      <c r="M153" s="14" t="str">
        <f>IF(Table1[[#This Row],[Team]]="David",Table1[[#This Row],[Return (keep sorted by this column!)]],"")</f>
        <v/>
      </c>
      <c r="N153" s="14">
        <f>IF(Table1[[#This Row],[Team]]="Tom",Table1[[#This Row],[Return (keep sorted by this column!)]],"")</f>
        <v>0.72799999999999998</v>
      </c>
      <c r="O153" s="5">
        <v>2.048</v>
      </c>
      <c r="P153" s="23" t="str">
        <f>IF(Table1[[#This Row],[Team]]="David",Table1[[#This Row],[S&amp;P Return, same period]],"")</f>
        <v/>
      </c>
      <c r="Q153" s="23">
        <f>IF(Table1[[#This Row],[Team]]="Tom",Table1[[#This Row],[S&amp;P Return, same period]],"")</f>
        <v>2.048</v>
      </c>
      <c r="R153" s="5">
        <v>-1.32</v>
      </c>
      <c r="S153" s="14" t="str">
        <f>IF(Table1[[#This Row],[Team]]="David",Table1[[#This Row],[Difference Vs. S&amp;P Return]],"")</f>
        <v/>
      </c>
      <c r="T153" s="14">
        <f>IF(Table1[[#This Row],[Team]]="Tom",Table1[[#This Row],[Difference Vs. S&amp;P Return]],"")</f>
        <v>-1.32</v>
      </c>
      <c r="U153" s="14">
        <f>ROUND((1+Table1[[#This Row],[Return (keep sorted by this column!)]])/(1+Table1[[#This Row],[S&amp;P Return, same period]])-1,1)</f>
        <v>-0.4</v>
      </c>
      <c r="V153" s="15" t="str">
        <f>IF(Table1[[#This Row],[Team]]="David",Table1[[#This Row],[Improvement Vs. S&amp;P Return]],"")</f>
        <v/>
      </c>
      <c r="W153" s="15">
        <f>IF(Table1[[#This Row],[Team]]="Tom",Table1[[#This Row],[Improvement Vs. S&amp;P Return]],"")</f>
        <v>-0.4</v>
      </c>
    </row>
    <row r="154" spans="1:23" ht="45" x14ac:dyDescent="0.2">
      <c r="A154" s="1">
        <v>39248</v>
      </c>
      <c r="B154" s="2" t="s">
        <v>578</v>
      </c>
      <c r="C154" s="2">
        <f>SUBTOTAL(103,Table1[[#This Row],[Recommendation Date]])</f>
        <v>1</v>
      </c>
      <c r="D154" s="2">
        <f>1</f>
        <v>1</v>
      </c>
      <c r="E154" s="16" t="s">
        <v>579</v>
      </c>
      <c r="F154" s="3" t="s">
        <v>252</v>
      </c>
      <c r="G154" s="3" t="s">
        <v>12</v>
      </c>
      <c r="H154" s="17"/>
      <c r="I154" s="4">
        <v>44.3</v>
      </c>
      <c r="J154" s="5">
        <v>0.72599999999999998</v>
      </c>
      <c r="K154" s="48">
        <f>ROUND(LOG10(Table1[[#This Row],[Return (keep sorted by this column!)]]+1),2)</f>
        <v>0.24</v>
      </c>
      <c r="L154" s="48">
        <f>COUNTIF(Table1[Return (keep sorted by this column!)],"&lt;"&amp;Table1[[#This Row],[Return (keep sorted by this column!)]])</f>
        <v>281</v>
      </c>
      <c r="M154" s="14">
        <f>IF(Table1[[#This Row],[Team]]="David",Table1[[#This Row],[Return (keep sorted by this column!)]],"")</f>
        <v>0.72599999999999998</v>
      </c>
      <c r="N154" s="14" t="str">
        <f>IF(Table1[[#This Row],[Team]]="Tom",Table1[[#This Row],[Return (keep sorted by this column!)]],"")</f>
        <v/>
      </c>
      <c r="O154" s="5">
        <v>1.4E-2</v>
      </c>
      <c r="P154" s="23">
        <f>IF(Table1[[#This Row],[Team]]="David",Table1[[#This Row],[S&amp;P Return, same period]],"")</f>
        <v>1.4E-2</v>
      </c>
      <c r="Q154" s="23" t="str">
        <f>IF(Table1[[#This Row],[Team]]="Tom",Table1[[#This Row],[S&amp;P Return, same period]],"")</f>
        <v/>
      </c>
      <c r="R154" s="5">
        <v>0.71099999999999997</v>
      </c>
      <c r="S154" s="14">
        <f>IF(Table1[[#This Row],[Team]]="David",Table1[[#This Row],[Difference Vs. S&amp;P Return]],"")</f>
        <v>0.71099999999999997</v>
      </c>
      <c r="T154" s="14" t="str">
        <f>IF(Table1[[#This Row],[Team]]="Tom",Table1[[#This Row],[Difference Vs. S&amp;P Return]],"")</f>
        <v/>
      </c>
      <c r="U154" s="14">
        <f>ROUND((1+Table1[[#This Row],[Return (keep sorted by this column!)]])/(1+Table1[[#This Row],[S&amp;P Return, same period]])-1,1)</f>
        <v>0.7</v>
      </c>
      <c r="V154" s="15">
        <f>IF(Table1[[#This Row],[Team]]="David",Table1[[#This Row],[Improvement Vs. S&amp;P Return]],"")</f>
        <v>0.7</v>
      </c>
      <c r="W154" s="15" t="str">
        <f>IF(Table1[[#This Row],[Team]]="Tom",Table1[[#This Row],[Improvement Vs. S&amp;P Return]],"")</f>
        <v/>
      </c>
    </row>
    <row r="155" spans="1:23" ht="17" x14ac:dyDescent="0.2">
      <c r="A155" s="18">
        <v>42664</v>
      </c>
      <c r="B155" s="2" t="s">
        <v>183</v>
      </c>
      <c r="C155" s="2">
        <f>SUBTOTAL(103,Table1[[#This Row],[Recommendation Date]])</f>
        <v>1</v>
      </c>
      <c r="D155" s="2">
        <f>1</f>
        <v>1</v>
      </c>
      <c r="E155" s="16" t="s">
        <v>184</v>
      </c>
      <c r="F155" s="3" t="s">
        <v>185</v>
      </c>
      <c r="G155" s="3" t="s">
        <v>8</v>
      </c>
      <c r="H155" s="17"/>
      <c r="I155" s="4">
        <v>49.67</v>
      </c>
      <c r="J155" s="5">
        <v>0.69299999999999995</v>
      </c>
      <c r="K155" s="48">
        <f>ROUND(LOG10(Table1[[#This Row],[Return (keep sorted by this column!)]]+1),2)</f>
        <v>0.23</v>
      </c>
      <c r="L155" s="48">
        <f>COUNTIF(Table1[Return (keep sorted by this column!)],"&lt;"&amp;Table1[[#This Row],[Return (keep sorted by this column!)]])</f>
        <v>280</v>
      </c>
      <c r="M155" s="76" t="str">
        <f>IF(Table1[[#This Row],[Team]]="David",Table1[[#This Row],[Return (keep sorted by this column!)]],"")</f>
        <v/>
      </c>
      <c r="N155" s="76">
        <f>IF(Table1[[#This Row],[Team]]="Tom",Table1[[#This Row],[Return (keep sorted by this column!)]],"")</f>
        <v>0.69299999999999995</v>
      </c>
      <c r="O155" s="5">
        <v>0.373</v>
      </c>
      <c r="P155" s="68" t="str">
        <f>IF(Table1[[#This Row],[Team]]="David",Table1[[#This Row],[S&amp;P Return, same period]],"")</f>
        <v/>
      </c>
      <c r="Q155" s="68">
        <f>IF(Table1[[#This Row],[Team]]="Tom",Table1[[#This Row],[S&amp;P Return, same period]],"")</f>
        <v>0.373</v>
      </c>
      <c r="R155" s="5">
        <v>0.32100000000000001</v>
      </c>
      <c r="S155" s="14" t="str">
        <f>IF(Table1[[#This Row],[Team]]="David",Table1[[#This Row],[Difference Vs. S&amp;P Return]],"")</f>
        <v/>
      </c>
      <c r="T155" s="14">
        <f>IF(Table1[[#This Row],[Team]]="Tom",Table1[[#This Row],[Difference Vs. S&amp;P Return]],"")</f>
        <v>0.32100000000000001</v>
      </c>
      <c r="U155" s="14">
        <f>ROUND((1+Table1[[#This Row],[Return (keep sorted by this column!)]])/(1+Table1[[#This Row],[S&amp;P Return, same period]])-1,1)</f>
        <v>0.2</v>
      </c>
      <c r="V155" s="15" t="str">
        <f>IF(Table1[[#This Row],[Team]]="David",Table1[[#This Row],[Improvement Vs. S&amp;P Return]],"")</f>
        <v/>
      </c>
      <c r="W155" s="15">
        <f>IF(Table1[[#This Row],[Team]]="Tom",Table1[[#This Row],[Improvement Vs. S&amp;P Return]],"")</f>
        <v>0.2</v>
      </c>
    </row>
    <row r="156" spans="1:23" ht="17" x14ac:dyDescent="0.2">
      <c r="A156" s="18">
        <v>41929</v>
      </c>
      <c r="B156" s="2" t="s">
        <v>117</v>
      </c>
      <c r="C156" s="2">
        <f>SUBTOTAL(103,Table1[[#This Row],[Recommendation Date]])</f>
        <v>1</v>
      </c>
      <c r="D156" s="2">
        <f>1</f>
        <v>1</v>
      </c>
      <c r="E156" s="16" t="s">
        <v>118</v>
      </c>
      <c r="F156" s="3" t="s">
        <v>119</v>
      </c>
      <c r="G156" s="3" t="s">
        <v>8</v>
      </c>
      <c r="H156" s="17"/>
      <c r="I156" s="4">
        <v>647</v>
      </c>
      <c r="J156" s="5">
        <v>0.69099999999999995</v>
      </c>
      <c r="K156" s="48">
        <f>ROUND(LOG10(Table1[[#This Row],[Return (keep sorted by this column!)]]+1),2)</f>
        <v>0.23</v>
      </c>
      <c r="L156" s="48">
        <f>COUNTIF(Table1[Return (keep sorted by this column!)],"&lt;"&amp;Table1[[#This Row],[Return (keep sorted by this column!)]])</f>
        <v>279</v>
      </c>
      <c r="M156" s="76" t="str">
        <f>IF(Table1[[#This Row],[Team]]="David",Table1[[#This Row],[Return (keep sorted by this column!)]],"")</f>
        <v/>
      </c>
      <c r="N156" s="76">
        <f>IF(Table1[[#This Row],[Team]]="Tom",Table1[[#This Row],[Return (keep sorted by this column!)]],"")</f>
        <v>0.69099999999999995</v>
      </c>
      <c r="O156" s="5">
        <v>0.626</v>
      </c>
      <c r="P156" s="68" t="str">
        <f>IF(Table1[[#This Row],[Team]]="David",Table1[[#This Row],[S&amp;P Return, same period]],"")</f>
        <v/>
      </c>
      <c r="Q156" s="68">
        <f>IF(Table1[[#This Row],[Team]]="Tom",Table1[[#This Row],[S&amp;P Return, same period]],"")</f>
        <v>0.626</v>
      </c>
      <c r="R156" s="5">
        <v>6.5000000000000002E-2</v>
      </c>
      <c r="S156" s="14" t="str">
        <f>IF(Table1[[#This Row],[Team]]="David",Table1[[#This Row],[Difference Vs. S&amp;P Return]],"")</f>
        <v/>
      </c>
      <c r="T156" s="14">
        <f>IF(Table1[[#This Row],[Team]]="Tom",Table1[[#This Row],[Difference Vs. S&amp;P Return]],"")</f>
        <v>6.5000000000000002E-2</v>
      </c>
      <c r="U156" s="14">
        <f>ROUND((1+Table1[[#This Row],[Return (keep sorted by this column!)]])/(1+Table1[[#This Row],[S&amp;P Return, same period]])-1,1)</f>
        <v>0</v>
      </c>
      <c r="V156" s="15" t="str">
        <f>IF(Table1[[#This Row],[Team]]="David",Table1[[#This Row],[Improvement Vs. S&amp;P Return]],"")</f>
        <v/>
      </c>
      <c r="W156" s="15">
        <f>IF(Table1[[#This Row],[Team]]="Tom",Table1[[#This Row],[Improvement Vs. S&amp;P Return]],"")</f>
        <v>0</v>
      </c>
    </row>
    <row r="157" spans="1:23" ht="30" x14ac:dyDescent="0.2">
      <c r="A157" s="1">
        <v>38457</v>
      </c>
      <c r="B157" s="2" t="s">
        <v>653</v>
      </c>
      <c r="C157" s="2">
        <f>SUBTOTAL(103,Table1[[#This Row],[Recommendation Date]])</f>
        <v>1</v>
      </c>
      <c r="D157" s="2">
        <f>1</f>
        <v>1</v>
      </c>
      <c r="E157" s="16" t="s">
        <v>654</v>
      </c>
      <c r="F157" s="3" t="s">
        <v>252</v>
      </c>
      <c r="G157" s="3" t="s">
        <v>8</v>
      </c>
      <c r="H157" s="17"/>
      <c r="I157" s="4">
        <v>51.95</v>
      </c>
      <c r="J157" s="5">
        <v>0.68899999999999995</v>
      </c>
      <c r="K157" s="48">
        <f>ROUND(LOG10(Table1[[#This Row],[Return (keep sorted by this column!)]]+1),2)</f>
        <v>0.23</v>
      </c>
      <c r="L157" s="48">
        <f>COUNTIF(Table1[Return (keep sorted by this column!)],"&lt;"&amp;Table1[[#This Row],[Return (keep sorted by this column!)]])</f>
        <v>278</v>
      </c>
      <c r="M157" s="14" t="str">
        <f>IF(Table1[[#This Row],[Team]]="David",Table1[[#This Row],[Return (keep sorted by this column!)]],"")</f>
        <v/>
      </c>
      <c r="N157" s="14">
        <f>IF(Table1[[#This Row],[Team]]="Tom",Table1[[#This Row],[Return (keep sorted by this column!)]],"")</f>
        <v>0.68899999999999995</v>
      </c>
      <c r="O157" s="5">
        <v>0.432</v>
      </c>
      <c r="P157" s="23" t="str">
        <f>IF(Table1[[#This Row],[Team]]="David",Table1[[#This Row],[S&amp;P Return, same period]],"")</f>
        <v/>
      </c>
      <c r="Q157" s="23">
        <f>IF(Table1[[#This Row],[Team]]="Tom",Table1[[#This Row],[S&amp;P Return, same period]],"")</f>
        <v>0.432</v>
      </c>
      <c r="R157" s="5">
        <v>0.25700000000000001</v>
      </c>
      <c r="S157" s="14" t="str">
        <f>IF(Table1[[#This Row],[Team]]="David",Table1[[#This Row],[Difference Vs. S&amp;P Return]],"")</f>
        <v/>
      </c>
      <c r="T157" s="14">
        <f>IF(Table1[[#This Row],[Team]]="Tom",Table1[[#This Row],[Difference Vs. S&amp;P Return]],"")</f>
        <v>0.25700000000000001</v>
      </c>
      <c r="U157" s="14">
        <f>ROUND((1+Table1[[#This Row],[Return (keep sorted by this column!)]])/(1+Table1[[#This Row],[S&amp;P Return, same period]])-1,1)</f>
        <v>0.2</v>
      </c>
      <c r="V157" s="15" t="str">
        <f>IF(Table1[[#This Row],[Team]]="David",Table1[[#This Row],[Improvement Vs. S&amp;P Return]],"")</f>
        <v/>
      </c>
      <c r="W157" s="15">
        <f>IF(Table1[[#This Row],[Team]]="Tom",Table1[[#This Row],[Improvement Vs. S&amp;P Return]],"")</f>
        <v>0.2</v>
      </c>
    </row>
    <row r="158" spans="1:23" ht="45" x14ac:dyDescent="0.2">
      <c r="A158" s="1">
        <v>39920</v>
      </c>
      <c r="B158" s="2" t="s">
        <v>416</v>
      </c>
      <c r="C158" s="2">
        <f>SUBTOTAL(103,Table1[[#This Row],[Recommendation Date]])</f>
        <v>1</v>
      </c>
      <c r="D158" s="2">
        <f>1</f>
        <v>1</v>
      </c>
      <c r="E158" s="16" t="s">
        <v>417</v>
      </c>
      <c r="F158" s="3" t="s">
        <v>15</v>
      </c>
      <c r="G158" s="3" t="s">
        <v>8</v>
      </c>
      <c r="H158" s="17"/>
      <c r="I158" s="4">
        <v>16.39</v>
      </c>
      <c r="J158" s="5">
        <v>0.68799999999999994</v>
      </c>
      <c r="K158" s="48">
        <f>ROUND(LOG10(Table1[[#This Row],[Return (keep sorted by this column!)]]+1),2)</f>
        <v>0.23</v>
      </c>
      <c r="L158" s="48">
        <f>COUNTIF(Table1[Return (keep sorted by this column!)],"&lt;"&amp;Table1[[#This Row],[Return (keep sorted by this column!)]])</f>
        <v>277</v>
      </c>
      <c r="M158" s="14" t="str">
        <f>IF(Table1[[#This Row],[Team]]="David",Table1[[#This Row],[Return (keep sorted by this column!)]],"")</f>
        <v/>
      </c>
      <c r="N158" s="14">
        <f>IF(Table1[[#This Row],[Team]]="Tom",Table1[[#This Row],[Return (keep sorted by this column!)]],"")</f>
        <v>0.68799999999999994</v>
      </c>
      <c r="O158" s="5">
        <v>1.774</v>
      </c>
      <c r="P158" s="23" t="str">
        <f>IF(Table1[[#This Row],[Team]]="David",Table1[[#This Row],[S&amp;P Return, same period]],"")</f>
        <v/>
      </c>
      <c r="Q158" s="23">
        <f>IF(Table1[[#This Row],[Team]]="Tom",Table1[[#This Row],[S&amp;P Return, same period]],"")</f>
        <v>1.774</v>
      </c>
      <c r="R158" s="5">
        <v>-1.0860000000000001</v>
      </c>
      <c r="S158" s="14" t="str">
        <f>IF(Table1[[#This Row],[Team]]="David",Table1[[#This Row],[Difference Vs. S&amp;P Return]],"")</f>
        <v/>
      </c>
      <c r="T158" s="14">
        <f>IF(Table1[[#This Row],[Team]]="Tom",Table1[[#This Row],[Difference Vs. S&amp;P Return]],"")</f>
        <v>-1.0860000000000001</v>
      </c>
      <c r="U158" s="14">
        <f>ROUND((1+Table1[[#This Row],[Return (keep sorted by this column!)]])/(1+Table1[[#This Row],[S&amp;P Return, same period]])-1,1)</f>
        <v>-0.4</v>
      </c>
      <c r="V158" s="15" t="str">
        <f>IF(Table1[[#This Row],[Team]]="David",Table1[[#This Row],[Improvement Vs. S&amp;P Return]],"")</f>
        <v/>
      </c>
      <c r="W158" s="15">
        <f>IF(Table1[[#This Row],[Team]]="Tom",Table1[[#This Row],[Improvement Vs. S&amp;P Return]],"")</f>
        <v>-0.4</v>
      </c>
    </row>
    <row r="159" spans="1:23" ht="60" x14ac:dyDescent="0.2">
      <c r="A159" s="1">
        <v>38674</v>
      </c>
      <c r="B159" s="2" t="s">
        <v>636</v>
      </c>
      <c r="C159" s="2">
        <f>SUBTOTAL(103,Table1[[#This Row],[Recommendation Date]])</f>
        <v>1</v>
      </c>
      <c r="D159" s="2">
        <f>1</f>
        <v>1</v>
      </c>
      <c r="E159" s="16" t="s">
        <v>637</v>
      </c>
      <c r="F159" s="3" t="s">
        <v>638</v>
      </c>
      <c r="G159" s="3" t="s">
        <v>8</v>
      </c>
      <c r="H159" s="17"/>
      <c r="I159" s="4">
        <v>18.420000000000002</v>
      </c>
      <c r="J159" s="5">
        <v>0.65400000000000003</v>
      </c>
      <c r="K159" s="48">
        <f>ROUND(LOG10(Table1[[#This Row],[Return (keep sorted by this column!)]]+1),2)</f>
        <v>0.22</v>
      </c>
      <c r="L159" s="48">
        <f>COUNTIF(Table1[Return (keep sorted by this column!)],"&lt;"&amp;Table1[[#This Row],[Return (keep sorted by this column!)]])</f>
        <v>276</v>
      </c>
      <c r="M159" s="14" t="str">
        <f>IF(Table1[[#This Row],[Team]]="David",Table1[[#This Row],[Return (keep sorted by this column!)]],"")</f>
        <v/>
      </c>
      <c r="N159" s="14">
        <f>IF(Table1[[#This Row],[Team]]="Tom",Table1[[#This Row],[Return (keep sorted by this column!)]],"")</f>
        <v>0.65400000000000003</v>
      </c>
      <c r="O159" s="5">
        <v>-4.7E-2</v>
      </c>
      <c r="P159" s="23" t="str">
        <f>IF(Table1[[#This Row],[Team]]="David",Table1[[#This Row],[S&amp;P Return, same period]],"")</f>
        <v/>
      </c>
      <c r="Q159" s="23">
        <f>IF(Table1[[#This Row],[Team]]="Tom",Table1[[#This Row],[S&amp;P Return, same period]],"")</f>
        <v>-4.7E-2</v>
      </c>
      <c r="R159" s="5">
        <v>0.70099999999999996</v>
      </c>
      <c r="S159" s="14" t="str">
        <f>IF(Table1[[#This Row],[Team]]="David",Table1[[#This Row],[Difference Vs. S&amp;P Return]],"")</f>
        <v/>
      </c>
      <c r="T159" s="14">
        <f>IF(Table1[[#This Row],[Team]]="Tom",Table1[[#This Row],[Difference Vs. S&amp;P Return]],"")</f>
        <v>0.70099999999999996</v>
      </c>
      <c r="U159" s="14">
        <f>ROUND((1+Table1[[#This Row],[Return (keep sorted by this column!)]])/(1+Table1[[#This Row],[S&amp;P Return, same period]])-1,1)</f>
        <v>0.7</v>
      </c>
      <c r="V159" s="15" t="str">
        <f>IF(Table1[[#This Row],[Team]]="David",Table1[[#This Row],[Improvement Vs. S&amp;P Return]],"")</f>
        <v/>
      </c>
      <c r="W159" s="15">
        <f>IF(Table1[[#This Row],[Team]]="Tom",Table1[[#This Row],[Improvement Vs. S&amp;P Return]],"")</f>
        <v>0.7</v>
      </c>
    </row>
    <row r="160" spans="1:23" ht="60" x14ac:dyDescent="0.2">
      <c r="A160" s="1">
        <v>40046</v>
      </c>
      <c r="B160" s="2" t="s">
        <v>499</v>
      </c>
      <c r="C160" s="2">
        <f>SUBTOTAL(103,Table1[[#This Row],[Recommendation Date]])</f>
        <v>1</v>
      </c>
      <c r="D160" s="2">
        <f>1</f>
        <v>1</v>
      </c>
      <c r="E160" s="16" t="s">
        <v>500</v>
      </c>
      <c r="F160" s="3" t="s">
        <v>15</v>
      </c>
      <c r="G160" s="3" t="s">
        <v>8</v>
      </c>
      <c r="H160" s="17"/>
      <c r="I160" s="4">
        <v>64.39</v>
      </c>
      <c r="J160" s="5">
        <v>0.64700000000000002</v>
      </c>
      <c r="K160" s="48">
        <f>ROUND(LOG10(Table1[[#This Row],[Return (keep sorted by this column!)]]+1),2)</f>
        <v>0.22</v>
      </c>
      <c r="L160" s="48">
        <f>COUNTIF(Table1[Return (keep sorted by this column!)],"&lt;"&amp;Table1[[#This Row],[Return (keep sorted by this column!)]])</f>
        <v>275</v>
      </c>
      <c r="M160" s="14" t="str">
        <f>IF(Table1[[#This Row],[Team]]="David",Table1[[#This Row],[Return (keep sorted by this column!)]],"")</f>
        <v/>
      </c>
      <c r="N160" s="14">
        <f>IF(Table1[[#This Row],[Team]]="Tom",Table1[[#This Row],[Return (keep sorted by this column!)]],"")</f>
        <v>0.64700000000000002</v>
      </c>
      <c r="O160" s="5">
        <v>0.91600000000000004</v>
      </c>
      <c r="P160" s="23" t="str">
        <f>IF(Table1[[#This Row],[Team]]="David",Table1[[#This Row],[S&amp;P Return, same period]],"")</f>
        <v/>
      </c>
      <c r="Q160" s="23">
        <f>IF(Table1[[#This Row],[Team]]="Tom",Table1[[#This Row],[S&amp;P Return, same period]],"")</f>
        <v>0.91600000000000004</v>
      </c>
      <c r="R160" s="5">
        <v>-0.26900000000000002</v>
      </c>
      <c r="S160" s="14" t="str">
        <f>IF(Table1[[#This Row],[Team]]="David",Table1[[#This Row],[Difference Vs. S&amp;P Return]],"")</f>
        <v/>
      </c>
      <c r="T160" s="14">
        <f>IF(Table1[[#This Row],[Team]]="Tom",Table1[[#This Row],[Difference Vs. S&amp;P Return]],"")</f>
        <v>-0.26900000000000002</v>
      </c>
      <c r="U160" s="14">
        <f>ROUND((1+Table1[[#This Row],[Return (keep sorted by this column!)]])/(1+Table1[[#This Row],[S&amp;P Return, same period]])-1,1)</f>
        <v>-0.1</v>
      </c>
      <c r="V160" s="15" t="str">
        <f>IF(Table1[[#This Row],[Team]]="David",Table1[[#This Row],[Improvement Vs. S&amp;P Return]],"")</f>
        <v/>
      </c>
      <c r="W160" s="15">
        <f>IF(Table1[[#This Row],[Team]]="Tom",Table1[[#This Row],[Improvement Vs. S&amp;P Return]],"")</f>
        <v>-0.1</v>
      </c>
    </row>
    <row r="161" spans="1:23" ht="60" x14ac:dyDescent="0.2">
      <c r="A161" s="1">
        <v>38611</v>
      </c>
      <c r="B161" s="2" t="s">
        <v>643</v>
      </c>
      <c r="C161" s="2">
        <f>SUBTOTAL(103,Table1[[#This Row],[Recommendation Date]])</f>
        <v>1</v>
      </c>
      <c r="D161" s="2">
        <f>1</f>
        <v>1</v>
      </c>
      <c r="E161" s="16" t="s">
        <v>644</v>
      </c>
      <c r="F161" s="3" t="s">
        <v>252</v>
      </c>
      <c r="G161" s="3" t="s">
        <v>8</v>
      </c>
      <c r="H161" s="17"/>
      <c r="I161" s="4">
        <v>20.73</v>
      </c>
      <c r="J161" s="5">
        <v>0.61599999999999999</v>
      </c>
      <c r="K161" s="48">
        <f>ROUND(LOG10(Table1[[#This Row],[Return (keep sorted by this column!)]]+1),2)</f>
        <v>0.21</v>
      </c>
      <c r="L161" s="48">
        <f>COUNTIF(Table1[Return (keep sorted by this column!)],"&lt;"&amp;Table1[[#This Row],[Return (keep sorted by this column!)]])</f>
        <v>274</v>
      </c>
      <c r="M161" s="14" t="str">
        <f>IF(Table1[[#This Row],[Team]]="David",Table1[[#This Row],[Return (keep sorted by this column!)]],"")</f>
        <v/>
      </c>
      <c r="N161" s="14">
        <f>IF(Table1[[#This Row],[Team]]="Tom",Table1[[#This Row],[Return (keep sorted by this column!)]],"")</f>
        <v>0.61599999999999999</v>
      </c>
      <c r="O161" s="5">
        <v>0.27</v>
      </c>
      <c r="P161" s="23" t="str">
        <f>IF(Table1[[#This Row],[Team]]="David",Table1[[#This Row],[S&amp;P Return, same period]],"")</f>
        <v/>
      </c>
      <c r="Q161" s="23">
        <f>IF(Table1[[#This Row],[Team]]="Tom",Table1[[#This Row],[S&amp;P Return, same period]],"")</f>
        <v>0.27</v>
      </c>
      <c r="R161" s="5">
        <v>0.34699999999999998</v>
      </c>
      <c r="S161" s="14" t="str">
        <f>IF(Table1[[#This Row],[Team]]="David",Table1[[#This Row],[Difference Vs. S&amp;P Return]],"")</f>
        <v/>
      </c>
      <c r="T161" s="14">
        <f>IF(Table1[[#This Row],[Team]]="Tom",Table1[[#This Row],[Difference Vs. S&amp;P Return]],"")</f>
        <v>0.34699999999999998</v>
      </c>
      <c r="U161" s="14">
        <f>ROUND((1+Table1[[#This Row],[Return (keep sorted by this column!)]])/(1+Table1[[#This Row],[S&amp;P Return, same period]])-1,1)</f>
        <v>0.3</v>
      </c>
      <c r="V161" s="15" t="str">
        <f>IF(Table1[[#This Row],[Team]]="David",Table1[[#This Row],[Improvement Vs. S&amp;P Return]],"")</f>
        <v/>
      </c>
      <c r="W161" s="15">
        <f>IF(Table1[[#This Row],[Team]]="Tom",Table1[[#This Row],[Improvement Vs. S&amp;P Return]],"")</f>
        <v>0.3</v>
      </c>
    </row>
    <row r="162" spans="1:23" ht="17" x14ac:dyDescent="0.2">
      <c r="A162" s="18">
        <v>42538</v>
      </c>
      <c r="B162" s="2" t="s">
        <v>203</v>
      </c>
      <c r="C162" s="2">
        <f>SUBTOTAL(103,Table1[[#This Row],[Recommendation Date]])</f>
        <v>1</v>
      </c>
      <c r="D162" s="2">
        <f>1</f>
        <v>1</v>
      </c>
      <c r="E162" s="16" t="s">
        <v>204</v>
      </c>
      <c r="F162" s="3" t="s">
        <v>205</v>
      </c>
      <c r="G162" s="3" t="s">
        <v>12</v>
      </c>
      <c r="H162" s="16">
        <v>8</v>
      </c>
      <c r="I162" s="4">
        <v>114.09</v>
      </c>
      <c r="J162" s="5">
        <v>0.61099999999999999</v>
      </c>
      <c r="K162" s="48">
        <f>ROUND(LOG10(Table1[[#This Row],[Return (keep sorted by this column!)]]+1),2)</f>
        <v>0.21</v>
      </c>
      <c r="L162" s="48">
        <f>COUNTIF(Table1[Return (keep sorted by this column!)],"&lt;"&amp;Table1[[#This Row],[Return (keep sorted by this column!)]])</f>
        <v>273</v>
      </c>
      <c r="M162" s="76">
        <f>IF(Table1[[#This Row],[Team]]="David",Table1[[#This Row],[Return (keep sorted by this column!)]],"")</f>
        <v>0.61099999999999999</v>
      </c>
      <c r="N162" s="76" t="str">
        <f>IF(Table1[[#This Row],[Team]]="Tom",Table1[[#This Row],[Return (keep sorted by this column!)]],"")</f>
        <v/>
      </c>
      <c r="O162" s="5">
        <v>0.42899999999999999</v>
      </c>
      <c r="P162" s="68">
        <f>IF(Table1[[#This Row],[Team]]="David",Table1[[#This Row],[S&amp;P Return, same period]],"")</f>
        <v>0.42899999999999999</v>
      </c>
      <c r="Q162" s="68" t="str">
        <f>IF(Table1[[#This Row],[Team]]="Tom",Table1[[#This Row],[S&amp;P Return, same period]],"")</f>
        <v/>
      </c>
      <c r="R162" s="5">
        <v>0.183</v>
      </c>
      <c r="S162" s="14">
        <f>IF(Table1[[#This Row],[Team]]="David",Table1[[#This Row],[Difference Vs. S&amp;P Return]],"")</f>
        <v>0.183</v>
      </c>
      <c r="T162" s="14" t="str">
        <f>IF(Table1[[#This Row],[Team]]="Tom",Table1[[#This Row],[Difference Vs. S&amp;P Return]],"")</f>
        <v/>
      </c>
      <c r="U162" s="14">
        <f>ROUND((1+Table1[[#This Row],[Return (keep sorted by this column!)]])/(1+Table1[[#This Row],[S&amp;P Return, same period]])-1,1)</f>
        <v>0.1</v>
      </c>
      <c r="V162" s="15">
        <f>IF(Table1[[#This Row],[Team]]="David",Table1[[#This Row],[Improvement Vs. S&amp;P Return]],"")</f>
        <v>0.1</v>
      </c>
      <c r="W162" s="15" t="str">
        <f>IF(Table1[[#This Row],[Team]]="Tom",Table1[[#This Row],[Improvement Vs. S&amp;P Return]],"")</f>
        <v/>
      </c>
    </row>
    <row r="163" spans="1:23" ht="17" x14ac:dyDescent="0.2">
      <c r="A163" s="18">
        <v>43056</v>
      </c>
      <c r="B163" s="2" t="s">
        <v>134</v>
      </c>
      <c r="C163" s="2">
        <f>SUBTOTAL(103,Table1[[#This Row],[Recommendation Date]])</f>
        <v>1</v>
      </c>
      <c r="D163" s="2">
        <f>1</f>
        <v>1</v>
      </c>
      <c r="E163" s="16" t="s">
        <v>135</v>
      </c>
      <c r="F163" s="3" t="s">
        <v>136</v>
      </c>
      <c r="G163" s="3" t="s">
        <v>12</v>
      </c>
      <c r="H163" s="16">
        <v>9</v>
      </c>
      <c r="I163" s="4">
        <v>128.11000000000001</v>
      </c>
      <c r="J163" s="5">
        <v>0.6</v>
      </c>
      <c r="K163" s="48">
        <f>ROUND(LOG10(Table1[[#This Row],[Return (keep sorted by this column!)]]+1),2)</f>
        <v>0.2</v>
      </c>
      <c r="L163" s="48">
        <f>COUNTIF(Table1[Return (keep sorted by this column!)],"&lt;"&amp;Table1[[#This Row],[Return (keep sorted by this column!)]])</f>
        <v>272</v>
      </c>
      <c r="M163" s="76">
        <f>IF(Table1[[#This Row],[Team]]="David",Table1[[#This Row],[Return (keep sorted by this column!)]],"")</f>
        <v>0.6</v>
      </c>
      <c r="N163" s="76" t="str">
        <f>IF(Table1[[#This Row],[Team]]="Tom",Table1[[#This Row],[Return (keep sorted by this column!)]],"")</f>
        <v/>
      </c>
      <c r="O163" s="5">
        <v>0.114</v>
      </c>
      <c r="P163" s="68">
        <f>IF(Table1[[#This Row],[Team]]="David",Table1[[#This Row],[S&amp;P Return, same period]],"")</f>
        <v>0.114</v>
      </c>
      <c r="Q163" s="68" t="str">
        <f>IF(Table1[[#This Row],[Team]]="Tom",Table1[[#This Row],[S&amp;P Return, same period]],"")</f>
        <v/>
      </c>
      <c r="R163" s="5">
        <v>0.48499999999999999</v>
      </c>
      <c r="S163" s="14">
        <f>IF(Table1[[#This Row],[Team]]="David",Table1[[#This Row],[Difference Vs. S&amp;P Return]],"")</f>
        <v>0.48499999999999999</v>
      </c>
      <c r="T163" s="14" t="str">
        <f>IF(Table1[[#This Row],[Team]]="Tom",Table1[[#This Row],[Difference Vs. S&amp;P Return]],"")</f>
        <v/>
      </c>
      <c r="U163" s="14">
        <f>ROUND((1+Table1[[#This Row],[Return (keep sorted by this column!)]])/(1+Table1[[#This Row],[S&amp;P Return, same period]])-1,1)</f>
        <v>0.4</v>
      </c>
      <c r="V163" s="15">
        <f>IF(Table1[[#This Row],[Team]]="David",Table1[[#This Row],[Improvement Vs. S&amp;P Return]],"")</f>
        <v>0.4</v>
      </c>
      <c r="W163" s="15" t="str">
        <f>IF(Table1[[#This Row],[Team]]="Tom",Table1[[#This Row],[Improvement Vs. S&amp;P Return]],"")</f>
        <v/>
      </c>
    </row>
    <row r="164" spans="1:23" ht="30" x14ac:dyDescent="0.2">
      <c r="A164" s="18">
        <v>42020</v>
      </c>
      <c r="B164" s="2" t="s">
        <v>274</v>
      </c>
      <c r="C164" s="2">
        <f>SUBTOTAL(103,Table1[[#This Row],[Recommendation Date]])</f>
        <v>1</v>
      </c>
      <c r="D164" s="2">
        <f>1</f>
        <v>1</v>
      </c>
      <c r="E164" s="16" t="s">
        <v>275</v>
      </c>
      <c r="F164" s="3" t="s">
        <v>36</v>
      </c>
      <c r="G164" s="3" t="s">
        <v>12</v>
      </c>
      <c r="H164" s="16">
        <v>14</v>
      </c>
      <c r="I164" s="4">
        <v>40.93</v>
      </c>
      <c r="J164" s="5">
        <v>0.59499999999999997</v>
      </c>
      <c r="K164" s="48">
        <f>ROUND(LOG10(Table1[[#This Row],[Return (keep sorted by this column!)]]+1),2)</f>
        <v>0.2</v>
      </c>
      <c r="L164" s="48">
        <f>COUNTIF(Table1[Return (keep sorted by this column!)],"&lt;"&amp;Table1[[#This Row],[Return (keep sorted by this column!)]])</f>
        <v>271</v>
      </c>
      <c r="M164" s="76">
        <f>IF(Table1[[#This Row],[Team]]="David",Table1[[#This Row],[Return (keep sorted by this column!)]],"")</f>
        <v>0.59499999999999997</v>
      </c>
      <c r="N164" s="76" t="str">
        <f>IF(Table1[[#This Row],[Team]]="Tom",Table1[[#This Row],[Return (keep sorted by this column!)]],"")</f>
        <v/>
      </c>
      <c r="O164" s="5">
        <v>0.51100000000000001</v>
      </c>
      <c r="P164" s="68">
        <f>IF(Table1[[#This Row],[Team]]="David",Table1[[#This Row],[S&amp;P Return, same period]],"")</f>
        <v>0.51100000000000001</v>
      </c>
      <c r="Q164" s="68" t="str">
        <f>IF(Table1[[#This Row],[Team]]="Tom",Table1[[#This Row],[S&amp;P Return, same period]],"")</f>
        <v/>
      </c>
      <c r="R164" s="5">
        <v>8.4000000000000005E-2</v>
      </c>
      <c r="S164" s="14">
        <f>IF(Table1[[#This Row],[Team]]="David",Table1[[#This Row],[Difference Vs. S&amp;P Return]],"")</f>
        <v>8.4000000000000005E-2</v>
      </c>
      <c r="T164" s="14" t="str">
        <f>IF(Table1[[#This Row],[Team]]="Tom",Table1[[#This Row],[Difference Vs. S&amp;P Return]],"")</f>
        <v/>
      </c>
      <c r="U164" s="14">
        <f>ROUND((1+Table1[[#This Row],[Return (keep sorted by this column!)]])/(1+Table1[[#This Row],[S&amp;P Return, same period]])-1,1)</f>
        <v>0.1</v>
      </c>
      <c r="V164" s="15">
        <f>IF(Table1[[#This Row],[Team]]="David",Table1[[#This Row],[Improvement Vs. S&amp;P Return]],"")</f>
        <v>0.1</v>
      </c>
      <c r="W164" s="15" t="str">
        <f>IF(Table1[[#This Row],[Team]]="Tom",Table1[[#This Row],[Improvement Vs. S&amp;P Return]],"")</f>
        <v/>
      </c>
    </row>
    <row r="165" spans="1:23" ht="30" x14ac:dyDescent="0.2">
      <c r="A165" s="18">
        <v>42265</v>
      </c>
      <c r="B165" s="2" t="s">
        <v>160</v>
      </c>
      <c r="C165" s="2">
        <f>SUBTOTAL(103,Table1[[#This Row],[Recommendation Date]])</f>
        <v>1</v>
      </c>
      <c r="D165" s="2">
        <f>1</f>
        <v>1</v>
      </c>
      <c r="E165" s="16" t="s">
        <v>161</v>
      </c>
      <c r="F165" s="3" t="s">
        <v>162</v>
      </c>
      <c r="G165" s="3" t="s">
        <v>8</v>
      </c>
      <c r="H165" s="17"/>
      <c r="I165" s="4">
        <v>65.45</v>
      </c>
      <c r="J165" s="5">
        <v>0.59199999999999997</v>
      </c>
      <c r="K165" s="48">
        <f>ROUND(LOG10(Table1[[#This Row],[Return (keep sorted by this column!)]]+1),2)</f>
        <v>0.2</v>
      </c>
      <c r="L165" s="48">
        <f>COUNTIF(Table1[Return (keep sorted by this column!)],"&lt;"&amp;Table1[[#This Row],[Return (keep sorted by this column!)]])</f>
        <v>269</v>
      </c>
      <c r="M165" s="76" t="str">
        <f>IF(Table1[[#This Row],[Team]]="David",Table1[[#This Row],[Return (keep sorted by this column!)]],"")</f>
        <v/>
      </c>
      <c r="N165" s="76">
        <f>IF(Table1[[#This Row],[Team]]="Tom",Table1[[#This Row],[Return (keep sorted by this column!)]],"")</f>
        <v>0.59199999999999997</v>
      </c>
      <c r="O165" s="5">
        <v>0.53700000000000003</v>
      </c>
      <c r="P165" s="68" t="str">
        <f>IF(Table1[[#This Row],[Team]]="David",Table1[[#This Row],[S&amp;P Return, same period]],"")</f>
        <v/>
      </c>
      <c r="Q165" s="68">
        <f>IF(Table1[[#This Row],[Team]]="Tom",Table1[[#This Row],[S&amp;P Return, same period]],"")</f>
        <v>0.53700000000000003</v>
      </c>
      <c r="R165" s="5">
        <v>5.5E-2</v>
      </c>
      <c r="S165" s="14" t="str">
        <f>IF(Table1[[#This Row],[Team]]="David",Table1[[#This Row],[Difference Vs. S&amp;P Return]],"")</f>
        <v/>
      </c>
      <c r="T165" s="14">
        <f>IF(Table1[[#This Row],[Team]]="Tom",Table1[[#This Row],[Difference Vs. S&amp;P Return]],"")</f>
        <v>5.5E-2</v>
      </c>
      <c r="U165" s="14">
        <f>ROUND((1+Table1[[#This Row],[Return (keep sorted by this column!)]])/(1+Table1[[#This Row],[S&amp;P Return, same period]])-1,1)</f>
        <v>0</v>
      </c>
      <c r="V165" s="15" t="str">
        <f>IF(Table1[[#This Row],[Team]]="David",Table1[[#This Row],[Improvement Vs. S&amp;P Return]],"")</f>
        <v/>
      </c>
      <c r="W165" s="15">
        <f>IF(Table1[[#This Row],[Team]]="Tom",Table1[[#This Row],[Improvement Vs. S&amp;P Return]],"")</f>
        <v>0</v>
      </c>
    </row>
    <row r="166" spans="1:23" ht="60" x14ac:dyDescent="0.2">
      <c r="A166" s="1">
        <v>40984</v>
      </c>
      <c r="B166" s="2" t="s">
        <v>322</v>
      </c>
      <c r="C166" s="2">
        <f>SUBTOTAL(103,Table1[[#This Row],[Recommendation Date]])</f>
        <v>1</v>
      </c>
      <c r="D166" s="2">
        <f>1</f>
        <v>1</v>
      </c>
      <c r="E166" s="16" t="s">
        <v>323</v>
      </c>
      <c r="F166" s="3" t="s">
        <v>41</v>
      </c>
      <c r="G166" s="3" t="s">
        <v>8</v>
      </c>
      <c r="H166" s="17"/>
      <c r="I166" s="4">
        <v>56.77</v>
      </c>
      <c r="J166" s="5">
        <v>0.59199999999999997</v>
      </c>
      <c r="K166" s="48">
        <f>ROUND(LOG10(Table1[[#This Row],[Return (keep sorted by this column!)]]+1),2)</f>
        <v>0.2</v>
      </c>
      <c r="L166" s="48">
        <f>COUNTIF(Table1[Return (keep sorted by this column!)],"&lt;"&amp;Table1[[#This Row],[Return (keep sorted by this column!)]])</f>
        <v>269</v>
      </c>
      <c r="M166" s="76" t="str">
        <f>IF(Table1[[#This Row],[Team]]="David",Table1[[#This Row],[Return (keep sorted by this column!)]],"")</f>
        <v/>
      </c>
      <c r="N166" s="76">
        <f>IF(Table1[[#This Row],[Team]]="Tom",Table1[[#This Row],[Return (keep sorted by this column!)]],"")</f>
        <v>0.59199999999999997</v>
      </c>
      <c r="O166" s="5">
        <v>1.792</v>
      </c>
      <c r="P166" s="68" t="str">
        <f>IF(Table1[[#This Row],[Team]]="David",Table1[[#This Row],[S&amp;P Return, same period]],"")</f>
        <v/>
      </c>
      <c r="Q166" s="68">
        <f>IF(Table1[[#This Row],[Team]]="Tom",Table1[[#This Row],[S&amp;P Return, same period]],"")</f>
        <v>1.792</v>
      </c>
      <c r="R166" s="5">
        <v>-1.2</v>
      </c>
      <c r="S166" s="14" t="str">
        <f>IF(Table1[[#This Row],[Team]]="David",Table1[[#This Row],[Difference Vs. S&amp;P Return]],"")</f>
        <v/>
      </c>
      <c r="T166" s="14">
        <f>IF(Table1[[#This Row],[Team]]="Tom",Table1[[#This Row],[Difference Vs. S&amp;P Return]],"")</f>
        <v>-1.2</v>
      </c>
      <c r="U166" s="14">
        <f>ROUND((1+Table1[[#This Row],[Return (keep sorted by this column!)]])/(1+Table1[[#This Row],[S&amp;P Return, same period]])-1,1)</f>
        <v>-0.4</v>
      </c>
      <c r="V166" s="15" t="str">
        <f>IF(Table1[[#This Row],[Team]]="David",Table1[[#This Row],[Improvement Vs. S&amp;P Return]],"")</f>
        <v/>
      </c>
      <c r="W166" s="15">
        <f>IF(Table1[[#This Row],[Team]]="Tom",Table1[[#This Row],[Improvement Vs. S&amp;P Return]],"")</f>
        <v>-0.4</v>
      </c>
    </row>
    <row r="167" spans="1:23" ht="30" x14ac:dyDescent="0.2">
      <c r="A167" s="18">
        <v>41992</v>
      </c>
      <c r="B167" s="2" t="s">
        <v>276</v>
      </c>
      <c r="C167" s="2">
        <f>SUBTOTAL(103,Table1[[#This Row],[Recommendation Date]])</f>
        <v>1</v>
      </c>
      <c r="D167" s="2">
        <f>1</f>
        <v>1</v>
      </c>
      <c r="E167" s="16" t="s">
        <v>277</v>
      </c>
      <c r="F167" s="3" t="s">
        <v>157</v>
      </c>
      <c r="G167" s="3" t="s">
        <v>8</v>
      </c>
      <c r="H167" s="17"/>
      <c r="I167" s="4">
        <v>27.7</v>
      </c>
      <c r="J167" s="5">
        <v>0.58499999999999996</v>
      </c>
      <c r="K167" s="48">
        <f>ROUND(LOG10(Table1[[#This Row],[Return (keep sorted by this column!)]]+1),2)</f>
        <v>0.2</v>
      </c>
      <c r="L167" s="48">
        <f>COUNTIF(Table1[Return (keep sorted by this column!)],"&lt;"&amp;Table1[[#This Row],[Return (keep sorted by this column!)]])</f>
        <v>268</v>
      </c>
      <c r="M167" s="76" t="str">
        <f>IF(Table1[[#This Row],[Team]]="David",Table1[[#This Row],[Return (keep sorted by this column!)]],"")</f>
        <v/>
      </c>
      <c r="N167" s="76">
        <f>IF(Table1[[#This Row],[Team]]="Tom",Table1[[#This Row],[Return (keep sorted by this column!)]],"")</f>
        <v>0.58499999999999996</v>
      </c>
      <c r="O167" s="5">
        <v>0.47599999999999998</v>
      </c>
      <c r="P167" s="68" t="str">
        <f>IF(Table1[[#This Row],[Team]]="David",Table1[[#This Row],[S&amp;P Return, same period]],"")</f>
        <v/>
      </c>
      <c r="Q167" s="68">
        <f>IF(Table1[[#This Row],[Team]]="Tom",Table1[[#This Row],[S&amp;P Return, same period]],"")</f>
        <v>0.47599999999999998</v>
      </c>
      <c r="R167" s="5">
        <v>0.11</v>
      </c>
      <c r="S167" s="14" t="str">
        <f>IF(Table1[[#This Row],[Team]]="David",Table1[[#This Row],[Difference Vs. S&amp;P Return]],"")</f>
        <v/>
      </c>
      <c r="T167" s="14">
        <f>IF(Table1[[#This Row],[Team]]="Tom",Table1[[#This Row],[Difference Vs. S&amp;P Return]],"")</f>
        <v>0.11</v>
      </c>
      <c r="U167" s="14">
        <f>ROUND((1+Table1[[#This Row],[Return (keep sorted by this column!)]])/(1+Table1[[#This Row],[S&amp;P Return, same period]])-1,1)</f>
        <v>0.1</v>
      </c>
      <c r="V167" s="15" t="str">
        <f>IF(Table1[[#This Row],[Team]]="David",Table1[[#This Row],[Improvement Vs. S&amp;P Return]],"")</f>
        <v/>
      </c>
      <c r="W167" s="15">
        <f>IF(Table1[[#This Row],[Team]]="Tom",Table1[[#This Row],[Improvement Vs. S&amp;P Return]],"")</f>
        <v>0.1</v>
      </c>
    </row>
    <row r="168" spans="1:23" ht="75" x14ac:dyDescent="0.2">
      <c r="A168" s="1">
        <v>39892</v>
      </c>
      <c r="B168" s="2" t="s">
        <v>514</v>
      </c>
      <c r="C168" s="2">
        <f>SUBTOTAL(103,Table1[[#This Row],[Recommendation Date]])</f>
        <v>1</v>
      </c>
      <c r="D168" s="2">
        <f>1</f>
        <v>1</v>
      </c>
      <c r="E168" s="16" t="s">
        <v>515</v>
      </c>
      <c r="F168" s="3" t="s">
        <v>252</v>
      </c>
      <c r="G168" s="3" t="s">
        <v>12</v>
      </c>
      <c r="H168" s="17"/>
      <c r="I168" s="4">
        <v>21.01</v>
      </c>
      <c r="J168" s="5">
        <v>0.58199999999999996</v>
      </c>
      <c r="K168" s="48">
        <f>ROUND(LOG10(Table1[[#This Row],[Return (keep sorted by this column!)]]+1),2)</f>
        <v>0.2</v>
      </c>
      <c r="L168" s="48">
        <f>COUNTIF(Table1[Return (keep sorted by this column!)],"&lt;"&amp;Table1[[#This Row],[Return (keep sorted by this column!)]])</f>
        <v>266</v>
      </c>
      <c r="M168" s="14">
        <f>IF(Table1[[#This Row],[Team]]="David",Table1[[#This Row],[Return (keep sorted by this column!)]],"")</f>
        <v>0.58199999999999996</v>
      </c>
      <c r="N168" s="14" t="str">
        <f>IF(Table1[[#This Row],[Team]]="Tom",Table1[[#This Row],[Return (keep sorted by this column!)]],"")</f>
        <v/>
      </c>
      <c r="O168" s="5">
        <v>0.73099999999999998</v>
      </c>
      <c r="P168" s="23">
        <f>IF(Table1[[#This Row],[Team]]="David",Table1[[#This Row],[S&amp;P Return, same period]],"")</f>
        <v>0.73099999999999998</v>
      </c>
      <c r="Q168" s="23" t="str">
        <f>IF(Table1[[#This Row],[Team]]="Tom",Table1[[#This Row],[S&amp;P Return, same period]],"")</f>
        <v/>
      </c>
      <c r="R168" s="5">
        <v>-0.14899999999999999</v>
      </c>
      <c r="S168" s="14">
        <f>IF(Table1[[#This Row],[Team]]="David",Table1[[#This Row],[Difference Vs. S&amp;P Return]],"")</f>
        <v>-0.14899999999999999</v>
      </c>
      <c r="T168" s="14" t="str">
        <f>IF(Table1[[#This Row],[Team]]="Tom",Table1[[#This Row],[Difference Vs. S&amp;P Return]],"")</f>
        <v/>
      </c>
      <c r="U168" s="14">
        <f>ROUND((1+Table1[[#This Row],[Return (keep sorted by this column!)]])/(1+Table1[[#This Row],[S&amp;P Return, same period]])-1,1)</f>
        <v>-0.1</v>
      </c>
      <c r="V168" s="15">
        <f>IF(Table1[[#This Row],[Team]]="David",Table1[[#This Row],[Improvement Vs. S&amp;P Return]],"")</f>
        <v>-0.1</v>
      </c>
      <c r="W168" s="15" t="str">
        <f>IF(Table1[[#This Row],[Team]]="Tom",Table1[[#This Row],[Improvement Vs. S&amp;P Return]],"")</f>
        <v/>
      </c>
    </row>
    <row r="169" spans="1:23" ht="60" x14ac:dyDescent="0.2">
      <c r="A169" s="1">
        <v>38037</v>
      </c>
      <c r="B169" s="2" t="s">
        <v>690</v>
      </c>
      <c r="C169" s="2">
        <f>SUBTOTAL(103,Table1[[#This Row],[Recommendation Date]])</f>
        <v>1</v>
      </c>
      <c r="D169" s="2">
        <f>1</f>
        <v>1</v>
      </c>
      <c r="E169" s="16" t="s">
        <v>691</v>
      </c>
      <c r="F169" s="3" t="s">
        <v>252</v>
      </c>
      <c r="G169" s="3" t="s">
        <v>8</v>
      </c>
      <c r="H169" s="17"/>
      <c r="I169" s="4">
        <v>37.270000000000003</v>
      </c>
      <c r="J169" s="5">
        <v>0.58199999999999996</v>
      </c>
      <c r="K169" s="48">
        <f>ROUND(LOG10(Table1[[#This Row],[Return (keep sorted by this column!)]]+1),2)</f>
        <v>0.2</v>
      </c>
      <c r="L169" s="48">
        <f>COUNTIF(Table1[Return (keep sorted by this column!)],"&lt;"&amp;Table1[[#This Row],[Return (keep sorted by this column!)]])</f>
        <v>266</v>
      </c>
      <c r="M169" s="14" t="str">
        <f>IF(Table1[[#This Row],[Team]]="David",Table1[[#This Row],[Return (keep sorted by this column!)]],"")</f>
        <v/>
      </c>
      <c r="N169" s="14">
        <f>IF(Table1[[#This Row],[Team]]="Tom",Table1[[#This Row],[Return (keep sorted by this column!)]],"")</f>
        <v>0.58199999999999996</v>
      </c>
      <c r="O169" s="5">
        <v>0.161</v>
      </c>
      <c r="P169" s="23" t="str">
        <f>IF(Table1[[#This Row],[Team]]="David",Table1[[#This Row],[S&amp;P Return, same period]],"")</f>
        <v/>
      </c>
      <c r="Q169" s="23">
        <f>IF(Table1[[#This Row],[Team]]="Tom",Table1[[#This Row],[S&amp;P Return, same period]],"")</f>
        <v>0.161</v>
      </c>
      <c r="R169" s="5">
        <v>0.42099999999999999</v>
      </c>
      <c r="S169" s="14" t="str">
        <f>IF(Table1[[#This Row],[Team]]="David",Table1[[#This Row],[Difference Vs. S&amp;P Return]],"")</f>
        <v/>
      </c>
      <c r="T169" s="14">
        <f>IF(Table1[[#This Row],[Team]]="Tom",Table1[[#This Row],[Difference Vs. S&amp;P Return]],"")</f>
        <v>0.42099999999999999</v>
      </c>
      <c r="U169" s="14">
        <f>ROUND((1+Table1[[#This Row],[Return (keep sorted by this column!)]])/(1+Table1[[#This Row],[S&amp;P Return, same period]])-1,1)</f>
        <v>0.4</v>
      </c>
      <c r="V169" s="15" t="str">
        <f>IF(Table1[[#This Row],[Team]]="David",Table1[[#This Row],[Improvement Vs. S&amp;P Return]],"")</f>
        <v/>
      </c>
      <c r="W169" s="15">
        <f>IF(Table1[[#This Row],[Team]]="Tom",Table1[[#This Row],[Improvement Vs. S&amp;P Return]],"")</f>
        <v>0.4</v>
      </c>
    </row>
    <row r="170" spans="1:23" ht="17" x14ac:dyDescent="0.2">
      <c r="A170" s="18">
        <v>42083</v>
      </c>
      <c r="B170" s="2" t="s">
        <v>271</v>
      </c>
      <c r="C170" s="2">
        <f>SUBTOTAL(103,Table1[[#This Row],[Recommendation Date]])</f>
        <v>1</v>
      </c>
      <c r="D170" s="2">
        <f>1</f>
        <v>1</v>
      </c>
      <c r="E170" s="16" t="s">
        <v>271</v>
      </c>
      <c r="F170" s="3" t="s">
        <v>66</v>
      </c>
      <c r="G170" s="3" t="s">
        <v>12</v>
      </c>
      <c r="H170" s="16">
        <v>13</v>
      </c>
      <c r="I170" s="4">
        <v>93.75</v>
      </c>
      <c r="J170" s="5">
        <v>0.57599999999999996</v>
      </c>
      <c r="K170" s="48">
        <f>ROUND(LOG10(Table1[[#This Row],[Return (keep sorted by this column!)]]+1),2)</f>
        <v>0.2</v>
      </c>
      <c r="L170" s="48">
        <f>COUNTIF(Table1[Return (keep sorted by this column!)],"&lt;"&amp;Table1[[#This Row],[Return (keep sorted by this column!)]])</f>
        <v>265</v>
      </c>
      <c r="M170" s="76">
        <f>IF(Table1[[#This Row],[Team]]="David",Table1[[#This Row],[Return (keep sorted by this column!)]],"")</f>
        <v>0.57599999999999996</v>
      </c>
      <c r="N170" s="76" t="str">
        <f>IF(Table1[[#This Row],[Team]]="Tom",Table1[[#This Row],[Return (keep sorted by this column!)]],"")</f>
        <v/>
      </c>
      <c r="O170" s="5">
        <v>0.442</v>
      </c>
      <c r="P170" s="68">
        <f>IF(Table1[[#This Row],[Team]]="David",Table1[[#This Row],[S&amp;P Return, same period]],"")</f>
        <v>0.442</v>
      </c>
      <c r="Q170" s="68" t="str">
        <f>IF(Table1[[#This Row],[Team]]="Tom",Table1[[#This Row],[S&amp;P Return, same period]],"")</f>
        <v/>
      </c>
      <c r="R170" s="5">
        <v>0.13400000000000001</v>
      </c>
      <c r="S170" s="14">
        <f>IF(Table1[[#This Row],[Team]]="David",Table1[[#This Row],[Difference Vs. S&amp;P Return]],"")</f>
        <v>0.13400000000000001</v>
      </c>
      <c r="T170" s="14" t="str">
        <f>IF(Table1[[#This Row],[Team]]="Tom",Table1[[#This Row],[Difference Vs. S&amp;P Return]],"")</f>
        <v/>
      </c>
      <c r="U170" s="14">
        <f>ROUND((1+Table1[[#This Row],[Return (keep sorted by this column!)]])/(1+Table1[[#This Row],[S&amp;P Return, same period]])-1,1)</f>
        <v>0.1</v>
      </c>
      <c r="V170" s="15">
        <f>IF(Table1[[#This Row],[Team]]="David",Table1[[#This Row],[Improvement Vs. S&amp;P Return]],"")</f>
        <v>0.1</v>
      </c>
      <c r="W170" s="15" t="str">
        <f>IF(Table1[[#This Row],[Team]]="Tom",Table1[[#This Row],[Improvement Vs. S&amp;P Return]],"")</f>
        <v/>
      </c>
    </row>
    <row r="171" spans="1:23" ht="60" x14ac:dyDescent="0.2">
      <c r="A171" s="1">
        <v>40466</v>
      </c>
      <c r="B171" s="2" t="s">
        <v>442</v>
      </c>
      <c r="C171" s="2">
        <f>SUBTOTAL(103,Table1[[#This Row],[Recommendation Date]])</f>
        <v>1</v>
      </c>
      <c r="D171" s="2">
        <f>1</f>
        <v>1</v>
      </c>
      <c r="E171" s="16" t="s">
        <v>443</v>
      </c>
      <c r="F171" s="3" t="s">
        <v>15</v>
      </c>
      <c r="G171" s="3" t="s">
        <v>8</v>
      </c>
      <c r="H171" s="17"/>
      <c r="I171" s="4">
        <v>15.85</v>
      </c>
      <c r="J171" s="5">
        <v>0.56499999999999995</v>
      </c>
      <c r="K171" s="48">
        <f>ROUND(LOG10(Table1[[#This Row],[Return (keep sorted by this column!)]]+1),2)</f>
        <v>0.19</v>
      </c>
      <c r="L171" s="48">
        <f>COUNTIF(Table1[Return (keep sorted by this column!)],"&lt;"&amp;Table1[[#This Row],[Return (keep sorted by this column!)]])</f>
        <v>264</v>
      </c>
      <c r="M171" s="76" t="str">
        <f>IF(Table1[[#This Row],[Team]]="David",Table1[[#This Row],[Return (keep sorted by this column!)]],"")</f>
        <v/>
      </c>
      <c r="N171" s="76">
        <f>IF(Table1[[#This Row],[Team]]="Tom",Table1[[#This Row],[Return (keep sorted by this column!)]],"")</f>
        <v>0.56499999999999995</v>
      </c>
      <c r="O171" s="5">
        <v>1.7070000000000001</v>
      </c>
      <c r="P171" s="68" t="str">
        <f>IF(Table1[[#This Row],[Team]]="David",Table1[[#This Row],[S&amp;P Return, same period]],"")</f>
        <v/>
      </c>
      <c r="Q171" s="68">
        <f>IF(Table1[[#This Row],[Team]]="Tom",Table1[[#This Row],[S&amp;P Return, same period]],"")</f>
        <v>1.7070000000000001</v>
      </c>
      <c r="R171" s="5">
        <v>-1.1419999999999999</v>
      </c>
      <c r="S171" s="14" t="str">
        <f>IF(Table1[[#This Row],[Team]]="David",Table1[[#This Row],[Difference Vs. S&amp;P Return]],"")</f>
        <v/>
      </c>
      <c r="T171" s="14">
        <f>IF(Table1[[#This Row],[Team]]="Tom",Table1[[#This Row],[Difference Vs. S&amp;P Return]],"")</f>
        <v>-1.1419999999999999</v>
      </c>
      <c r="U171" s="14">
        <f>ROUND((1+Table1[[#This Row],[Return (keep sorted by this column!)]])/(1+Table1[[#This Row],[S&amp;P Return, same period]])-1,1)</f>
        <v>-0.4</v>
      </c>
      <c r="V171" s="15" t="str">
        <f>IF(Table1[[#This Row],[Team]]="David",Table1[[#This Row],[Improvement Vs. S&amp;P Return]],"")</f>
        <v/>
      </c>
      <c r="W171" s="15">
        <f>IF(Table1[[#This Row],[Team]]="Tom",Table1[[#This Row],[Improvement Vs. S&amp;P Return]],"")</f>
        <v>-0.4</v>
      </c>
    </row>
    <row r="172" spans="1:23" ht="17" x14ac:dyDescent="0.2">
      <c r="A172" s="18">
        <v>41719</v>
      </c>
      <c r="B172" s="2" t="s">
        <v>311</v>
      </c>
      <c r="C172" s="2">
        <f>SUBTOTAL(103,Table1[[#This Row],[Recommendation Date]])</f>
        <v>1</v>
      </c>
      <c r="D172" s="2">
        <f>1</f>
        <v>1</v>
      </c>
      <c r="E172" s="16" t="s">
        <v>312</v>
      </c>
      <c r="F172" s="3" t="s">
        <v>66</v>
      </c>
      <c r="G172" s="3" t="s">
        <v>12</v>
      </c>
      <c r="H172" s="16">
        <v>10</v>
      </c>
      <c r="I172" s="4">
        <v>90.8</v>
      </c>
      <c r="J172" s="5">
        <v>0.56399999999999995</v>
      </c>
      <c r="K172" s="48">
        <f>ROUND(LOG10(Table1[[#This Row],[Return (keep sorted by this column!)]]+1),2)</f>
        <v>0.19</v>
      </c>
      <c r="L172" s="48">
        <f>COUNTIF(Table1[Return (keep sorted by this column!)],"&lt;"&amp;Table1[[#This Row],[Return (keep sorted by this column!)]])</f>
        <v>263</v>
      </c>
      <c r="M172" s="76">
        <f>IF(Table1[[#This Row],[Team]]="David",Table1[[#This Row],[Return (keep sorted by this column!)]],"")</f>
        <v>0.56399999999999995</v>
      </c>
      <c r="N172" s="76" t="str">
        <f>IF(Table1[[#This Row],[Team]]="Tom",Table1[[#This Row],[Return (keep sorted by this column!)]],"")</f>
        <v/>
      </c>
      <c r="O172" s="5">
        <v>0.66200000000000003</v>
      </c>
      <c r="P172" s="68">
        <f>IF(Table1[[#This Row],[Team]]="David",Table1[[#This Row],[S&amp;P Return, same period]],"")</f>
        <v>0.66200000000000003</v>
      </c>
      <c r="Q172" s="68" t="str">
        <f>IF(Table1[[#This Row],[Team]]="Tom",Table1[[#This Row],[S&amp;P Return, same period]],"")</f>
        <v/>
      </c>
      <c r="R172" s="5">
        <v>-9.9000000000000005E-2</v>
      </c>
      <c r="S172" s="14">
        <f>IF(Table1[[#This Row],[Team]]="David",Table1[[#This Row],[Difference Vs. S&amp;P Return]],"")</f>
        <v>-9.9000000000000005E-2</v>
      </c>
      <c r="T172" s="14" t="str">
        <f>IF(Table1[[#This Row],[Team]]="Tom",Table1[[#This Row],[Difference Vs. S&amp;P Return]],"")</f>
        <v/>
      </c>
      <c r="U172" s="14">
        <f>ROUND((1+Table1[[#This Row],[Return (keep sorted by this column!)]])/(1+Table1[[#This Row],[S&amp;P Return, same period]])-1,1)</f>
        <v>-0.1</v>
      </c>
      <c r="V172" s="15">
        <f>IF(Table1[[#This Row],[Team]]="David",Table1[[#This Row],[Improvement Vs. S&amp;P Return]],"")</f>
        <v>-0.1</v>
      </c>
      <c r="W172" s="15" t="str">
        <f>IF(Table1[[#This Row],[Team]]="Tom",Table1[[#This Row],[Improvement Vs. S&amp;P Return]],"")</f>
        <v/>
      </c>
    </row>
    <row r="173" spans="1:23" ht="60" x14ac:dyDescent="0.2">
      <c r="A173" s="1">
        <v>39675</v>
      </c>
      <c r="B173" s="2" t="s">
        <v>539</v>
      </c>
      <c r="C173" s="2">
        <f>SUBTOTAL(103,Table1[[#This Row],[Recommendation Date]])</f>
        <v>1</v>
      </c>
      <c r="D173" s="2">
        <f>1</f>
        <v>1</v>
      </c>
      <c r="E173" s="16" t="s">
        <v>540</v>
      </c>
      <c r="F173" s="3" t="s">
        <v>252</v>
      </c>
      <c r="G173" s="3" t="s">
        <v>12</v>
      </c>
      <c r="H173" s="17"/>
      <c r="I173" s="4">
        <v>10.56</v>
      </c>
      <c r="J173" s="5">
        <v>0.56299999999999994</v>
      </c>
      <c r="K173" s="48">
        <f>ROUND(LOG10(Table1[[#This Row],[Return (keep sorted by this column!)]]+1),2)</f>
        <v>0.19</v>
      </c>
      <c r="L173" s="48">
        <f>COUNTIF(Table1[Return (keep sorted by this column!)],"&lt;"&amp;Table1[[#This Row],[Return (keep sorted by this column!)]])</f>
        <v>262</v>
      </c>
      <c r="M173" s="14">
        <f>IF(Table1[[#This Row],[Team]]="David",Table1[[#This Row],[Return (keep sorted by this column!)]],"")</f>
        <v>0.56299999999999994</v>
      </c>
      <c r="N173" s="14" t="str">
        <f>IF(Table1[[#This Row],[Team]]="Tom",Table1[[#This Row],[Return (keep sorted by this column!)]],"")</f>
        <v/>
      </c>
      <c r="O173" s="5">
        <v>0.24299999999999999</v>
      </c>
      <c r="P173" s="23">
        <f>IF(Table1[[#This Row],[Team]]="David",Table1[[#This Row],[S&amp;P Return, same period]],"")</f>
        <v>0.24299999999999999</v>
      </c>
      <c r="Q173" s="23" t="str">
        <f>IF(Table1[[#This Row],[Team]]="Tom",Table1[[#This Row],[S&amp;P Return, same period]],"")</f>
        <v/>
      </c>
      <c r="R173" s="5">
        <v>0.32</v>
      </c>
      <c r="S173" s="14">
        <f>IF(Table1[[#This Row],[Team]]="David",Table1[[#This Row],[Difference Vs. S&amp;P Return]],"")</f>
        <v>0.32</v>
      </c>
      <c r="T173" s="14" t="str">
        <f>IF(Table1[[#This Row],[Team]]="Tom",Table1[[#This Row],[Difference Vs. S&amp;P Return]],"")</f>
        <v/>
      </c>
      <c r="U173" s="14">
        <f>ROUND((1+Table1[[#This Row],[Return (keep sorted by this column!)]])/(1+Table1[[#This Row],[S&amp;P Return, same period]])-1,1)</f>
        <v>0.3</v>
      </c>
      <c r="V173" s="15">
        <f>IF(Table1[[#This Row],[Team]]="David",Table1[[#This Row],[Improvement Vs. S&amp;P Return]],"")</f>
        <v>0.3</v>
      </c>
      <c r="W173" s="15" t="str">
        <f>IF(Table1[[#This Row],[Team]]="Tom",Table1[[#This Row],[Improvement Vs. S&amp;P Return]],"")</f>
        <v/>
      </c>
    </row>
    <row r="174" spans="1:23" ht="45" x14ac:dyDescent="0.2">
      <c r="A174" s="1">
        <v>39311</v>
      </c>
      <c r="B174" s="2" t="s">
        <v>571</v>
      </c>
      <c r="C174" s="2">
        <f>SUBTOTAL(103,Table1[[#This Row],[Recommendation Date]])</f>
        <v>1</v>
      </c>
      <c r="D174" s="2">
        <f>1</f>
        <v>1</v>
      </c>
      <c r="E174" s="16" t="s">
        <v>572</v>
      </c>
      <c r="F174" s="3" t="s">
        <v>157</v>
      </c>
      <c r="G174" s="3" t="s">
        <v>8</v>
      </c>
      <c r="H174" s="17"/>
      <c r="I174" s="4">
        <v>7.46</v>
      </c>
      <c r="J174" s="5">
        <v>0.54600000000000004</v>
      </c>
      <c r="K174" s="48">
        <f>ROUND(LOG10(Table1[[#This Row],[Return (keep sorted by this column!)]]+1),2)</f>
        <v>0.19</v>
      </c>
      <c r="L174" s="48">
        <f>COUNTIF(Table1[Return (keep sorted by this column!)],"&lt;"&amp;Table1[[#This Row],[Return (keep sorted by this column!)]])</f>
        <v>261</v>
      </c>
      <c r="M174" s="14" t="str">
        <f>IF(Table1[[#This Row],[Team]]="David",Table1[[#This Row],[Return (keep sorted by this column!)]],"")</f>
        <v/>
      </c>
      <c r="N174" s="14">
        <f>IF(Table1[[#This Row],[Team]]="Tom",Table1[[#This Row],[Return (keep sorted by this column!)]],"")</f>
        <v>0.54600000000000004</v>
      </c>
      <c r="O174" s="5">
        <v>-7.1999999999999995E-2</v>
      </c>
      <c r="P174" s="23" t="str">
        <f>IF(Table1[[#This Row],[Team]]="David",Table1[[#This Row],[S&amp;P Return, same period]],"")</f>
        <v/>
      </c>
      <c r="Q174" s="23">
        <f>IF(Table1[[#This Row],[Team]]="Tom",Table1[[#This Row],[S&amp;P Return, same period]],"")</f>
        <v>-7.1999999999999995E-2</v>
      </c>
      <c r="R174" s="5">
        <v>0.61799999999999999</v>
      </c>
      <c r="S174" s="14" t="str">
        <f>IF(Table1[[#This Row],[Team]]="David",Table1[[#This Row],[Difference Vs. S&amp;P Return]],"")</f>
        <v/>
      </c>
      <c r="T174" s="14">
        <f>IF(Table1[[#This Row],[Team]]="Tom",Table1[[#This Row],[Difference Vs. S&amp;P Return]],"")</f>
        <v>0.61799999999999999</v>
      </c>
      <c r="U174" s="14">
        <f>ROUND((1+Table1[[#This Row],[Return (keep sorted by this column!)]])/(1+Table1[[#This Row],[S&amp;P Return, same period]])-1,1)</f>
        <v>0.7</v>
      </c>
      <c r="V174" s="15" t="str">
        <f>IF(Table1[[#This Row],[Team]]="David",Table1[[#This Row],[Improvement Vs. S&amp;P Return]],"")</f>
        <v/>
      </c>
      <c r="W174" s="15">
        <f>IF(Table1[[#This Row],[Team]]="Tom",Table1[[#This Row],[Improvement Vs. S&amp;P Return]],"")</f>
        <v>0.7</v>
      </c>
    </row>
    <row r="175" spans="1:23" ht="17" x14ac:dyDescent="0.2">
      <c r="A175" s="18">
        <v>42020</v>
      </c>
      <c r="B175" s="2" t="s">
        <v>272</v>
      </c>
      <c r="C175" s="2">
        <f>SUBTOTAL(103,Table1[[#This Row],[Recommendation Date]])</f>
        <v>1</v>
      </c>
      <c r="D175" s="2">
        <f>1</f>
        <v>1</v>
      </c>
      <c r="E175" s="16" t="s">
        <v>273</v>
      </c>
      <c r="F175" s="3" t="s">
        <v>41</v>
      </c>
      <c r="G175" s="3" t="s">
        <v>8</v>
      </c>
      <c r="H175" s="17"/>
      <c r="I175" s="4">
        <v>37.56</v>
      </c>
      <c r="J175" s="5">
        <v>0.53900000000000003</v>
      </c>
      <c r="K175" s="48">
        <f>ROUND(LOG10(Table1[[#This Row],[Return (keep sorted by this column!)]]+1),2)</f>
        <v>0.19</v>
      </c>
      <c r="L175" s="48">
        <f>COUNTIF(Table1[Return (keep sorted by this column!)],"&lt;"&amp;Table1[[#This Row],[Return (keep sorted by this column!)]])</f>
        <v>260</v>
      </c>
      <c r="M175" s="76" t="str">
        <f>IF(Table1[[#This Row],[Team]]="David",Table1[[#This Row],[Return (keep sorted by this column!)]],"")</f>
        <v/>
      </c>
      <c r="N175" s="76">
        <f>IF(Table1[[#This Row],[Team]]="Tom",Table1[[#This Row],[Return (keep sorted by this column!)]],"")</f>
        <v>0.53900000000000003</v>
      </c>
      <c r="O175" s="5">
        <v>0.51100000000000001</v>
      </c>
      <c r="P175" s="68" t="str">
        <f>IF(Table1[[#This Row],[Team]]="David",Table1[[#This Row],[S&amp;P Return, same period]],"")</f>
        <v/>
      </c>
      <c r="Q175" s="68">
        <f>IF(Table1[[#This Row],[Team]]="Tom",Table1[[#This Row],[S&amp;P Return, same period]],"")</f>
        <v>0.51100000000000001</v>
      </c>
      <c r="R175" s="5">
        <v>2.8000000000000001E-2</v>
      </c>
      <c r="S175" s="14" t="str">
        <f>IF(Table1[[#This Row],[Team]]="David",Table1[[#This Row],[Difference Vs. S&amp;P Return]],"")</f>
        <v/>
      </c>
      <c r="T175" s="14">
        <f>IF(Table1[[#This Row],[Team]]="Tom",Table1[[#This Row],[Difference Vs. S&amp;P Return]],"")</f>
        <v>2.8000000000000001E-2</v>
      </c>
      <c r="U175" s="14">
        <f>ROUND((1+Table1[[#This Row],[Return (keep sorted by this column!)]])/(1+Table1[[#This Row],[S&amp;P Return, same period]])-1,1)</f>
        <v>0</v>
      </c>
      <c r="V175" s="15" t="str">
        <f>IF(Table1[[#This Row],[Team]]="David",Table1[[#This Row],[Improvement Vs. S&amp;P Return]],"")</f>
        <v/>
      </c>
      <c r="W175" s="15">
        <f>IF(Table1[[#This Row],[Team]]="Tom",Table1[[#This Row],[Improvement Vs. S&amp;P Return]],"")</f>
        <v>0</v>
      </c>
    </row>
    <row r="176" spans="1:23" ht="60" x14ac:dyDescent="0.2">
      <c r="A176" s="1">
        <v>38583</v>
      </c>
      <c r="B176" s="2" t="s">
        <v>350</v>
      </c>
      <c r="C176" s="2">
        <f>SUBTOTAL(103,Table1[[#This Row],[Recommendation Date]])</f>
        <v>1</v>
      </c>
      <c r="D176" s="2">
        <f>1</f>
        <v>1</v>
      </c>
      <c r="E176" s="16" t="s">
        <v>351</v>
      </c>
      <c r="F176" s="3" t="s">
        <v>252</v>
      </c>
      <c r="G176" s="3" t="s">
        <v>12</v>
      </c>
      <c r="H176" s="17"/>
      <c r="I176" s="4">
        <v>27.57</v>
      </c>
      <c r="J176" s="5">
        <v>0.51400000000000001</v>
      </c>
      <c r="K176" s="48">
        <f>ROUND(LOG10(Table1[[#This Row],[Return (keep sorted by this column!)]]+1),2)</f>
        <v>0.18</v>
      </c>
      <c r="L176" s="48">
        <f>COUNTIF(Table1[Return (keep sorted by this column!)],"&lt;"&amp;Table1[[#This Row],[Return (keep sorted by this column!)]])</f>
        <v>259</v>
      </c>
      <c r="M176" s="14">
        <f>IF(Table1[[#This Row],[Team]]="David",Table1[[#This Row],[Return (keep sorted by this column!)]],"")</f>
        <v>0.51400000000000001</v>
      </c>
      <c r="N176" s="14" t="str">
        <f>IF(Table1[[#This Row],[Team]]="Tom",Table1[[#This Row],[Return (keep sorted by this column!)]],"")</f>
        <v/>
      </c>
      <c r="O176" s="5">
        <v>1.613</v>
      </c>
      <c r="P176" s="23">
        <f>IF(Table1[[#This Row],[Team]]="David",Table1[[#This Row],[S&amp;P Return, same period]],"")</f>
        <v>1.613</v>
      </c>
      <c r="Q176" s="23" t="str">
        <f>IF(Table1[[#This Row],[Team]]="Tom",Table1[[#This Row],[S&amp;P Return, same period]],"")</f>
        <v/>
      </c>
      <c r="R176" s="5">
        <v>-1.0980000000000001</v>
      </c>
      <c r="S176" s="14">
        <f>IF(Table1[[#This Row],[Team]]="David",Table1[[#This Row],[Difference Vs. S&amp;P Return]],"")</f>
        <v>-1.0980000000000001</v>
      </c>
      <c r="T176" s="14" t="str">
        <f>IF(Table1[[#This Row],[Team]]="Tom",Table1[[#This Row],[Difference Vs. S&amp;P Return]],"")</f>
        <v/>
      </c>
      <c r="U176" s="14">
        <f>ROUND((1+Table1[[#This Row],[Return (keep sorted by this column!)]])/(1+Table1[[#This Row],[S&amp;P Return, same period]])-1,1)</f>
        <v>-0.4</v>
      </c>
      <c r="V176" s="15">
        <f>IF(Table1[[#This Row],[Team]]="David",Table1[[#This Row],[Improvement Vs. S&amp;P Return]],"")</f>
        <v>-0.4</v>
      </c>
      <c r="W176" s="15" t="str">
        <f>IF(Table1[[#This Row],[Team]]="Tom",Table1[[#This Row],[Improvement Vs. S&amp;P Return]],"")</f>
        <v/>
      </c>
    </row>
    <row r="177" spans="1:23" ht="30" x14ac:dyDescent="0.2">
      <c r="A177" s="1">
        <v>38492</v>
      </c>
      <c r="B177" s="2" t="s">
        <v>653</v>
      </c>
      <c r="C177" s="2">
        <f>SUBTOTAL(103,Table1[[#This Row],[Recommendation Date]])</f>
        <v>1</v>
      </c>
      <c r="D177" s="2">
        <f>1</f>
        <v>1</v>
      </c>
      <c r="E177" s="16" t="s">
        <v>654</v>
      </c>
      <c r="F177" s="3" t="s">
        <v>252</v>
      </c>
      <c r="G177" s="3" t="s">
        <v>8</v>
      </c>
      <c r="H177" s="17"/>
      <c r="I177" s="4">
        <v>58.37</v>
      </c>
      <c r="J177" s="5">
        <v>0.503</v>
      </c>
      <c r="K177" s="48">
        <f>ROUND(LOG10(Table1[[#This Row],[Return (keep sorted by this column!)]]+1),2)</f>
        <v>0.18</v>
      </c>
      <c r="L177" s="48">
        <f>COUNTIF(Table1[Return (keep sorted by this column!)],"&lt;"&amp;Table1[[#This Row],[Return (keep sorted by this column!)]])</f>
        <v>258</v>
      </c>
      <c r="M177" s="14" t="str">
        <f>IF(Table1[[#This Row],[Team]]="David",Table1[[#This Row],[Return (keep sorted by this column!)]],"")</f>
        <v/>
      </c>
      <c r="N177" s="14">
        <f>IF(Table1[[#This Row],[Team]]="Tom",Table1[[#This Row],[Return (keep sorted by this column!)]],"")</f>
        <v>0.503</v>
      </c>
      <c r="O177" s="5">
        <v>0.373</v>
      </c>
      <c r="P177" s="23" t="str">
        <f>IF(Table1[[#This Row],[Team]]="David",Table1[[#This Row],[S&amp;P Return, same period]],"")</f>
        <v/>
      </c>
      <c r="Q177" s="23">
        <f>IF(Table1[[#This Row],[Team]]="Tom",Table1[[#This Row],[S&amp;P Return, same period]],"")</f>
        <v>0.373</v>
      </c>
      <c r="R177" s="5">
        <v>0.13</v>
      </c>
      <c r="S177" s="14" t="str">
        <f>IF(Table1[[#This Row],[Team]]="David",Table1[[#This Row],[Difference Vs. S&amp;P Return]],"")</f>
        <v/>
      </c>
      <c r="T177" s="14">
        <f>IF(Table1[[#This Row],[Team]]="Tom",Table1[[#This Row],[Difference Vs. S&amp;P Return]],"")</f>
        <v>0.13</v>
      </c>
      <c r="U177" s="14">
        <f>ROUND((1+Table1[[#This Row],[Return (keep sorted by this column!)]])/(1+Table1[[#This Row],[S&amp;P Return, same period]])-1,1)</f>
        <v>0.1</v>
      </c>
      <c r="V177" s="15" t="str">
        <f>IF(Table1[[#This Row],[Team]]="David",Table1[[#This Row],[Improvement Vs. S&amp;P Return]],"")</f>
        <v/>
      </c>
      <c r="W177" s="15">
        <f>IF(Table1[[#This Row],[Team]]="Tom",Table1[[#This Row],[Improvement Vs. S&amp;P Return]],"")</f>
        <v>0.1</v>
      </c>
    </row>
    <row r="178" spans="1:23" ht="30" x14ac:dyDescent="0.2">
      <c r="A178" s="18">
        <v>42538</v>
      </c>
      <c r="B178" s="2" t="s">
        <v>201</v>
      </c>
      <c r="C178" s="2">
        <f>SUBTOTAL(103,Table1[[#This Row],[Recommendation Date]])</f>
        <v>1</v>
      </c>
      <c r="D178" s="2">
        <f>1</f>
        <v>1</v>
      </c>
      <c r="E178" s="16" t="s">
        <v>202</v>
      </c>
      <c r="F178" s="3" t="s">
        <v>36</v>
      </c>
      <c r="G178" s="3" t="s">
        <v>8</v>
      </c>
      <c r="H178" s="17"/>
      <c r="I178" s="4">
        <v>98.61</v>
      </c>
      <c r="J178" s="5">
        <v>0.502</v>
      </c>
      <c r="K178" s="48">
        <f>ROUND(LOG10(Table1[[#This Row],[Return (keep sorted by this column!)]]+1),2)</f>
        <v>0.18</v>
      </c>
      <c r="L178" s="48">
        <f>COUNTIF(Table1[Return (keep sorted by this column!)],"&lt;"&amp;Table1[[#This Row],[Return (keep sorted by this column!)]])</f>
        <v>257</v>
      </c>
      <c r="M178" s="76" t="str">
        <f>IF(Table1[[#This Row],[Team]]="David",Table1[[#This Row],[Return (keep sorted by this column!)]],"")</f>
        <v/>
      </c>
      <c r="N178" s="76">
        <f>IF(Table1[[#This Row],[Team]]="Tom",Table1[[#This Row],[Return (keep sorted by this column!)]],"")</f>
        <v>0.502</v>
      </c>
      <c r="O178" s="5">
        <v>0.42899999999999999</v>
      </c>
      <c r="P178" s="68" t="str">
        <f>IF(Table1[[#This Row],[Team]]="David",Table1[[#This Row],[S&amp;P Return, same period]],"")</f>
        <v/>
      </c>
      <c r="Q178" s="68">
        <f>IF(Table1[[#This Row],[Team]]="Tom",Table1[[#This Row],[S&amp;P Return, same period]],"")</f>
        <v>0.42899999999999999</v>
      </c>
      <c r="R178" s="5">
        <v>7.3999999999999996E-2</v>
      </c>
      <c r="S178" s="14" t="str">
        <f>IF(Table1[[#This Row],[Team]]="David",Table1[[#This Row],[Difference Vs. S&amp;P Return]],"")</f>
        <v/>
      </c>
      <c r="T178" s="14">
        <f>IF(Table1[[#This Row],[Team]]="Tom",Table1[[#This Row],[Difference Vs. S&amp;P Return]],"")</f>
        <v>7.3999999999999996E-2</v>
      </c>
      <c r="U178" s="14">
        <f>ROUND((1+Table1[[#This Row],[Return (keep sorted by this column!)]])/(1+Table1[[#This Row],[S&amp;P Return, same period]])-1,1)</f>
        <v>0.1</v>
      </c>
      <c r="V178" s="15" t="str">
        <f>IF(Table1[[#This Row],[Team]]="David",Table1[[#This Row],[Improvement Vs. S&amp;P Return]],"")</f>
        <v/>
      </c>
      <c r="W178" s="15">
        <f>IF(Table1[[#This Row],[Team]]="Tom",Table1[[#This Row],[Improvement Vs. S&amp;P Return]],"")</f>
        <v>0.1</v>
      </c>
    </row>
    <row r="179" spans="1:23" ht="60" x14ac:dyDescent="0.2">
      <c r="A179" s="1">
        <v>37540</v>
      </c>
      <c r="B179" s="2" t="s">
        <v>727</v>
      </c>
      <c r="C179" s="2">
        <f>SUBTOTAL(103,Table1[[#This Row],[Recommendation Date]])</f>
        <v>1</v>
      </c>
      <c r="D179" s="2">
        <f>1</f>
        <v>1</v>
      </c>
      <c r="E179" s="16" t="s">
        <v>728</v>
      </c>
      <c r="F179" s="3" t="s">
        <v>252</v>
      </c>
      <c r="G179" s="3" t="s">
        <v>12</v>
      </c>
      <c r="H179" s="17"/>
      <c r="I179" s="4">
        <v>6.03</v>
      </c>
      <c r="J179" s="5">
        <v>0.501</v>
      </c>
      <c r="K179" s="48">
        <f>ROUND(LOG10(Table1[[#This Row],[Return (keep sorted by this column!)]]+1),2)</f>
        <v>0.18</v>
      </c>
      <c r="L179" s="48">
        <f>COUNTIF(Table1[Return (keep sorted by this column!)],"&lt;"&amp;Table1[[#This Row],[Return (keep sorted by this column!)]])</f>
        <v>256</v>
      </c>
      <c r="M179" s="14">
        <f>IF(Table1[[#This Row],[Team]]="David",Table1[[#This Row],[Return (keep sorted by this column!)]],"")</f>
        <v>0.501</v>
      </c>
      <c r="N179" s="14" t="str">
        <f>IF(Table1[[#This Row],[Team]]="Tom",Table1[[#This Row],[Return (keep sorted by this column!)]],"")</f>
        <v/>
      </c>
      <c r="O179" s="5">
        <v>0.4</v>
      </c>
      <c r="P179" s="23">
        <f>IF(Table1[[#This Row],[Team]]="David",Table1[[#This Row],[S&amp;P Return, same period]],"")</f>
        <v>0.4</v>
      </c>
      <c r="Q179" s="23" t="str">
        <f>IF(Table1[[#This Row],[Team]]="Tom",Table1[[#This Row],[S&amp;P Return, same period]],"")</f>
        <v/>
      </c>
      <c r="R179" s="5">
        <v>0.10100000000000001</v>
      </c>
      <c r="S179" s="14">
        <f>IF(Table1[[#This Row],[Team]]="David",Table1[[#This Row],[Difference Vs. S&amp;P Return]],"")</f>
        <v>0.10100000000000001</v>
      </c>
      <c r="T179" s="14" t="str">
        <f>IF(Table1[[#This Row],[Team]]="Tom",Table1[[#This Row],[Difference Vs. S&amp;P Return]],"")</f>
        <v/>
      </c>
      <c r="U179" s="14">
        <f>ROUND((1+Table1[[#This Row],[Return (keep sorted by this column!)]])/(1+Table1[[#This Row],[S&amp;P Return, same period]])-1,1)</f>
        <v>0.1</v>
      </c>
      <c r="V179" s="15">
        <f>IF(Table1[[#This Row],[Team]]="David",Table1[[#This Row],[Improvement Vs. S&amp;P Return]],"")</f>
        <v>0.1</v>
      </c>
      <c r="W179" s="15" t="str">
        <f>IF(Table1[[#This Row],[Team]]="Tom",Table1[[#This Row],[Improvement Vs. S&amp;P Return]],"")</f>
        <v/>
      </c>
    </row>
    <row r="180" spans="1:23" ht="30" x14ac:dyDescent="0.2">
      <c r="A180" s="18">
        <v>41264</v>
      </c>
      <c r="B180" s="2" t="s">
        <v>356</v>
      </c>
      <c r="C180" s="2">
        <f>SUBTOTAL(103,Table1[[#This Row],[Recommendation Date]])</f>
        <v>1</v>
      </c>
      <c r="D180" s="2">
        <f>1</f>
        <v>1</v>
      </c>
      <c r="E180" s="16" t="s">
        <v>357</v>
      </c>
      <c r="F180" s="3" t="s">
        <v>58</v>
      </c>
      <c r="G180" s="3" t="s">
        <v>8</v>
      </c>
      <c r="H180" s="17"/>
      <c r="I180" s="4">
        <v>36.049999999999997</v>
      </c>
      <c r="J180" s="5">
        <v>0.498</v>
      </c>
      <c r="K180" s="48">
        <f>ROUND(LOG10(Table1[[#This Row],[Return (keep sorted by this column!)]]+1),2)</f>
        <v>0.18</v>
      </c>
      <c r="L180" s="48">
        <f>COUNTIF(Table1[Return (keep sorted by this column!)],"&lt;"&amp;Table1[[#This Row],[Return (keep sorted by this column!)]])</f>
        <v>255</v>
      </c>
      <c r="M180" s="76" t="str">
        <f>IF(Table1[[#This Row],[Team]]="David",Table1[[#This Row],[Return (keep sorted by this column!)]],"")</f>
        <v/>
      </c>
      <c r="N180" s="76">
        <f>IF(Table1[[#This Row],[Team]]="Tom",Table1[[#This Row],[Return (keep sorted by this column!)]],"")</f>
        <v>0.498</v>
      </c>
      <c r="O180" s="5">
        <v>1.228</v>
      </c>
      <c r="P180" s="68" t="str">
        <f>IF(Table1[[#This Row],[Team]]="David",Table1[[#This Row],[S&amp;P Return, same period]],"")</f>
        <v/>
      </c>
      <c r="Q180" s="68">
        <f>IF(Table1[[#This Row],[Team]]="Tom",Table1[[#This Row],[S&amp;P Return, same period]],"")</f>
        <v>1.228</v>
      </c>
      <c r="R180" s="5">
        <v>-0.73</v>
      </c>
      <c r="S180" s="14" t="str">
        <f>IF(Table1[[#This Row],[Team]]="David",Table1[[#This Row],[Difference Vs. S&amp;P Return]],"")</f>
        <v/>
      </c>
      <c r="T180" s="14">
        <f>IF(Table1[[#This Row],[Team]]="Tom",Table1[[#This Row],[Difference Vs. S&amp;P Return]],"")</f>
        <v>-0.73</v>
      </c>
      <c r="U180" s="14">
        <f>ROUND((1+Table1[[#This Row],[Return (keep sorted by this column!)]])/(1+Table1[[#This Row],[S&amp;P Return, same period]])-1,1)</f>
        <v>-0.3</v>
      </c>
      <c r="V180" s="15" t="str">
        <f>IF(Table1[[#This Row],[Team]]="David",Table1[[#This Row],[Improvement Vs. S&amp;P Return]],"")</f>
        <v/>
      </c>
      <c r="W180" s="15">
        <f>IF(Table1[[#This Row],[Team]]="Tom",Table1[[#This Row],[Improvement Vs. S&amp;P Return]],"")</f>
        <v>-0.3</v>
      </c>
    </row>
    <row r="181" spans="1:23" ht="60" x14ac:dyDescent="0.2">
      <c r="A181" s="1">
        <v>41502</v>
      </c>
      <c r="B181" s="2" t="s">
        <v>335</v>
      </c>
      <c r="C181" s="2">
        <f>SUBTOTAL(103,Table1[[#This Row],[Recommendation Date]])</f>
        <v>1</v>
      </c>
      <c r="D181" s="2">
        <f>1</f>
        <v>1</v>
      </c>
      <c r="E181" s="16" t="s">
        <v>336</v>
      </c>
      <c r="F181" s="3" t="s">
        <v>252</v>
      </c>
      <c r="G181" s="3" t="s">
        <v>8</v>
      </c>
      <c r="H181" s="17"/>
      <c r="I181" s="4">
        <v>104.92</v>
      </c>
      <c r="J181" s="5">
        <v>0.496</v>
      </c>
      <c r="K181" s="48">
        <f>ROUND(LOG10(Table1[[#This Row],[Return (keep sorted by this column!)]]+1),2)</f>
        <v>0.17</v>
      </c>
      <c r="L181" s="48">
        <f>COUNTIF(Table1[Return (keep sorted by this column!)],"&lt;"&amp;Table1[[#This Row],[Return (keep sorted by this column!)]])</f>
        <v>254</v>
      </c>
      <c r="M181" s="76" t="str">
        <f>IF(Table1[[#This Row],[Team]]="David",Table1[[#This Row],[Return (keep sorted by this column!)]],"")</f>
        <v/>
      </c>
      <c r="N181" s="76">
        <f>IF(Table1[[#This Row],[Team]]="Tom",Table1[[#This Row],[Return (keep sorted by this column!)]],"")</f>
        <v>0.496</v>
      </c>
      <c r="O181" s="5">
        <v>0.82899999999999996</v>
      </c>
      <c r="P181" s="68" t="str">
        <f>IF(Table1[[#This Row],[Team]]="David",Table1[[#This Row],[S&amp;P Return, same period]],"")</f>
        <v/>
      </c>
      <c r="Q181" s="68">
        <f>IF(Table1[[#This Row],[Team]]="Tom",Table1[[#This Row],[S&amp;P Return, same period]],"")</f>
        <v>0.82899999999999996</v>
      </c>
      <c r="R181" s="5">
        <v>-0.33400000000000002</v>
      </c>
      <c r="S181" s="14" t="str">
        <f>IF(Table1[[#This Row],[Team]]="David",Table1[[#This Row],[Difference Vs. S&amp;P Return]],"")</f>
        <v/>
      </c>
      <c r="T181" s="14">
        <f>IF(Table1[[#This Row],[Team]]="Tom",Table1[[#This Row],[Difference Vs. S&amp;P Return]],"")</f>
        <v>-0.33400000000000002</v>
      </c>
      <c r="U181" s="14">
        <f>ROUND((1+Table1[[#This Row],[Return (keep sorted by this column!)]])/(1+Table1[[#This Row],[S&amp;P Return, same period]])-1,1)</f>
        <v>-0.2</v>
      </c>
      <c r="V181" s="15" t="str">
        <f>IF(Table1[[#This Row],[Team]]="David",Table1[[#This Row],[Improvement Vs. S&amp;P Return]],"")</f>
        <v/>
      </c>
      <c r="W181" s="15">
        <f>IF(Table1[[#This Row],[Team]]="Tom",Table1[[#This Row],[Improvement Vs. S&amp;P Return]],"")</f>
        <v>-0.2</v>
      </c>
    </row>
    <row r="182" spans="1:23" ht="30" x14ac:dyDescent="0.2">
      <c r="A182" s="18">
        <v>43028</v>
      </c>
      <c r="B182" s="2" t="s">
        <v>137</v>
      </c>
      <c r="C182" s="2">
        <f>SUBTOTAL(103,Table1[[#This Row],[Recommendation Date]])</f>
        <v>1</v>
      </c>
      <c r="D182" s="2">
        <f>1</f>
        <v>1</v>
      </c>
      <c r="E182" s="16" t="s">
        <v>138</v>
      </c>
      <c r="F182" s="3" t="s">
        <v>139</v>
      </c>
      <c r="G182" s="3" t="s">
        <v>12</v>
      </c>
      <c r="H182" s="16">
        <v>10</v>
      </c>
      <c r="I182" s="4">
        <v>78.84</v>
      </c>
      <c r="J182" s="5">
        <v>0.48099999999999998</v>
      </c>
      <c r="K182" s="48">
        <f>ROUND(LOG10(Table1[[#This Row],[Return (keep sorted by this column!)]]+1),2)</f>
        <v>0.17</v>
      </c>
      <c r="L182" s="48">
        <f>COUNTIF(Table1[Return (keep sorted by this column!)],"&lt;"&amp;Table1[[#This Row],[Return (keep sorted by this column!)]])</f>
        <v>253</v>
      </c>
      <c r="M182" s="76">
        <f>IF(Table1[[#This Row],[Team]]="David",Table1[[#This Row],[Return (keep sorted by this column!)]],"")</f>
        <v>0.48099999999999998</v>
      </c>
      <c r="N182" s="76" t="str">
        <f>IF(Table1[[#This Row],[Team]]="Tom",Table1[[#This Row],[Return (keep sorted by this column!)]],"")</f>
        <v/>
      </c>
      <c r="O182" s="5">
        <v>0.11799999999999999</v>
      </c>
      <c r="P182" s="68">
        <f>IF(Table1[[#This Row],[Team]]="David",Table1[[#This Row],[S&amp;P Return, same period]],"")</f>
        <v>0.11799999999999999</v>
      </c>
      <c r="Q182" s="68" t="str">
        <f>IF(Table1[[#This Row],[Team]]="Tom",Table1[[#This Row],[S&amp;P Return, same period]],"")</f>
        <v/>
      </c>
      <c r="R182" s="5">
        <v>0.36199999999999999</v>
      </c>
      <c r="S182" s="14">
        <f>IF(Table1[[#This Row],[Team]]="David",Table1[[#This Row],[Difference Vs. S&amp;P Return]],"")</f>
        <v>0.36199999999999999</v>
      </c>
      <c r="T182" s="14" t="str">
        <f>IF(Table1[[#This Row],[Team]]="Tom",Table1[[#This Row],[Difference Vs. S&amp;P Return]],"")</f>
        <v/>
      </c>
      <c r="U182" s="14">
        <f>ROUND((1+Table1[[#This Row],[Return (keep sorted by this column!)]])/(1+Table1[[#This Row],[S&amp;P Return, same period]])-1,1)</f>
        <v>0.3</v>
      </c>
      <c r="V182" s="15">
        <f>IF(Table1[[#This Row],[Team]]="David",Table1[[#This Row],[Improvement Vs. S&amp;P Return]],"")</f>
        <v>0.3</v>
      </c>
      <c r="W182" s="15" t="str">
        <f>IF(Table1[[#This Row],[Team]]="Tom",Table1[[#This Row],[Improvement Vs. S&amp;P Return]],"")</f>
        <v/>
      </c>
    </row>
    <row r="183" spans="1:23" ht="45" x14ac:dyDescent="0.2">
      <c r="A183" s="18">
        <v>43741</v>
      </c>
      <c r="B183" s="2" t="s">
        <v>37</v>
      </c>
      <c r="C183" s="2">
        <f>SUBTOTAL(103,Table1[[#This Row],[Recommendation Date]])</f>
        <v>1</v>
      </c>
      <c r="D183" s="2">
        <f>1</f>
        <v>1</v>
      </c>
      <c r="E183" s="16" t="s">
        <v>38</v>
      </c>
      <c r="F183" s="3" t="s">
        <v>18</v>
      </c>
      <c r="G183" s="3" t="s">
        <v>8</v>
      </c>
      <c r="H183" s="17"/>
      <c r="I183" s="4">
        <v>76.83</v>
      </c>
      <c r="J183" s="5">
        <v>0.48</v>
      </c>
      <c r="K183" s="48">
        <f>ROUND(LOG10(Table1[[#This Row],[Return (keep sorted by this column!)]]+1),2)</f>
        <v>0.17</v>
      </c>
      <c r="L183" s="48">
        <f>COUNTIF(Table1[Return (keep sorted by this column!)],"&lt;"&amp;Table1[[#This Row],[Return (keep sorted by this column!)]])</f>
        <v>252</v>
      </c>
      <c r="M183" s="76" t="str">
        <f>IF(Table1[[#This Row],[Team]]="David",Table1[[#This Row],[Return (keep sorted by this column!)]],"")</f>
        <v/>
      </c>
      <c r="N183" s="76">
        <f>IF(Table1[[#This Row],[Team]]="Tom",Table1[[#This Row],[Return (keep sorted by this column!)]],"")</f>
        <v>0.48</v>
      </c>
      <c r="O183" s="5">
        <v>-4.8000000000000001E-2</v>
      </c>
      <c r="P183" s="68" t="str">
        <f>IF(Table1[[#This Row],[Team]]="David",Table1[[#This Row],[S&amp;P Return, same period]],"")</f>
        <v/>
      </c>
      <c r="Q183" s="68">
        <f>IF(Table1[[#This Row],[Team]]="Tom",Table1[[#This Row],[S&amp;P Return, same period]],"")</f>
        <v>-4.8000000000000001E-2</v>
      </c>
      <c r="R183" s="5">
        <v>0.52900000000000003</v>
      </c>
      <c r="S183" s="14" t="str">
        <f>IF(Table1[[#This Row],[Team]]="David",Table1[[#This Row],[Difference Vs. S&amp;P Return]],"")</f>
        <v/>
      </c>
      <c r="T183" s="14">
        <f>IF(Table1[[#This Row],[Team]]="Tom",Table1[[#This Row],[Difference Vs. S&amp;P Return]],"")</f>
        <v>0.52900000000000003</v>
      </c>
      <c r="U183" s="14">
        <f>ROUND((1+Table1[[#This Row],[Return (keep sorted by this column!)]])/(1+Table1[[#This Row],[S&amp;P Return, same period]])-1,1)</f>
        <v>0.6</v>
      </c>
      <c r="V183" s="15" t="str">
        <f>IF(Table1[[#This Row],[Team]]="David",Table1[[#This Row],[Improvement Vs. S&amp;P Return]],"")</f>
        <v/>
      </c>
      <c r="W183" s="15">
        <f>IF(Table1[[#This Row],[Team]]="Tom",Table1[[#This Row],[Improvement Vs. S&amp;P Return]],"")</f>
        <v>0.6</v>
      </c>
    </row>
    <row r="184" spans="1:23" ht="30" x14ac:dyDescent="0.2">
      <c r="A184" s="18">
        <v>42391</v>
      </c>
      <c r="B184" s="2" t="s">
        <v>228</v>
      </c>
      <c r="C184" s="2">
        <f>SUBTOTAL(103,Table1[[#This Row],[Recommendation Date]])</f>
        <v>1</v>
      </c>
      <c r="D184" s="2">
        <f>1</f>
        <v>1</v>
      </c>
      <c r="E184" s="16" t="s">
        <v>229</v>
      </c>
      <c r="F184" s="3" t="s">
        <v>66</v>
      </c>
      <c r="G184" s="3" t="s">
        <v>12</v>
      </c>
      <c r="H184" s="16">
        <v>6</v>
      </c>
      <c r="I184" s="4">
        <v>32.9</v>
      </c>
      <c r="J184" s="5">
        <v>0.46</v>
      </c>
      <c r="K184" s="48">
        <f>ROUND(LOG10(Table1[[#This Row],[Return (keep sorted by this column!)]]+1),2)</f>
        <v>0.16</v>
      </c>
      <c r="L184" s="48">
        <f>COUNTIF(Table1[Return (keep sorted by this column!)],"&lt;"&amp;Table1[[#This Row],[Return (keep sorted by this column!)]])</f>
        <v>251</v>
      </c>
      <c r="M184" s="76">
        <f>IF(Table1[[#This Row],[Team]]="David",Table1[[#This Row],[Return (keep sorted by this column!)]],"")</f>
        <v>0.46</v>
      </c>
      <c r="N184" s="76" t="str">
        <f>IF(Table1[[#This Row],[Team]]="Tom",Table1[[#This Row],[Return (keep sorted by this column!)]],"")</f>
        <v/>
      </c>
      <c r="O184" s="5">
        <v>0.56699999999999995</v>
      </c>
      <c r="P184" s="68">
        <f>IF(Table1[[#This Row],[Team]]="David",Table1[[#This Row],[S&amp;P Return, same period]],"")</f>
        <v>0.56699999999999995</v>
      </c>
      <c r="Q184" s="68" t="str">
        <f>IF(Table1[[#This Row],[Team]]="Tom",Table1[[#This Row],[S&amp;P Return, same period]],"")</f>
        <v/>
      </c>
      <c r="R184" s="5">
        <v>-0.107</v>
      </c>
      <c r="S184" s="14">
        <f>IF(Table1[[#This Row],[Team]]="David",Table1[[#This Row],[Difference Vs. S&amp;P Return]],"")</f>
        <v>-0.107</v>
      </c>
      <c r="T184" s="14" t="str">
        <f>IF(Table1[[#This Row],[Team]]="Tom",Table1[[#This Row],[Difference Vs. S&amp;P Return]],"")</f>
        <v/>
      </c>
      <c r="U184" s="14">
        <f>ROUND((1+Table1[[#This Row],[Return (keep sorted by this column!)]])/(1+Table1[[#This Row],[S&amp;P Return, same period]])-1,1)</f>
        <v>-0.1</v>
      </c>
      <c r="V184" s="15">
        <f>IF(Table1[[#This Row],[Team]]="David",Table1[[#This Row],[Improvement Vs. S&amp;P Return]],"")</f>
        <v>-0.1</v>
      </c>
      <c r="W184" s="15" t="str">
        <f>IF(Table1[[#This Row],[Team]]="Tom",Table1[[#This Row],[Improvement Vs. S&amp;P Return]],"")</f>
        <v/>
      </c>
    </row>
    <row r="185" spans="1:23" ht="17" x14ac:dyDescent="0.2">
      <c r="A185" s="18">
        <v>43174</v>
      </c>
      <c r="B185" s="2" t="s">
        <v>120</v>
      </c>
      <c r="C185" s="2">
        <f>SUBTOTAL(103,Table1[[#This Row],[Recommendation Date]])</f>
        <v>1</v>
      </c>
      <c r="D185" s="2">
        <f>1</f>
        <v>1</v>
      </c>
      <c r="E185" s="16" t="s">
        <v>121</v>
      </c>
      <c r="F185" s="3" t="s">
        <v>58</v>
      </c>
      <c r="G185" s="3" t="s">
        <v>12</v>
      </c>
      <c r="H185" s="16">
        <v>13</v>
      </c>
      <c r="I185" s="4">
        <v>43.06</v>
      </c>
      <c r="J185" s="5">
        <v>0.45700000000000002</v>
      </c>
      <c r="K185" s="48">
        <f>ROUND(LOG10(Table1[[#This Row],[Return (keep sorted by this column!)]]+1),2)</f>
        <v>0.16</v>
      </c>
      <c r="L185" s="48">
        <f>COUNTIF(Table1[Return (keep sorted by this column!)],"&lt;"&amp;Table1[[#This Row],[Return (keep sorted by this column!)]])</f>
        <v>250</v>
      </c>
      <c r="M185" s="76">
        <f>IF(Table1[[#This Row],[Team]]="David",Table1[[#This Row],[Return (keep sorted by this column!)]],"")</f>
        <v>0.45700000000000002</v>
      </c>
      <c r="N185" s="76" t="str">
        <f>IF(Table1[[#This Row],[Team]]="Tom",Table1[[#This Row],[Return (keep sorted by this column!)]],"")</f>
        <v/>
      </c>
      <c r="O185" s="5">
        <v>0.04</v>
      </c>
      <c r="P185" s="68">
        <f>IF(Table1[[#This Row],[Team]]="David",Table1[[#This Row],[S&amp;P Return, same period]],"")</f>
        <v>0.04</v>
      </c>
      <c r="Q185" s="68" t="str">
        <f>IF(Table1[[#This Row],[Team]]="Tom",Table1[[#This Row],[S&amp;P Return, same period]],"")</f>
        <v/>
      </c>
      <c r="R185" s="5">
        <v>0.41699999999999998</v>
      </c>
      <c r="S185" s="14">
        <f>IF(Table1[[#This Row],[Team]]="David",Table1[[#This Row],[Difference Vs. S&amp;P Return]],"")</f>
        <v>0.41699999999999998</v>
      </c>
      <c r="T185" s="14" t="str">
        <f>IF(Table1[[#This Row],[Team]]="Tom",Table1[[#This Row],[Difference Vs. S&amp;P Return]],"")</f>
        <v/>
      </c>
      <c r="U185" s="14">
        <f>ROUND((1+Table1[[#This Row],[Return (keep sorted by this column!)]])/(1+Table1[[#This Row],[S&amp;P Return, same period]])-1,1)</f>
        <v>0.4</v>
      </c>
      <c r="V185" s="15">
        <f>IF(Table1[[#This Row],[Team]]="David",Table1[[#This Row],[Improvement Vs. S&amp;P Return]],"")</f>
        <v>0.4</v>
      </c>
      <c r="W185" s="15" t="str">
        <f>IF(Table1[[#This Row],[Team]]="Tom",Table1[[#This Row],[Improvement Vs. S&amp;P Return]],"")</f>
        <v/>
      </c>
    </row>
    <row r="186" spans="1:23" ht="17" x14ac:dyDescent="0.2">
      <c r="A186" s="18">
        <v>41565</v>
      </c>
      <c r="B186" s="2" t="s">
        <v>329</v>
      </c>
      <c r="C186" s="2">
        <f>SUBTOTAL(103,Table1[[#This Row],[Recommendation Date]])</f>
        <v>1</v>
      </c>
      <c r="D186" s="2">
        <f>1</f>
        <v>1</v>
      </c>
      <c r="E186" s="16" t="s">
        <v>330</v>
      </c>
      <c r="F186" s="3" t="s">
        <v>27</v>
      </c>
      <c r="G186" s="3" t="s">
        <v>12</v>
      </c>
      <c r="H186" s="16">
        <v>11</v>
      </c>
      <c r="I186" s="4">
        <v>44.3</v>
      </c>
      <c r="J186" s="5">
        <v>0.439</v>
      </c>
      <c r="K186" s="48">
        <f>ROUND(LOG10(Table1[[#This Row],[Return (keep sorted by this column!)]]+1),2)</f>
        <v>0.16</v>
      </c>
      <c r="L186" s="48">
        <f>COUNTIF(Table1[Return (keep sorted by this column!)],"&lt;"&amp;Table1[[#This Row],[Return (keep sorted by this column!)]])</f>
        <v>249</v>
      </c>
      <c r="M186" s="76">
        <f>IF(Table1[[#This Row],[Team]]="David",Table1[[#This Row],[Return (keep sorted by this column!)]],"")</f>
        <v>0.439</v>
      </c>
      <c r="N186" s="76" t="str">
        <f>IF(Table1[[#This Row],[Team]]="Tom",Table1[[#This Row],[Return (keep sorted by this column!)]],"")</f>
        <v/>
      </c>
      <c r="O186" s="5">
        <v>0.79500000000000004</v>
      </c>
      <c r="P186" s="68">
        <f>IF(Table1[[#This Row],[Team]]="David",Table1[[#This Row],[S&amp;P Return, same period]],"")</f>
        <v>0.79500000000000004</v>
      </c>
      <c r="Q186" s="68" t="str">
        <f>IF(Table1[[#This Row],[Team]]="Tom",Table1[[#This Row],[S&amp;P Return, same period]],"")</f>
        <v/>
      </c>
      <c r="R186" s="5">
        <v>-0.35599999999999998</v>
      </c>
      <c r="S186" s="14">
        <f>IF(Table1[[#This Row],[Team]]="David",Table1[[#This Row],[Difference Vs. S&amp;P Return]],"")</f>
        <v>-0.35599999999999998</v>
      </c>
      <c r="T186" s="14" t="str">
        <f>IF(Table1[[#This Row],[Team]]="Tom",Table1[[#This Row],[Difference Vs. S&amp;P Return]],"")</f>
        <v/>
      </c>
      <c r="U186" s="14">
        <f>ROUND((1+Table1[[#This Row],[Return (keep sorted by this column!)]])/(1+Table1[[#This Row],[S&amp;P Return, same period]])-1,1)</f>
        <v>-0.2</v>
      </c>
      <c r="V186" s="15">
        <f>IF(Table1[[#This Row],[Team]]="David",Table1[[#This Row],[Improvement Vs. S&amp;P Return]],"")</f>
        <v>-0.2</v>
      </c>
      <c r="W186" s="15" t="str">
        <f>IF(Table1[[#This Row],[Team]]="Tom",Table1[[#This Row],[Improvement Vs. S&amp;P Return]],"")</f>
        <v/>
      </c>
    </row>
    <row r="187" spans="1:23" ht="17" x14ac:dyDescent="0.2">
      <c r="A187" s="18">
        <v>41045</v>
      </c>
      <c r="B187" s="2" t="s">
        <v>382</v>
      </c>
      <c r="C187" s="2">
        <f>SUBTOTAL(103,Table1[[#This Row],[Recommendation Date]])</f>
        <v>1</v>
      </c>
      <c r="D187" s="2">
        <f>1</f>
        <v>1</v>
      </c>
      <c r="E187" s="16" t="s">
        <v>382</v>
      </c>
      <c r="F187" s="3" t="s">
        <v>36</v>
      </c>
      <c r="G187" s="3" t="s">
        <v>12</v>
      </c>
      <c r="H187" s="16">
        <v>13</v>
      </c>
      <c r="I187" s="4">
        <v>18.079999999999998</v>
      </c>
      <c r="J187" s="5">
        <v>0.433</v>
      </c>
      <c r="K187" s="48">
        <f>ROUND(LOG10(Table1[[#This Row],[Return (keep sorted by this column!)]]+1),2)</f>
        <v>0.16</v>
      </c>
      <c r="L187" s="48">
        <f>COUNTIF(Table1[Return (keep sorted by this column!)],"&lt;"&amp;Table1[[#This Row],[Return (keep sorted by this column!)]])</f>
        <v>248</v>
      </c>
      <c r="M187" s="76">
        <f>IF(Table1[[#This Row],[Team]]="David",Table1[[#This Row],[Return (keep sorted by this column!)]],"")</f>
        <v>0.433</v>
      </c>
      <c r="N187" s="76" t="str">
        <f>IF(Table1[[#This Row],[Team]]="Tom",Table1[[#This Row],[Return (keep sorted by this column!)]],"")</f>
        <v/>
      </c>
      <c r="O187" s="5">
        <v>1.4379999999999999</v>
      </c>
      <c r="P187" s="68">
        <f>IF(Table1[[#This Row],[Team]]="David",Table1[[#This Row],[S&amp;P Return, same period]],"")</f>
        <v>1.4379999999999999</v>
      </c>
      <c r="Q187" s="68" t="str">
        <f>IF(Table1[[#This Row],[Team]]="Tom",Table1[[#This Row],[S&amp;P Return, same period]],"")</f>
        <v/>
      </c>
      <c r="R187" s="5">
        <v>-1.006</v>
      </c>
      <c r="S187" s="14">
        <f>IF(Table1[[#This Row],[Team]]="David",Table1[[#This Row],[Difference Vs. S&amp;P Return]],"")</f>
        <v>-1.006</v>
      </c>
      <c r="T187" s="14" t="str">
        <f>IF(Table1[[#This Row],[Team]]="Tom",Table1[[#This Row],[Difference Vs. S&amp;P Return]],"")</f>
        <v/>
      </c>
      <c r="U187" s="14">
        <f>ROUND((1+Table1[[#This Row],[Return (keep sorted by this column!)]])/(1+Table1[[#This Row],[S&amp;P Return, same period]])-1,1)</f>
        <v>-0.4</v>
      </c>
      <c r="V187" s="15">
        <f>IF(Table1[[#This Row],[Team]]="David",Table1[[#This Row],[Improvement Vs. S&amp;P Return]],"")</f>
        <v>-0.4</v>
      </c>
      <c r="W187" s="15" t="str">
        <f>IF(Table1[[#This Row],[Team]]="Tom",Table1[[#This Row],[Improvement Vs. S&amp;P Return]],"")</f>
        <v/>
      </c>
    </row>
    <row r="188" spans="1:23" ht="45" x14ac:dyDescent="0.2">
      <c r="A188" s="1">
        <v>40011</v>
      </c>
      <c r="B188" s="2" t="s">
        <v>504</v>
      </c>
      <c r="C188" s="2">
        <f>SUBTOTAL(103,Table1[[#This Row],[Recommendation Date]])</f>
        <v>1</v>
      </c>
      <c r="D188" s="2">
        <f>1</f>
        <v>1</v>
      </c>
      <c r="E188" s="16" t="s">
        <v>505</v>
      </c>
      <c r="F188" s="3" t="s">
        <v>252</v>
      </c>
      <c r="G188" s="3" t="s">
        <v>8</v>
      </c>
      <c r="H188" s="17"/>
      <c r="I188" s="4">
        <v>23.68</v>
      </c>
      <c r="J188" s="5">
        <v>0.42899999999999999</v>
      </c>
      <c r="K188" s="48">
        <f>ROUND(LOG10(Table1[[#This Row],[Return (keep sorted by this column!)]]+1),2)</f>
        <v>0.16</v>
      </c>
      <c r="L188" s="48">
        <f>COUNTIF(Table1[Return (keep sorted by this column!)],"&lt;"&amp;Table1[[#This Row],[Return (keep sorted by this column!)]])</f>
        <v>247</v>
      </c>
      <c r="M188" s="14" t="str">
        <f>IF(Table1[[#This Row],[Team]]="David",Table1[[#This Row],[Return (keep sorted by this column!)]],"")</f>
        <v/>
      </c>
      <c r="N188" s="14">
        <f>IF(Table1[[#This Row],[Team]]="Tom",Table1[[#This Row],[Return (keep sorted by this column!)]],"")</f>
        <v>0.42899999999999999</v>
      </c>
      <c r="O188" s="5">
        <v>0.19600000000000001</v>
      </c>
      <c r="P188" s="23" t="str">
        <f>IF(Table1[[#This Row],[Team]]="David",Table1[[#This Row],[S&amp;P Return, same period]],"")</f>
        <v/>
      </c>
      <c r="Q188" s="23">
        <f>IF(Table1[[#This Row],[Team]]="Tom",Table1[[#This Row],[S&amp;P Return, same period]],"")</f>
        <v>0.19600000000000001</v>
      </c>
      <c r="R188" s="5">
        <v>0.23300000000000001</v>
      </c>
      <c r="S188" s="14" t="str">
        <f>IF(Table1[[#This Row],[Team]]="David",Table1[[#This Row],[Difference Vs. S&amp;P Return]],"")</f>
        <v/>
      </c>
      <c r="T188" s="14">
        <f>IF(Table1[[#This Row],[Team]]="Tom",Table1[[#This Row],[Difference Vs. S&amp;P Return]],"")</f>
        <v>0.23300000000000001</v>
      </c>
      <c r="U188" s="14">
        <f>ROUND((1+Table1[[#This Row],[Return (keep sorted by this column!)]])/(1+Table1[[#This Row],[S&amp;P Return, same period]])-1,1)</f>
        <v>0.2</v>
      </c>
      <c r="V188" s="15" t="str">
        <f>IF(Table1[[#This Row],[Team]]="David",Table1[[#This Row],[Improvement Vs. S&amp;P Return]],"")</f>
        <v/>
      </c>
      <c r="W188" s="15">
        <f>IF(Table1[[#This Row],[Team]]="Tom",Table1[[#This Row],[Improvement Vs. S&amp;P Return]],"")</f>
        <v>0.2</v>
      </c>
    </row>
    <row r="189" spans="1:23" ht="45" x14ac:dyDescent="0.2">
      <c r="A189" s="1">
        <v>39374</v>
      </c>
      <c r="B189" s="2" t="s">
        <v>563</v>
      </c>
      <c r="C189" s="2">
        <f>SUBTOTAL(103,Table1[[#This Row],[Recommendation Date]])</f>
        <v>1</v>
      </c>
      <c r="D189" s="2">
        <f>1</f>
        <v>1</v>
      </c>
      <c r="E189" s="16" t="s">
        <v>564</v>
      </c>
      <c r="F189" s="3" t="s">
        <v>41</v>
      </c>
      <c r="G189" s="3" t="s">
        <v>12</v>
      </c>
      <c r="H189" s="17"/>
      <c r="I189" s="4">
        <v>36.75</v>
      </c>
      <c r="J189" s="5">
        <v>0.42399999999999999</v>
      </c>
      <c r="K189" s="48">
        <f>ROUND(LOG10(Table1[[#This Row],[Return (keep sorted by this column!)]]+1),2)</f>
        <v>0.15</v>
      </c>
      <c r="L189" s="48">
        <f>COUNTIF(Table1[Return (keep sorted by this column!)],"&lt;"&amp;Table1[[#This Row],[Return (keep sorted by this column!)]])</f>
        <v>246</v>
      </c>
      <c r="M189" s="14">
        <f>IF(Table1[[#This Row],[Team]]="David",Table1[[#This Row],[Return (keep sorted by this column!)]],"")</f>
        <v>0.42399999999999999</v>
      </c>
      <c r="N189" s="14" t="str">
        <f>IF(Table1[[#This Row],[Team]]="Tom",Table1[[#This Row],[Return (keep sorted by this column!)]],"")</f>
        <v/>
      </c>
      <c r="O189" s="5">
        <v>-0.128</v>
      </c>
      <c r="P189" s="23">
        <f>IF(Table1[[#This Row],[Team]]="David",Table1[[#This Row],[S&amp;P Return, same period]],"")</f>
        <v>-0.128</v>
      </c>
      <c r="Q189" s="23" t="str">
        <f>IF(Table1[[#This Row],[Team]]="Tom",Table1[[#This Row],[S&amp;P Return, same period]],"")</f>
        <v/>
      </c>
      <c r="R189" s="5">
        <v>0.55200000000000005</v>
      </c>
      <c r="S189" s="14">
        <f>IF(Table1[[#This Row],[Team]]="David",Table1[[#This Row],[Difference Vs. S&amp;P Return]],"")</f>
        <v>0.55200000000000005</v>
      </c>
      <c r="T189" s="14" t="str">
        <f>IF(Table1[[#This Row],[Team]]="Tom",Table1[[#This Row],[Difference Vs. S&amp;P Return]],"")</f>
        <v/>
      </c>
      <c r="U189" s="14">
        <f>ROUND((1+Table1[[#This Row],[Return (keep sorted by this column!)]])/(1+Table1[[#This Row],[S&amp;P Return, same period]])-1,1)</f>
        <v>0.6</v>
      </c>
      <c r="V189" s="15">
        <f>IF(Table1[[#This Row],[Team]]="David",Table1[[#This Row],[Improvement Vs. S&amp;P Return]],"")</f>
        <v>0.6</v>
      </c>
      <c r="W189" s="15" t="str">
        <f>IF(Table1[[#This Row],[Team]]="Tom",Table1[[#This Row],[Improvement Vs. S&amp;P Return]],"")</f>
        <v/>
      </c>
    </row>
    <row r="190" spans="1:23" ht="17" x14ac:dyDescent="0.2">
      <c r="A190" s="18">
        <v>43832</v>
      </c>
      <c r="B190" s="2" t="s">
        <v>19</v>
      </c>
      <c r="C190" s="2">
        <f>SUBTOTAL(103,Table1[[#This Row],[Recommendation Date]])</f>
        <v>1</v>
      </c>
      <c r="D190" s="2">
        <f>1</f>
        <v>1</v>
      </c>
      <c r="E190" s="16" t="s">
        <v>20</v>
      </c>
      <c r="F190" s="3" t="s">
        <v>21</v>
      </c>
      <c r="G190" s="3" t="s">
        <v>8</v>
      </c>
      <c r="H190" s="17"/>
      <c r="I190" s="4">
        <v>430.26</v>
      </c>
      <c r="J190" s="5">
        <v>0.41299999999999998</v>
      </c>
      <c r="K190" s="48">
        <f>ROUND(LOG10(Table1[[#This Row],[Return (keep sorted by this column!)]]+1),2)</f>
        <v>0.15</v>
      </c>
      <c r="L190" s="48">
        <f>COUNTIF(Table1[Return (keep sorted by this column!)],"&lt;"&amp;Table1[[#This Row],[Return (keep sorted by this column!)]])</f>
        <v>245</v>
      </c>
      <c r="M190" s="76" t="str">
        <f>IF(Table1[[#This Row],[Team]]="David",Table1[[#This Row],[Return (keep sorted by this column!)]],"")</f>
        <v/>
      </c>
      <c r="N190" s="76">
        <f>IF(Table1[[#This Row],[Team]]="Tom",Table1[[#This Row],[Return (keep sorted by this column!)]],"")</f>
        <v>0.41299999999999998</v>
      </c>
      <c r="O190" s="5">
        <v>-0.154</v>
      </c>
      <c r="P190" s="68" t="str">
        <f>IF(Table1[[#This Row],[Team]]="David",Table1[[#This Row],[S&amp;P Return, same period]],"")</f>
        <v/>
      </c>
      <c r="Q190" s="68">
        <f>IF(Table1[[#This Row],[Team]]="Tom",Table1[[#This Row],[S&amp;P Return, same period]],"")</f>
        <v>-0.154</v>
      </c>
      <c r="R190" s="5">
        <v>0.56699999999999995</v>
      </c>
      <c r="S190" s="14" t="str">
        <f>IF(Table1[[#This Row],[Team]]="David",Table1[[#This Row],[Difference Vs. S&amp;P Return]],"")</f>
        <v/>
      </c>
      <c r="T190" s="14">
        <f>IF(Table1[[#This Row],[Team]]="Tom",Table1[[#This Row],[Difference Vs. S&amp;P Return]],"")</f>
        <v>0.56699999999999995</v>
      </c>
      <c r="U190" s="14">
        <f>ROUND((1+Table1[[#This Row],[Return (keep sorted by this column!)]])/(1+Table1[[#This Row],[S&amp;P Return, same period]])-1,1)</f>
        <v>0.7</v>
      </c>
      <c r="V190" s="15" t="str">
        <f>IF(Table1[[#This Row],[Team]]="David",Table1[[#This Row],[Improvement Vs. S&amp;P Return]],"")</f>
        <v/>
      </c>
      <c r="W190" s="15">
        <f>IF(Table1[[#This Row],[Team]]="Tom",Table1[[#This Row],[Improvement Vs. S&amp;P Return]],"")</f>
        <v>0.7</v>
      </c>
    </row>
    <row r="191" spans="1:23" ht="17" x14ac:dyDescent="0.2">
      <c r="A191" s="18">
        <v>42629</v>
      </c>
      <c r="B191" s="2" t="s">
        <v>189</v>
      </c>
      <c r="C191" s="2">
        <f>SUBTOTAL(103,Table1[[#This Row],[Recommendation Date]])</f>
        <v>1</v>
      </c>
      <c r="D191" s="2">
        <f>1</f>
        <v>1</v>
      </c>
      <c r="E191" s="16" t="s">
        <v>190</v>
      </c>
      <c r="F191" s="3" t="s">
        <v>142</v>
      </c>
      <c r="G191" s="3" t="s">
        <v>8</v>
      </c>
      <c r="H191" s="17"/>
      <c r="I191" s="4">
        <v>50.15</v>
      </c>
      <c r="J191" s="5">
        <v>0.41199999999999998</v>
      </c>
      <c r="K191" s="48">
        <f>ROUND(LOG10(Table1[[#This Row],[Return (keep sorted by this column!)]]+1),2)</f>
        <v>0.15</v>
      </c>
      <c r="L191" s="48">
        <f>COUNTIF(Table1[Return (keep sorted by this column!)],"&lt;"&amp;Table1[[#This Row],[Return (keep sorted by this column!)]])</f>
        <v>244</v>
      </c>
      <c r="M191" s="76" t="str">
        <f>IF(Table1[[#This Row],[Team]]="David",Table1[[#This Row],[Return (keep sorted by this column!)]],"")</f>
        <v/>
      </c>
      <c r="N191" s="76">
        <f>IF(Table1[[#This Row],[Team]]="Tom",Table1[[#This Row],[Return (keep sorted by this column!)]],"")</f>
        <v>0.41199999999999998</v>
      </c>
      <c r="O191" s="5">
        <v>0.376</v>
      </c>
      <c r="P191" s="68" t="str">
        <f>IF(Table1[[#This Row],[Team]]="David",Table1[[#This Row],[S&amp;P Return, same period]],"")</f>
        <v/>
      </c>
      <c r="Q191" s="68">
        <f>IF(Table1[[#This Row],[Team]]="Tom",Table1[[#This Row],[S&amp;P Return, same period]],"")</f>
        <v>0.376</v>
      </c>
      <c r="R191" s="5">
        <v>3.5999999999999997E-2</v>
      </c>
      <c r="S191" s="14" t="str">
        <f>IF(Table1[[#This Row],[Team]]="David",Table1[[#This Row],[Difference Vs. S&amp;P Return]],"")</f>
        <v/>
      </c>
      <c r="T191" s="14">
        <f>IF(Table1[[#This Row],[Team]]="Tom",Table1[[#This Row],[Difference Vs. S&amp;P Return]],"")</f>
        <v>3.5999999999999997E-2</v>
      </c>
      <c r="U191" s="14">
        <f>ROUND((1+Table1[[#This Row],[Return (keep sorted by this column!)]])/(1+Table1[[#This Row],[S&amp;P Return, same period]])-1,1)</f>
        <v>0</v>
      </c>
      <c r="V191" s="15" t="str">
        <f>IF(Table1[[#This Row],[Team]]="David",Table1[[#This Row],[Improvement Vs. S&amp;P Return]],"")</f>
        <v/>
      </c>
      <c r="W191" s="15">
        <f>IF(Table1[[#This Row],[Team]]="Tom",Table1[[#This Row],[Improvement Vs. S&amp;P Return]],"")</f>
        <v>0</v>
      </c>
    </row>
    <row r="192" spans="1:23" ht="17" x14ac:dyDescent="0.2">
      <c r="A192" s="18">
        <v>42510</v>
      </c>
      <c r="B192" s="2" t="s">
        <v>209</v>
      </c>
      <c r="C192" s="2">
        <f>SUBTOTAL(103,Table1[[#This Row],[Recommendation Date]])</f>
        <v>1</v>
      </c>
      <c r="D192" s="2">
        <f>1</f>
        <v>1</v>
      </c>
      <c r="E192" s="16" t="s">
        <v>210</v>
      </c>
      <c r="F192" s="3" t="s">
        <v>15</v>
      </c>
      <c r="G192" s="3" t="s">
        <v>12</v>
      </c>
      <c r="H192" s="16">
        <v>10</v>
      </c>
      <c r="I192" s="4">
        <v>81.58</v>
      </c>
      <c r="J192" s="5">
        <v>0.41</v>
      </c>
      <c r="K192" s="48">
        <f>ROUND(LOG10(Table1[[#This Row],[Return (keep sorted by this column!)]]+1),2)</f>
        <v>0.15</v>
      </c>
      <c r="L192" s="48">
        <f>COUNTIF(Table1[Return (keep sorted by this column!)],"&lt;"&amp;Table1[[#This Row],[Return (keep sorted by this column!)]])</f>
        <v>243</v>
      </c>
      <c r="M192" s="76">
        <f>IF(Table1[[#This Row],[Team]]="David",Table1[[#This Row],[Return (keep sorted by this column!)]],"")</f>
        <v>0.41</v>
      </c>
      <c r="N192" s="76" t="str">
        <f>IF(Table1[[#This Row],[Team]]="Tom",Table1[[#This Row],[Return (keep sorted by this column!)]],"")</f>
        <v/>
      </c>
      <c r="O192" s="5">
        <v>0.44400000000000001</v>
      </c>
      <c r="P192" s="68">
        <f>IF(Table1[[#This Row],[Team]]="David",Table1[[#This Row],[S&amp;P Return, same period]],"")</f>
        <v>0.44400000000000001</v>
      </c>
      <c r="Q192" s="68" t="str">
        <f>IF(Table1[[#This Row],[Team]]="Tom",Table1[[#This Row],[S&amp;P Return, same period]],"")</f>
        <v/>
      </c>
      <c r="R192" s="5">
        <v>-3.4000000000000002E-2</v>
      </c>
      <c r="S192" s="14">
        <f>IF(Table1[[#This Row],[Team]]="David",Table1[[#This Row],[Difference Vs. S&amp;P Return]],"")</f>
        <v>-3.4000000000000002E-2</v>
      </c>
      <c r="T192" s="14" t="str">
        <f>IF(Table1[[#This Row],[Team]]="Tom",Table1[[#This Row],[Difference Vs. S&amp;P Return]],"")</f>
        <v/>
      </c>
      <c r="U192" s="14">
        <f>ROUND((1+Table1[[#This Row],[Return (keep sorted by this column!)]])/(1+Table1[[#This Row],[S&amp;P Return, same period]])-1,1)</f>
        <v>0</v>
      </c>
      <c r="V192" s="15">
        <f>IF(Table1[[#This Row],[Team]]="David",Table1[[#This Row],[Improvement Vs. S&amp;P Return]],"")</f>
        <v>0</v>
      </c>
      <c r="W192" s="15" t="str">
        <f>IF(Table1[[#This Row],[Team]]="Tom",Table1[[#This Row],[Improvement Vs. S&amp;P Return]],"")</f>
        <v/>
      </c>
    </row>
    <row r="193" spans="1:23" ht="60" x14ac:dyDescent="0.2">
      <c r="A193" s="18">
        <v>38184</v>
      </c>
      <c r="B193" s="2" t="s">
        <v>634</v>
      </c>
      <c r="C193" s="2">
        <f>SUBTOTAL(103,Table1[[#This Row],[Recommendation Date]])</f>
        <v>1</v>
      </c>
      <c r="D193" s="2">
        <f>1</f>
        <v>1</v>
      </c>
      <c r="E193" s="3" t="s">
        <v>635</v>
      </c>
      <c r="F193" s="3" t="s">
        <v>267</v>
      </c>
      <c r="G193" s="3" t="s">
        <v>12</v>
      </c>
      <c r="H193" s="16">
        <v>11</v>
      </c>
      <c r="I193" s="3" t="s">
        <v>268</v>
      </c>
      <c r="J193" s="5">
        <v>0.39800000000000002</v>
      </c>
      <c r="K193" s="48">
        <f>ROUND(LOG10(Table1[[#This Row],[Return (keep sorted by this column!)]]+1),2)</f>
        <v>0.15</v>
      </c>
      <c r="L193" s="48">
        <f>COUNTIF(Table1[Return (keep sorted by this column!)],"&lt;"&amp;Table1[[#This Row],[Return (keep sorted by this column!)]])</f>
        <v>242</v>
      </c>
      <c r="M193" s="14">
        <f>IF(Table1[[#This Row],[Team]]="David",Table1[[#This Row],[Return (keep sorted by this column!)]],"")</f>
        <v>0.39800000000000002</v>
      </c>
      <c r="N193" s="14" t="str">
        <f>IF(Table1[[#This Row],[Team]]="Tom",Table1[[#This Row],[Return (keep sorted by this column!)]],"")</f>
        <v/>
      </c>
      <c r="O193" s="5">
        <v>2.448</v>
      </c>
      <c r="P193" s="23">
        <f>IF(Table1[[#This Row],[Team]]="David",Table1[[#This Row],[S&amp;P Return, same period]],"")</f>
        <v>2.448</v>
      </c>
      <c r="Q193" s="23" t="str">
        <f>IF(Table1[[#This Row],[Team]]="Tom",Table1[[#This Row],[S&amp;P Return, same period]],"")</f>
        <v/>
      </c>
      <c r="R193" s="5">
        <v>-2.0499999999999998</v>
      </c>
      <c r="S193" s="14">
        <f>IF(Table1[[#This Row],[Team]]="David",Table1[[#This Row],[Difference Vs. S&amp;P Return]],"")</f>
        <v>-2.0499999999999998</v>
      </c>
      <c r="T193" s="14" t="str">
        <f>IF(Table1[[#This Row],[Team]]="Tom",Table1[[#This Row],[Difference Vs. S&amp;P Return]],"")</f>
        <v/>
      </c>
      <c r="U193" s="14">
        <f>ROUND((1+Table1[[#This Row],[Return (keep sorted by this column!)]])/(1+Table1[[#This Row],[S&amp;P Return, same period]])-1,1)</f>
        <v>-0.6</v>
      </c>
      <c r="V193" s="15">
        <f>IF(Table1[[#This Row],[Team]]="David",Table1[[#This Row],[Improvement Vs. S&amp;P Return]],"")</f>
        <v>-0.6</v>
      </c>
      <c r="W193" s="15" t="str">
        <f>IF(Table1[[#This Row],[Team]]="Tom",Table1[[#This Row],[Improvement Vs. S&amp;P Return]],"")</f>
        <v/>
      </c>
    </row>
    <row r="194" spans="1:23" ht="17" x14ac:dyDescent="0.2">
      <c r="A194" s="18">
        <v>41964</v>
      </c>
      <c r="B194" s="2" t="s">
        <v>281</v>
      </c>
      <c r="C194" s="2">
        <f>SUBTOTAL(103,Table1[[#This Row],[Recommendation Date]])</f>
        <v>1</v>
      </c>
      <c r="D194" s="2">
        <f>1</f>
        <v>1</v>
      </c>
      <c r="E194" s="16" t="s">
        <v>282</v>
      </c>
      <c r="F194" s="3" t="s">
        <v>36</v>
      </c>
      <c r="G194" s="3" t="s">
        <v>8</v>
      </c>
      <c r="H194" s="17"/>
      <c r="I194" s="4">
        <v>25.04</v>
      </c>
      <c r="J194" s="5">
        <v>0.39700000000000002</v>
      </c>
      <c r="K194" s="48">
        <f>ROUND(LOG10(Table1[[#This Row],[Return (keep sorted by this column!)]]+1),2)</f>
        <v>0.15</v>
      </c>
      <c r="L194" s="48">
        <f>COUNTIF(Table1[Return (keep sorted by this column!)],"&lt;"&amp;Table1[[#This Row],[Return (keep sorted by this column!)]])</f>
        <v>241</v>
      </c>
      <c r="M194" s="76" t="str">
        <f>IF(Table1[[#This Row],[Team]]="David",Table1[[#This Row],[Return (keep sorted by this column!)]],"")</f>
        <v/>
      </c>
      <c r="N194" s="76">
        <f>IF(Table1[[#This Row],[Team]]="Tom",Table1[[#This Row],[Return (keep sorted by this column!)]],"")</f>
        <v>0.39700000000000002</v>
      </c>
      <c r="O194" s="5">
        <v>0.48299999999999998</v>
      </c>
      <c r="P194" s="68" t="str">
        <f>IF(Table1[[#This Row],[Team]]="David",Table1[[#This Row],[S&amp;P Return, same period]],"")</f>
        <v/>
      </c>
      <c r="Q194" s="68">
        <f>IF(Table1[[#This Row],[Team]]="Tom",Table1[[#This Row],[S&amp;P Return, same period]],"")</f>
        <v>0.48299999999999998</v>
      </c>
      <c r="R194" s="5">
        <v>-8.5999999999999993E-2</v>
      </c>
      <c r="S194" s="14" t="str">
        <f>IF(Table1[[#This Row],[Team]]="David",Table1[[#This Row],[Difference Vs. S&amp;P Return]],"")</f>
        <v/>
      </c>
      <c r="T194" s="14">
        <f>IF(Table1[[#This Row],[Team]]="Tom",Table1[[#This Row],[Difference Vs. S&amp;P Return]],"")</f>
        <v>-8.5999999999999993E-2</v>
      </c>
      <c r="U194" s="14">
        <f>ROUND((1+Table1[[#This Row],[Return (keep sorted by this column!)]])/(1+Table1[[#This Row],[S&amp;P Return, same period]])-1,1)</f>
        <v>-0.1</v>
      </c>
      <c r="V194" s="15" t="str">
        <f>IF(Table1[[#This Row],[Team]]="David",Table1[[#This Row],[Improvement Vs. S&amp;P Return]],"")</f>
        <v/>
      </c>
      <c r="W194" s="15">
        <f>IF(Table1[[#This Row],[Team]]="Tom",Table1[[#This Row],[Improvement Vs. S&amp;P Return]],"")</f>
        <v>-0.1</v>
      </c>
    </row>
    <row r="195" spans="1:23" ht="45" x14ac:dyDescent="0.2">
      <c r="A195" s="1">
        <v>39346</v>
      </c>
      <c r="B195" s="2" t="s">
        <v>567</v>
      </c>
      <c r="C195" s="2">
        <f>SUBTOTAL(103,Table1[[#This Row],[Recommendation Date]])</f>
        <v>1</v>
      </c>
      <c r="D195" s="2">
        <f>1</f>
        <v>1</v>
      </c>
      <c r="E195" s="16" t="s">
        <v>568</v>
      </c>
      <c r="F195" s="3" t="s">
        <v>252</v>
      </c>
      <c r="G195" s="3" t="s">
        <v>8</v>
      </c>
      <c r="H195" s="17"/>
      <c r="I195" s="4">
        <v>67.75</v>
      </c>
      <c r="J195" s="5">
        <v>0.39100000000000001</v>
      </c>
      <c r="K195" s="48">
        <f>ROUND(LOG10(Table1[[#This Row],[Return (keep sorted by this column!)]]+1),2)</f>
        <v>0.14000000000000001</v>
      </c>
      <c r="L195" s="48">
        <f>COUNTIF(Table1[Return (keep sorted by this column!)],"&lt;"&amp;Table1[[#This Row],[Return (keep sorted by this column!)]])</f>
        <v>240</v>
      </c>
      <c r="M195" s="14" t="str">
        <f>IF(Table1[[#This Row],[Team]]="David",Table1[[#This Row],[Return (keep sorted by this column!)]],"")</f>
        <v/>
      </c>
      <c r="N195" s="14">
        <f>IF(Table1[[#This Row],[Team]]="Tom",Table1[[#This Row],[Return (keep sorted by this column!)]],"")</f>
        <v>0.39100000000000001</v>
      </c>
      <c r="O195" s="5">
        <v>-2.5999999999999999E-2</v>
      </c>
      <c r="P195" s="23" t="str">
        <f>IF(Table1[[#This Row],[Team]]="David",Table1[[#This Row],[S&amp;P Return, same period]],"")</f>
        <v/>
      </c>
      <c r="Q195" s="23">
        <f>IF(Table1[[#This Row],[Team]]="Tom",Table1[[#This Row],[S&amp;P Return, same period]],"")</f>
        <v>-2.5999999999999999E-2</v>
      </c>
      <c r="R195" s="5">
        <v>0.41699999999999998</v>
      </c>
      <c r="S195" s="14" t="str">
        <f>IF(Table1[[#This Row],[Team]]="David",Table1[[#This Row],[Difference Vs. S&amp;P Return]],"")</f>
        <v/>
      </c>
      <c r="T195" s="14">
        <f>IF(Table1[[#This Row],[Team]]="Tom",Table1[[#This Row],[Difference Vs. S&amp;P Return]],"")</f>
        <v>0.41699999999999998</v>
      </c>
      <c r="U195" s="14">
        <f>ROUND((1+Table1[[#This Row],[Return (keep sorted by this column!)]])/(1+Table1[[#This Row],[S&amp;P Return, same period]])-1,1)</f>
        <v>0.4</v>
      </c>
      <c r="V195" s="15" t="str">
        <f>IF(Table1[[#This Row],[Team]]="David",Table1[[#This Row],[Improvement Vs. S&amp;P Return]],"")</f>
        <v/>
      </c>
      <c r="W195" s="15">
        <f>IF(Table1[[#This Row],[Team]]="Tom",Table1[[#This Row],[Improvement Vs. S&amp;P Return]],"")</f>
        <v>0.4</v>
      </c>
    </row>
    <row r="196" spans="1:23" ht="60" x14ac:dyDescent="0.2">
      <c r="A196" s="18">
        <v>38674</v>
      </c>
      <c r="B196" s="2" t="s">
        <v>634</v>
      </c>
      <c r="C196" s="2">
        <f>SUBTOTAL(103,Table1[[#This Row],[Recommendation Date]])</f>
        <v>1</v>
      </c>
      <c r="D196" s="2">
        <f>1</f>
        <v>1</v>
      </c>
      <c r="E196" s="3" t="s">
        <v>635</v>
      </c>
      <c r="F196" s="3" t="s">
        <v>267</v>
      </c>
      <c r="G196" s="3" t="s">
        <v>12</v>
      </c>
      <c r="H196" s="16">
        <v>11</v>
      </c>
      <c r="I196" s="3" t="s">
        <v>268</v>
      </c>
      <c r="J196" s="5">
        <v>0.38400000000000001</v>
      </c>
      <c r="K196" s="48">
        <f>ROUND(LOG10(Table1[[#This Row],[Return (keep sorted by this column!)]]+1),2)</f>
        <v>0.14000000000000001</v>
      </c>
      <c r="L196" s="48">
        <f>COUNTIF(Table1[Return (keep sorted by this column!)],"&lt;"&amp;Table1[[#This Row],[Return (keep sorted by this column!)]])</f>
        <v>238</v>
      </c>
      <c r="M196" s="14">
        <f>IF(Table1[[#This Row],[Team]]="David",Table1[[#This Row],[Return (keep sorted by this column!)]],"")</f>
        <v>0.38400000000000001</v>
      </c>
      <c r="N196" s="14" t="str">
        <f>IF(Table1[[#This Row],[Team]]="Tom",Table1[[#This Row],[Return (keep sorted by this column!)]],"")</f>
        <v/>
      </c>
      <c r="O196" s="5">
        <v>1.968</v>
      </c>
      <c r="P196" s="23">
        <f>IF(Table1[[#This Row],[Team]]="David",Table1[[#This Row],[S&amp;P Return, same period]],"")</f>
        <v>1.968</v>
      </c>
      <c r="Q196" s="23" t="str">
        <f>IF(Table1[[#This Row],[Team]]="Tom",Table1[[#This Row],[S&amp;P Return, same period]],"")</f>
        <v/>
      </c>
      <c r="R196" s="5">
        <v>-1.5840000000000001</v>
      </c>
      <c r="S196" s="14">
        <f>IF(Table1[[#This Row],[Team]]="David",Table1[[#This Row],[Difference Vs. S&amp;P Return]],"")</f>
        <v>-1.5840000000000001</v>
      </c>
      <c r="T196" s="14" t="str">
        <f>IF(Table1[[#This Row],[Team]]="Tom",Table1[[#This Row],[Difference Vs. S&amp;P Return]],"")</f>
        <v/>
      </c>
      <c r="U196" s="14">
        <f>ROUND((1+Table1[[#This Row],[Return (keep sorted by this column!)]])/(1+Table1[[#This Row],[S&amp;P Return, same period]])-1,1)</f>
        <v>-0.5</v>
      </c>
      <c r="V196" s="15">
        <f>IF(Table1[[#This Row],[Team]]="David",Table1[[#This Row],[Improvement Vs. S&amp;P Return]],"")</f>
        <v>-0.5</v>
      </c>
      <c r="W196" s="15" t="str">
        <f>IF(Table1[[#This Row],[Team]]="Tom",Table1[[#This Row],[Improvement Vs. S&amp;P Return]],"")</f>
        <v/>
      </c>
    </row>
    <row r="197" spans="1:23" ht="45" x14ac:dyDescent="0.2">
      <c r="A197" s="1">
        <v>37722</v>
      </c>
      <c r="B197" s="2" t="s">
        <v>716</v>
      </c>
      <c r="C197" s="2">
        <f>SUBTOTAL(103,Table1[[#This Row],[Recommendation Date]])</f>
        <v>1</v>
      </c>
      <c r="D197" s="2">
        <f>1</f>
        <v>1</v>
      </c>
      <c r="E197" s="16" t="s">
        <v>717</v>
      </c>
      <c r="F197" s="3" t="s">
        <v>252</v>
      </c>
      <c r="G197" s="3" t="s">
        <v>8</v>
      </c>
      <c r="H197" s="17"/>
      <c r="I197" s="4">
        <v>19.2</v>
      </c>
      <c r="J197" s="5">
        <v>0.38400000000000001</v>
      </c>
      <c r="K197" s="48">
        <f>ROUND(LOG10(Table1[[#This Row],[Return (keep sorted by this column!)]]+1),2)</f>
        <v>0.14000000000000001</v>
      </c>
      <c r="L197" s="48">
        <f>COUNTIF(Table1[Return (keep sorted by this column!)],"&lt;"&amp;Table1[[#This Row],[Return (keep sorted by this column!)]])</f>
        <v>238</v>
      </c>
      <c r="M197" s="14" t="str">
        <f>IF(Table1[[#This Row],[Team]]="David",Table1[[#This Row],[Return (keep sorted by this column!)]],"")</f>
        <v/>
      </c>
      <c r="N197" s="14">
        <f>IF(Table1[[#This Row],[Team]]="Tom",Table1[[#This Row],[Return (keep sorted by this column!)]],"")</f>
        <v>0.38400000000000001</v>
      </c>
      <c r="O197" s="5">
        <v>0.42099999999999999</v>
      </c>
      <c r="P197" s="23" t="str">
        <f>IF(Table1[[#This Row],[Team]]="David",Table1[[#This Row],[S&amp;P Return, same period]],"")</f>
        <v/>
      </c>
      <c r="Q197" s="23">
        <f>IF(Table1[[#This Row],[Team]]="Tom",Table1[[#This Row],[S&amp;P Return, same period]],"")</f>
        <v>0.42099999999999999</v>
      </c>
      <c r="R197" s="5">
        <v>-3.6999999999999998E-2</v>
      </c>
      <c r="S197" s="14" t="str">
        <f>IF(Table1[[#This Row],[Team]]="David",Table1[[#This Row],[Difference Vs. S&amp;P Return]],"")</f>
        <v/>
      </c>
      <c r="T197" s="14">
        <f>IF(Table1[[#This Row],[Team]]="Tom",Table1[[#This Row],[Difference Vs. S&amp;P Return]],"")</f>
        <v>-3.6999999999999998E-2</v>
      </c>
      <c r="U197" s="14">
        <f>ROUND((1+Table1[[#This Row],[Return (keep sorted by this column!)]])/(1+Table1[[#This Row],[S&amp;P Return, same period]])-1,1)</f>
        <v>0</v>
      </c>
      <c r="V197" s="15" t="str">
        <f>IF(Table1[[#This Row],[Team]]="David",Table1[[#This Row],[Improvement Vs. S&amp;P Return]],"")</f>
        <v/>
      </c>
      <c r="W197" s="15">
        <f>IF(Table1[[#This Row],[Team]]="Tom",Table1[[#This Row],[Improvement Vs. S&amp;P Return]],"")</f>
        <v>0</v>
      </c>
    </row>
    <row r="198" spans="1:23" ht="60" x14ac:dyDescent="0.2">
      <c r="A198" s="1">
        <v>39038</v>
      </c>
      <c r="B198" s="2" t="s">
        <v>601</v>
      </c>
      <c r="C198" s="2">
        <f>SUBTOTAL(103,Table1[[#This Row],[Recommendation Date]])</f>
        <v>1</v>
      </c>
      <c r="D198" s="2">
        <f>1</f>
        <v>1</v>
      </c>
      <c r="E198" s="16" t="s">
        <v>602</v>
      </c>
      <c r="F198" s="3" t="s">
        <v>27</v>
      </c>
      <c r="G198" s="3" t="s">
        <v>8</v>
      </c>
      <c r="H198" s="17"/>
      <c r="I198" s="4">
        <v>25.56</v>
      </c>
      <c r="J198" s="5">
        <v>0.38200000000000001</v>
      </c>
      <c r="K198" s="48">
        <f>ROUND(LOG10(Table1[[#This Row],[Return (keep sorted by this column!)]]+1),2)</f>
        <v>0.14000000000000001</v>
      </c>
      <c r="L198" s="48">
        <f>COUNTIF(Table1[Return (keep sorted by this column!)],"&lt;"&amp;Table1[[#This Row],[Return (keep sorted by this column!)]])</f>
        <v>237</v>
      </c>
      <c r="M198" s="14" t="str">
        <f>IF(Table1[[#This Row],[Team]]="David",Table1[[#This Row],[Return (keep sorted by this column!)]],"")</f>
        <v/>
      </c>
      <c r="N198" s="14">
        <f>IF(Table1[[#This Row],[Team]]="Tom",Table1[[#This Row],[Return (keep sorted by this column!)]],"")</f>
        <v>0.38200000000000001</v>
      </c>
      <c r="O198" s="5">
        <v>0.44600000000000001</v>
      </c>
      <c r="P198" s="23" t="str">
        <f>IF(Table1[[#This Row],[Team]]="David",Table1[[#This Row],[S&amp;P Return, same period]],"")</f>
        <v/>
      </c>
      <c r="Q198" s="23">
        <f>IF(Table1[[#This Row],[Team]]="Tom",Table1[[#This Row],[S&amp;P Return, same period]],"")</f>
        <v>0.44600000000000001</v>
      </c>
      <c r="R198" s="5">
        <v>-6.4000000000000001E-2</v>
      </c>
      <c r="S198" s="14" t="str">
        <f>IF(Table1[[#This Row],[Team]]="David",Table1[[#This Row],[Difference Vs. S&amp;P Return]],"")</f>
        <v/>
      </c>
      <c r="T198" s="14">
        <f>IF(Table1[[#This Row],[Team]]="Tom",Table1[[#This Row],[Difference Vs. S&amp;P Return]],"")</f>
        <v>-6.4000000000000001E-2</v>
      </c>
      <c r="U198" s="14">
        <f>ROUND((1+Table1[[#This Row],[Return (keep sorted by this column!)]])/(1+Table1[[#This Row],[S&amp;P Return, same period]])-1,1)</f>
        <v>0</v>
      </c>
      <c r="V198" s="15" t="str">
        <f>IF(Table1[[#This Row],[Team]]="David",Table1[[#This Row],[Improvement Vs. S&amp;P Return]],"")</f>
        <v/>
      </c>
      <c r="W198" s="15">
        <f>IF(Table1[[#This Row],[Team]]="Tom",Table1[[#This Row],[Improvement Vs. S&amp;P Return]],"")</f>
        <v>0</v>
      </c>
    </row>
    <row r="199" spans="1:23" ht="17" x14ac:dyDescent="0.2">
      <c r="A199" s="18">
        <v>42601</v>
      </c>
      <c r="B199" s="2" t="s">
        <v>193</v>
      </c>
      <c r="C199" s="2">
        <f>SUBTOTAL(103,Table1[[#This Row],[Recommendation Date]])</f>
        <v>1</v>
      </c>
      <c r="D199" s="2">
        <f>1</f>
        <v>1</v>
      </c>
      <c r="E199" s="16" t="s">
        <v>194</v>
      </c>
      <c r="F199" s="3" t="s">
        <v>195</v>
      </c>
      <c r="G199" s="3" t="s">
        <v>8</v>
      </c>
      <c r="H199" s="17"/>
      <c r="I199" s="4">
        <v>123.56</v>
      </c>
      <c r="J199" s="5">
        <v>0.372</v>
      </c>
      <c r="K199" s="48">
        <f>ROUND(LOG10(Table1[[#This Row],[Return (keep sorted by this column!)]]+1),2)</f>
        <v>0.14000000000000001</v>
      </c>
      <c r="L199" s="48">
        <f>COUNTIF(Table1[Return (keep sorted by this column!)],"&lt;"&amp;Table1[[#This Row],[Return (keep sorted by this column!)]])</f>
        <v>236</v>
      </c>
      <c r="M199" s="76" t="str">
        <f>IF(Table1[[#This Row],[Team]]="David",Table1[[#This Row],[Return (keep sorted by this column!)]],"")</f>
        <v/>
      </c>
      <c r="N199" s="76">
        <f>IF(Table1[[#This Row],[Team]]="Tom",Table1[[#This Row],[Return (keep sorted by this column!)]],"")</f>
        <v>0.372</v>
      </c>
      <c r="O199" s="5">
        <v>0.35</v>
      </c>
      <c r="P199" s="68" t="str">
        <f>IF(Table1[[#This Row],[Team]]="David",Table1[[#This Row],[S&amp;P Return, same period]],"")</f>
        <v/>
      </c>
      <c r="Q199" s="68">
        <f>IF(Table1[[#This Row],[Team]]="Tom",Table1[[#This Row],[S&amp;P Return, same period]],"")</f>
        <v>0.35</v>
      </c>
      <c r="R199" s="5">
        <v>2.1999999999999999E-2</v>
      </c>
      <c r="S199" s="14" t="str">
        <f>IF(Table1[[#This Row],[Team]]="David",Table1[[#This Row],[Difference Vs. S&amp;P Return]],"")</f>
        <v/>
      </c>
      <c r="T199" s="14">
        <f>IF(Table1[[#This Row],[Team]]="Tom",Table1[[#This Row],[Difference Vs. S&amp;P Return]],"")</f>
        <v>2.1999999999999999E-2</v>
      </c>
      <c r="U199" s="14">
        <f>ROUND((1+Table1[[#This Row],[Return (keep sorted by this column!)]])/(1+Table1[[#This Row],[S&amp;P Return, same period]])-1,1)</f>
        <v>0</v>
      </c>
      <c r="V199" s="15" t="str">
        <f>IF(Table1[[#This Row],[Team]]="David",Table1[[#This Row],[Improvement Vs. S&amp;P Return]],"")</f>
        <v/>
      </c>
      <c r="W199" s="15">
        <f>IF(Table1[[#This Row],[Team]]="Tom",Table1[[#This Row],[Improvement Vs. S&amp;P Return]],"")</f>
        <v>0</v>
      </c>
    </row>
    <row r="200" spans="1:23" ht="30" x14ac:dyDescent="0.2">
      <c r="A200" s="1">
        <v>40137</v>
      </c>
      <c r="B200" s="2" t="s">
        <v>486</v>
      </c>
      <c r="C200" s="2">
        <f>SUBTOTAL(103,Table1[[#This Row],[Recommendation Date]])</f>
        <v>1</v>
      </c>
      <c r="D200" s="2">
        <f>1</f>
        <v>1</v>
      </c>
      <c r="E200" s="16" t="s">
        <v>487</v>
      </c>
      <c r="F200" s="3" t="s">
        <v>446</v>
      </c>
      <c r="G200" s="3" t="s">
        <v>12</v>
      </c>
      <c r="H200" s="16">
        <v>11</v>
      </c>
      <c r="I200" s="4">
        <v>6.35</v>
      </c>
      <c r="J200" s="5">
        <v>0.36499999999999999</v>
      </c>
      <c r="K200" s="48">
        <f>ROUND(LOG10(Table1[[#This Row],[Return (keep sorted by this column!)]]+1),2)</f>
        <v>0.14000000000000001</v>
      </c>
      <c r="L200" s="48">
        <f>COUNTIF(Table1[Return (keep sorted by this column!)],"&lt;"&amp;Table1[[#This Row],[Return (keep sorted by this column!)]])</f>
        <v>235</v>
      </c>
      <c r="M200" s="14">
        <f>IF(Table1[[#This Row],[Team]]="David",Table1[[#This Row],[Return (keep sorted by this column!)]],"")</f>
        <v>0.36499999999999999</v>
      </c>
      <c r="N200" s="14" t="str">
        <f>IF(Table1[[#This Row],[Team]]="Tom",Table1[[#This Row],[Return (keep sorted by this column!)]],"")</f>
        <v/>
      </c>
      <c r="O200" s="5">
        <v>1.8779999999999999</v>
      </c>
      <c r="P200" s="23">
        <f>IF(Table1[[#This Row],[Team]]="David",Table1[[#This Row],[S&amp;P Return, same period]],"")</f>
        <v>1.8779999999999999</v>
      </c>
      <c r="Q200" s="23" t="str">
        <f>IF(Table1[[#This Row],[Team]]="Tom",Table1[[#This Row],[S&amp;P Return, same period]],"")</f>
        <v/>
      </c>
      <c r="R200" s="5">
        <v>-1.514</v>
      </c>
      <c r="S200" s="14">
        <f>IF(Table1[[#This Row],[Team]]="David",Table1[[#This Row],[Difference Vs. S&amp;P Return]],"")</f>
        <v>-1.514</v>
      </c>
      <c r="T200" s="14" t="str">
        <f>IF(Table1[[#This Row],[Team]]="Tom",Table1[[#This Row],[Difference Vs. S&amp;P Return]],"")</f>
        <v/>
      </c>
      <c r="U200" s="14">
        <f>ROUND((1+Table1[[#This Row],[Return (keep sorted by this column!)]])/(1+Table1[[#This Row],[S&amp;P Return, same period]])-1,1)</f>
        <v>-0.5</v>
      </c>
      <c r="V200" s="15">
        <f>IF(Table1[[#This Row],[Team]]="David",Table1[[#This Row],[Improvement Vs. S&amp;P Return]],"")</f>
        <v>-0.5</v>
      </c>
      <c r="W200" s="15" t="str">
        <f>IF(Table1[[#This Row],[Team]]="Tom",Table1[[#This Row],[Improvement Vs. S&amp;P Return]],"")</f>
        <v/>
      </c>
    </row>
    <row r="201" spans="1:23" ht="17" x14ac:dyDescent="0.2">
      <c r="A201" s="18">
        <v>38093</v>
      </c>
      <c r="B201" s="2" t="s">
        <v>683</v>
      </c>
      <c r="C201" s="2">
        <f>SUBTOTAL(103,Table1[[#This Row],[Recommendation Date]])</f>
        <v>1</v>
      </c>
      <c r="D201" s="2">
        <f>1</f>
        <v>1</v>
      </c>
      <c r="E201" s="16" t="s">
        <v>684</v>
      </c>
      <c r="F201" s="3" t="s">
        <v>215</v>
      </c>
      <c r="G201" s="3" t="s">
        <v>12</v>
      </c>
      <c r="H201" s="16">
        <v>13</v>
      </c>
      <c r="I201" s="4">
        <v>42.3</v>
      </c>
      <c r="J201" s="5">
        <v>0.36399999999999999</v>
      </c>
      <c r="K201" s="48">
        <f>ROUND(LOG10(Table1[[#This Row],[Return (keep sorted by this column!)]]+1),2)</f>
        <v>0.13</v>
      </c>
      <c r="L201" s="48">
        <f>COUNTIF(Table1[Return (keep sorted by this column!)],"&lt;"&amp;Table1[[#This Row],[Return (keep sorted by this column!)]])</f>
        <v>234</v>
      </c>
      <c r="M201" s="14">
        <f>IF(Table1[[#This Row],[Team]]="David",Table1[[#This Row],[Return (keep sorted by this column!)]],"")</f>
        <v>0.36399999999999999</v>
      </c>
      <c r="N201" s="14" t="str">
        <f>IF(Table1[[#This Row],[Team]]="Tom",Table1[[#This Row],[Return (keep sorted by this column!)]],"")</f>
        <v/>
      </c>
      <c r="O201" s="5">
        <v>2.3610000000000002</v>
      </c>
      <c r="P201" s="23">
        <f>IF(Table1[[#This Row],[Team]]="David",Table1[[#This Row],[S&amp;P Return, same period]],"")</f>
        <v>2.3610000000000002</v>
      </c>
      <c r="Q201" s="23" t="str">
        <f>IF(Table1[[#This Row],[Team]]="Tom",Table1[[#This Row],[S&amp;P Return, same period]],"")</f>
        <v/>
      </c>
      <c r="R201" s="5">
        <v>-1.9970000000000001</v>
      </c>
      <c r="S201" s="14">
        <f>IF(Table1[[#This Row],[Team]]="David",Table1[[#This Row],[Difference Vs. S&amp;P Return]],"")</f>
        <v>-1.9970000000000001</v>
      </c>
      <c r="T201" s="14" t="str">
        <f>IF(Table1[[#This Row],[Team]]="Tom",Table1[[#This Row],[Difference Vs. S&amp;P Return]],"")</f>
        <v/>
      </c>
      <c r="U201" s="14">
        <f>ROUND((1+Table1[[#This Row],[Return (keep sorted by this column!)]])/(1+Table1[[#This Row],[S&amp;P Return, same period]])-1,1)</f>
        <v>-0.6</v>
      </c>
      <c r="V201" s="15">
        <f>IF(Table1[[#This Row],[Team]]="David",Table1[[#This Row],[Improvement Vs. S&amp;P Return]],"")</f>
        <v>-0.6</v>
      </c>
      <c r="W201" s="15" t="str">
        <f>IF(Table1[[#This Row],[Team]]="Tom",Table1[[#This Row],[Improvement Vs. S&amp;P Return]],"")</f>
        <v/>
      </c>
    </row>
    <row r="202" spans="1:23" ht="45" x14ac:dyDescent="0.2">
      <c r="A202" s="18">
        <v>41201</v>
      </c>
      <c r="B202" s="2" t="s">
        <v>362</v>
      </c>
      <c r="C202" s="2">
        <f>SUBTOTAL(103,Table1[[#This Row],[Recommendation Date]])</f>
        <v>1</v>
      </c>
      <c r="D202" s="2">
        <f>1</f>
        <v>1</v>
      </c>
      <c r="E202" s="16" t="s">
        <v>363</v>
      </c>
      <c r="F202" s="3" t="s">
        <v>33</v>
      </c>
      <c r="G202" s="3" t="s">
        <v>8</v>
      </c>
      <c r="H202" s="17"/>
      <c r="I202" s="4">
        <v>40.17</v>
      </c>
      <c r="J202" s="5">
        <v>0.36299999999999999</v>
      </c>
      <c r="K202" s="48">
        <f>ROUND(LOG10(Table1[[#This Row],[Return (keep sorted by this column!)]]+1),2)</f>
        <v>0.13</v>
      </c>
      <c r="L202" s="48">
        <f>COUNTIF(Table1[Return (keep sorted by this column!)],"&lt;"&amp;Table1[[#This Row],[Return (keep sorted by this column!)]])</f>
        <v>233</v>
      </c>
      <c r="M202" s="76" t="str">
        <f>IF(Table1[[#This Row],[Team]]="David",Table1[[#This Row],[Return (keep sorted by this column!)]],"")</f>
        <v/>
      </c>
      <c r="N202" s="76">
        <f>IF(Table1[[#This Row],[Team]]="Tom",Table1[[#This Row],[Return (keep sorted by this column!)]],"")</f>
        <v>0.36299999999999999</v>
      </c>
      <c r="O202" s="5">
        <v>1.2330000000000001</v>
      </c>
      <c r="P202" s="68" t="str">
        <f>IF(Table1[[#This Row],[Team]]="David",Table1[[#This Row],[S&amp;P Return, same period]],"")</f>
        <v/>
      </c>
      <c r="Q202" s="68">
        <f>IF(Table1[[#This Row],[Team]]="Tom",Table1[[#This Row],[S&amp;P Return, same period]],"")</f>
        <v>1.2330000000000001</v>
      </c>
      <c r="R202" s="5">
        <v>-0.87</v>
      </c>
      <c r="S202" s="14" t="str">
        <f>IF(Table1[[#This Row],[Team]]="David",Table1[[#This Row],[Difference Vs. S&amp;P Return]],"")</f>
        <v/>
      </c>
      <c r="T202" s="14">
        <f>IF(Table1[[#This Row],[Team]]="Tom",Table1[[#This Row],[Difference Vs. S&amp;P Return]],"")</f>
        <v>-0.87</v>
      </c>
      <c r="U202" s="14">
        <f>ROUND((1+Table1[[#This Row],[Return (keep sorted by this column!)]])/(1+Table1[[#This Row],[S&amp;P Return, same period]])-1,1)</f>
        <v>-0.4</v>
      </c>
      <c r="V202" s="15" t="str">
        <f>IF(Table1[[#This Row],[Team]]="David",Table1[[#This Row],[Improvement Vs. S&amp;P Return]],"")</f>
        <v/>
      </c>
      <c r="W202" s="15">
        <f>IF(Table1[[#This Row],[Team]]="Tom",Table1[[#This Row],[Improvement Vs. S&amp;P Return]],"")</f>
        <v>-0.4</v>
      </c>
    </row>
    <row r="203" spans="1:23" ht="45" x14ac:dyDescent="0.2">
      <c r="A203" s="18">
        <v>42510</v>
      </c>
      <c r="B203" s="2" t="s">
        <v>206</v>
      </c>
      <c r="C203" s="2">
        <f>SUBTOTAL(103,Table1[[#This Row],[Recommendation Date]])</f>
        <v>1</v>
      </c>
      <c r="D203" s="2">
        <f>1</f>
        <v>1</v>
      </c>
      <c r="E203" s="16" t="s">
        <v>207</v>
      </c>
      <c r="F203" s="3" t="s">
        <v>208</v>
      </c>
      <c r="G203" s="3" t="s">
        <v>8</v>
      </c>
      <c r="H203" s="17"/>
      <c r="I203" s="4">
        <v>141.83000000000001</v>
      </c>
      <c r="J203" s="5">
        <v>0.36199999999999999</v>
      </c>
      <c r="K203" s="48">
        <f>ROUND(LOG10(Table1[[#This Row],[Return (keep sorted by this column!)]]+1),2)</f>
        <v>0.13</v>
      </c>
      <c r="L203" s="48">
        <f>COUNTIF(Table1[Return (keep sorted by this column!)],"&lt;"&amp;Table1[[#This Row],[Return (keep sorted by this column!)]])</f>
        <v>232</v>
      </c>
      <c r="M203" s="76" t="str">
        <f>IF(Table1[[#This Row],[Team]]="David",Table1[[#This Row],[Return (keep sorted by this column!)]],"")</f>
        <v/>
      </c>
      <c r="N203" s="76">
        <f>IF(Table1[[#This Row],[Team]]="Tom",Table1[[#This Row],[Return (keep sorted by this column!)]],"")</f>
        <v>0.36199999999999999</v>
      </c>
      <c r="O203" s="5">
        <v>0.44400000000000001</v>
      </c>
      <c r="P203" s="68" t="str">
        <f>IF(Table1[[#This Row],[Team]]="David",Table1[[#This Row],[S&amp;P Return, same period]],"")</f>
        <v/>
      </c>
      <c r="Q203" s="68">
        <f>IF(Table1[[#This Row],[Team]]="Tom",Table1[[#This Row],[S&amp;P Return, same period]],"")</f>
        <v>0.44400000000000001</v>
      </c>
      <c r="R203" s="5">
        <v>-8.2000000000000003E-2</v>
      </c>
      <c r="S203" s="14" t="str">
        <f>IF(Table1[[#This Row],[Team]]="David",Table1[[#This Row],[Difference Vs. S&amp;P Return]],"")</f>
        <v/>
      </c>
      <c r="T203" s="14">
        <f>IF(Table1[[#This Row],[Team]]="Tom",Table1[[#This Row],[Difference Vs. S&amp;P Return]],"")</f>
        <v>-8.2000000000000003E-2</v>
      </c>
      <c r="U203" s="14">
        <f>ROUND((1+Table1[[#This Row],[Return (keep sorted by this column!)]])/(1+Table1[[#This Row],[S&amp;P Return, same period]])-1,1)</f>
        <v>-0.1</v>
      </c>
      <c r="V203" s="15" t="str">
        <f>IF(Table1[[#This Row],[Team]]="David",Table1[[#This Row],[Improvement Vs. S&amp;P Return]],"")</f>
        <v/>
      </c>
      <c r="W203" s="15">
        <f>IF(Table1[[#This Row],[Team]]="Tom",Table1[[#This Row],[Improvement Vs. S&amp;P Return]],"")</f>
        <v>-0.1</v>
      </c>
    </row>
    <row r="204" spans="1:23" ht="30" x14ac:dyDescent="0.2">
      <c r="A204" s="1">
        <v>40074</v>
      </c>
      <c r="B204" s="2" t="s">
        <v>494</v>
      </c>
      <c r="C204" s="2">
        <f>SUBTOTAL(103,Table1[[#This Row],[Recommendation Date]])</f>
        <v>1</v>
      </c>
      <c r="D204" s="2">
        <f>1</f>
        <v>1</v>
      </c>
      <c r="E204" s="16" t="s">
        <v>495</v>
      </c>
      <c r="F204" s="3" t="s">
        <v>15</v>
      </c>
      <c r="G204" s="3" t="s">
        <v>8</v>
      </c>
      <c r="H204" s="17"/>
      <c r="I204" s="4">
        <v>39.799999999999997</v>
      </c>
      <c r="J204" s="5">
        <v>0.36</v>
      </c>
      <c r="K204" s="48">
        <f>ROUND(LOG10(Table1[[#This Row],[Return (keep sorted by this column!)]]+1),2)</f>
        <v>0.13</v>
      </c>
      <c r="L204" s="48">
        <f>COUNTIF(Table1[Return (keep sorted by this column!)],"&lt;"&amp;Table1[[#This Row],[Return (keep sorted by this column!)]])</f>
        <v>231</v>
      </c>
      <c r="M204" s="14" t="str">
        <f>IF(Table1[[#This Row],[Team]]="David",Table1[[#This Row],[Return (keep sorted by this column!)]],"")</f>
        <v/>
      </c>
      <c r="N204" s="14">
        <f>IF(Table1[[#This Row],[Team]]="Tom",Table1[[#This Row],[Return (keep sorted by this column!)]],"")</f>
        <v>0.36</v>
      </c>
      <c r="O204" s="5">
        <v>0.88800000000000001</v>
      </c>
      <c r="P204" s="23" t="str">
        <f>IF(Table1[[#This Row],[Team]]="David",Table1[[#This Row],[S&amp;P Return, same period]],"")</f>
        <v/>
      </c>
      <c r="Q204" s="23">
        <f>IF(Table1[[#This Row],[Team]]="Tom",Table1[[#This Row],[S&amp;P Return, same period]],"")</f>
        <v>0.88800000000000001</v>
      </c>
      <c r="R204" s="5">
        <v>-0.52800000000000002</v>
      </c>
      <c r="S204" s="14" t="str">
        <f>IF(Table1[[#This Row],[Team]]="David",Table1[[#This Row],[Difference Vs. S&amp;P Return]],"")</f>
        <v/>
      </c>
      <c r="T204" s="14">
        <f>IF(Table1[[#This Row],[Team]]="Tom",Table1[[#This Row],[Difference Vs. S&amp;P Return]],"")</f>
        <v>-0.52800000000000002</v>
      </c>
      <c r="U204" s="14">
        <f>ROUND((1+Table1[[#This Row],[Return (keep sorted by this column!)]])/(1+Table1[[#This Row],[S&amp;P Return, same period]])-1,1)</f>
        <v>-0.3</v>
      </c>
      <c r="V204" s="15" t="str">
        <f>IF(Table1[[#This Row],[Team]]="David",Table1[[#This Row],[Improvement Vs. S&amp;P Return]],"")</f>
        <v/>
      </c>
      <c r="W204" s="15">
        <f>IF(Table1[[#This Row],[Team]]="Tom",Table1[[#This Row],[Improvement Vs. S&amp;P Return]],"")</f>
        <v>-0.3</v>
      </c>
    </row>
    <row r="205" spans="1:23" ht="30" x14ac:dyDescent="0.2">
      <c r="A205" s="18">
        <v>42874</v>
      </c>
      <c r="B205" s="2" t="s">
        <v>155</v>
      </c>
      <c r="C205" s="2">
        <f>SUBTOTAL(103,Table1[[#This Row],[Recommendation Date]])</f>
        <v>1</v>
      </c>
      <c r="D205" s="2">
        <f>1</f>
        <v>1</v>
      </c>
      <c r="E205" s="16" t="s">
        <v>156</v>
      </c>
      <c r="F205" s="3" t="s">
        <v>157</v>
      </c>
      <c r="G205" s="3" t="s">
        <v>8</v>
      </c>
      <c r="H205" s="17"/>
      <c r="I205" s="4">
        <v>484.99</v>
      </c>
      <c r="J205" s="5">
        <v>0.35599999999999998</v>
      </c>
      <c r="K205" s="48">
        <f>ROUND(LOG10(Table1[[#This Row],[Return (keep sorted by this column!)]]+1),2)</f>
        <v>0.13</v>
      </c>
      <c r="L205" s="48">
        <f>COUNTIF(Table1[Return (keep sorted by this column!)],"&lt;"&amp;Table1[[#This Row],[Return (keep sorted by this column!)]])</f>
        <v>230</v>
      </c>
      <c r="M205" s="76" t="str">
        <f>IF(Table1[[#This Row],[Team]]="David",Table1[[#This Row],[Return (keep sorted by this column!)]],"")</f>
        <v/>
      </c>
      <c r="N205" s="76">
        <f>IF(Table1[[#This Row],[Team]]="Tom",Table1[[#This Row],[Return (keep sorted by this column!)]],"")</f>
        <v>0.35599999999999998</v>
      </c>
      <c r="O205" s="5">
        <v>0.219</v>
      </c>
      <c r="P205" s="68" t="str">
        <f>IF(Table1[[#This Row],[Team]]="David",Table1[[#This Row],[S&amp;P Return, same period]],"")</f>
        <v/>
      </c>
      <c r="Q205" s="68">
        <f>IF(Table1[[#This Row],[Team]]="Tom",Table1[[#This Row],[S&amp;P Return, same period]],"")</f>
        <v>0.219</v>
      </c>
      <c r="R205" s="5">
        <v>0.13800000000000001</v>
      </c>
      <c r="S205" s="14" t="str">
        <f>IF(Table1[[#This Row],[Team]]="David",Table1[[#This Row],[Difference Vs. S&amp;P Return]],"")</f>
        <v/>
      </c>
      <c r="T205" s="14">
        <f>IF(Table1[[#This Row],[Team]]="Tom",Table1[[#This Row],[Difference Vs. S&amp;P Return]],"")</f>
        <v>0.13800000000000001</v>
      </c>
      <c r="U205" s="14">
        <f>ROUND((1+Table1[[#This Row],[Return (keep sorted by this column!)]])/(1+Table1[[#This Row],[S&amp;P Return, same period]])-1,1)</f>
        <v>0.1</v>
      </c>
      <c r="V205" s="15" t="str">
        <f>IF(Table1[[#This Row],[Team]]="David",Table1[[#This Row],[Improvement Vs. S&amp;P Return]],"")</f>
        <v/>
      </c>
      <c r="W205" s="15">
        <f>IF(Table1[[#This Row],[Team]]="Tom",Table1[[#This Row],[Improvement Vs. S&amp;P Return]],"")</f>
        <v>0.1</v>
      </c>
    </row>
    <row r="206" spans="1:23" ht="45" x14ac:dyDescent="0.2">
      <c r="A206" s="1">
        <v>40837</v>
      </c>
      <c r="B206" s="2" t="s">
        <v>401</v>
      </c>
      <c r="C206" s="2">
        <f>SUBTOTAL(103,Table1[[#This Row],[Recommendation Date]])</f>
        <v>1</v>
      </c>
      <c r="D206" s="2">
        <f>1</f>
        <v>1</v>
      </c>
      <c r="E206" s="16" t="s">
        <v>402</v>
      </c>
      <c r="F206" s="3" t="s">
        <v>27</v>
      </c>
      <c r="G206" s="3" t="s">
        <v>8</v>
      </c>
      <c r="H206" s="17"/>
      <c r="I206" s="4">
        <v>45.16</v>
      </c>
      <c r="J206" s="5">
        <v>0.35399999999999998</v>
      </c>
      <c r="K206" s="48">
        <f>ROUND(LOG10(Table1[[#This Row],[Return (keep sorted by this column!)]]+1),2)</f>
        <v>0.13</v>
      </c>
      <c r="L206" s="48">
        <f>COUNTIF(Table1[Return (keep sorted by this column!)],"&lt;"&amp;Table1[[#This Row],[Return (keep sorted by this column!)]])</f>
        <v>229</v>
      </c>
      <c r="M206" s="76" t="str">
        <f>IF(Table1[[#This Row],[Team]]="David",Table1[[#This Row],[Return (keep sorted by this column!)]],"")</f>
        <v/>
      </c>
      <c r="N206" s="76">
        <f>IF(Table1[[#This Row],[Team]]="Tom",Table1[[#This Row],[Return (keep sorted by this column!)]],"")</f>
        <v>0.35399999999999998</v>
      </c>
      <c r="O206" s="5">
        <v>0.54100000000000004</v>
      </c>
      <c r="P206" s="68" t="str">
        <f>IF(Table1[[#This Row],[Team]]="David",Table1[[#This Row],[S&amp;P Return, same period]],"")</f>
        <v/>
      </c>
      <c r="Q206" s="68">
        <f>IF(Table1[[#This Row],[Team]]="Tom",Table1[[#This Row],[S&amp;P Return, same period]],"")</f>
        <v>0.54100000000000004</v>
      </c>
      <c r="R206" s="5">
        <v>-0.186</v>
      </c>
      <c r="S206" s="14" t="str">
        <f>IF(Table1[[#This Row],[Team]]="David",Table1[[#This Row],[Difference Vs. S&amp;P Return]],"")</f>
        <v/>
      </c>
      <c r="T206" s="14">
        <f>IF(Table1[[#This Row],[Team]]="Tom",Table1[[#This Row],[Difference Vs. S&amp;P Return]],"")</f>
        <v>-0.186</v>
      </c>
      <c r="U206" s="14">
        <f>ROUND((1+Table1[[#This Row],[Return (keep sorted by this column!)]])/(1+Table1[[#This Row],[S&amp;P Return, same period]])-1,1)</f>
        <v>-0.1</v>
      </c>
      <c r="V206" s="15" t="str">
        <f>IF(Table1[[#This Row],[Team]]="David",Table1[[#This Row],[Improvement Vs. S&amp;P Return]],"")</f>
        <v/>
      </c>
      <c r="W206" s="15">
        <f>IF(Table1[[#This Row],[Team]]="Tom",Table1[[#This Row],[Improvement Vs. S&amp;P Return]],"")</f>
        <v>-0.1</v>
      </c>
    </row>
    <row r="207" spans="1:23" ht="30" x14ac:dyDescent="0.2">
      <c r="A207" s="18">
        <v>40410</v>
      </c>
      <c r="B207" s="2" t="s">
        <v>452</v>
      </c>
      <c r="C207" s="2">
        <f>SUBTOTAL(103,Table1[[#This Row],[Recommendation Date]])</f>
        <v>1</v>
      </c>
      <c r="D207" s="2">
        <f>1</f>
        <v>1</v>
      </c>
      <c r="E207" s="16" t="s">
        <v>453</v>
      </c>
      <c r="F207" s="3" t="s">
        <v>454</v>
      </c>
      <c r="G207" s="3" t="s">
        <v>12</v>
      </c>
      <c r="H207" s="16">
        <v>10</v>
      </c>
      <c r="I207" s="4">
        <v>16.79</v>
      </c>
      <c r="J207" s="5">
        <v>0.34300000000000003</v>
      </c>
      <c r="K207" s="48">
        <f>ROUND(LOG10(Table1[[#This Row],[Return (keep sorted by this column!)]]+1),2)</f>
        <v>0.13</v>
      </c>
      <c r="L207" s="48">
        <f>COUNTIF(Table1[Return (keep sorted by this column!)],"&lt;"&amp;Table1[[#This Row],[Return (keep sorted by this column!)]])</f>
        <v>228</v>
      </c>
      <c r="M207" s="76">
        <f>IF(Table1[[#This Row],[Team]]="David",Table1[[#This Row],[Return (keep sorted by this column!)]],"")</f>
        <v>0.34300000000000003</v>
      </c>
      <c r="N207" s="76" t="str">
        <f>IF(Table1[[#This Row],[Team]]="Tom",Table1[[#This Row],[Return (keep sorted by this column!)]],"")</f>
        <v/>
      </c>
      <c r="O207" s="5">
        <v>2.1259999999999999</v>
      </c>
      <c r="P207" s="68">
        <f>IF(Table1[[#This Row],[Team]]="David",Table1[[#This Row],[S&amp;P Return, same period]],"")</f>
        <v>2.1259999999999999</v>
      </c>
      <c r="Q207" s="68" t="str">
        <f>IF(Table1[[#This Row],[Team]]="Tom",Table1[[#This Row],[S&amp;P Return, same period]],"")</f>
        <v/>
      </c>
      <c r="R207" s="5">
        <v>-1.7829999999999999</v>
      </c>
      <c r="S207" s="14">
        <f>IF(Table1[[#This Row],[Team]]="David",Table1[[#This Row],[Difference Vs. S&amp;P Return]],"")</f>
        <v>-1.7829999999999999</v>
      </c>
      <c r="T207" s="14" t="str">
        <f>IF(Table1[[#This Row],[Team]]="Tom",Table1[[#This Row],[Difference Vs. S&amp;P Return]],"")</f>
        <v/>
      </c>
      <c r="U207" s="14">
        <f>ROUND((1+Table1[[#This Row],[Return (keep sorted by this column!)]])/(1+Table1[[#This Row],[S&amp;P Return, same period]])-1,1)</f>
        <v>-0.6</v>
      </c>
      <c r="V207" s="15">
        <f>IF(Table1[[#This Row],[Team]]="David",Table1[[#This Row],[Improvement Vs. S&amp;P Return]],"")</f>
        <v>-0.6</v>
      </c>
      <c r="W207" s="15" t="str">
        <f>IF(Table1[[#This Row],[Team]]="Tom",Table1[[#This Row],[Improvement Vs. S&amp;P Return]],"")</f>
        <v/>
      </c>
    </row>
    <row r="208" spans="1:23" ht="17" x14ac:dyDescent="0.2">
      <c r="A208" s="18">
        <v>43433</v>
      </c>
      <c r="B208" s="2" t="s">
        <v>83</v>
      </c>
      <c r="C208" s="2">
        <f>SUBTOTAL(103,Table1[[#This Row],[Recommendation Date]])</f>
        <v>1</v>
      </c>
      <c r="D208" s="2">
        <f>1</f>
        <v>1</v>
      </c>
      <c r="E208" s="16" t="s">
        <v>84</v>
      </c>
      <c r="F208" s="3" t="s">
        <v>85</v>
      </c>
      <c r="G208" s="3" t="s">
        <v>8</v>
      </c>
      <c r="H208" s="17"/>
      <c r="I208" s="4">
        <v>195.31</v>
      </c>
      <c r="J208" s="5">
        <v>0.34200000000000003</v>
      </c>
      <c r="K208" s="48">
        <f>ROUND(LOG10(Table1[[#This Row],[Return (keep sorted by this column!)]]+1),2)</f>
        <v>0.13</v>
      </c>
      <c r="L208" s="48">
        <f>COUNTIF(Table1[Return (keep sorted by this column!)],"&lt;"&amp;Table1[[#This Row],[Return (keep sorted by this column!)]])</f>
        <v>227</v>
      </c>
      <c r="M208" s="76" t="str">
        <f>IF(Table1[[#This Row],[Team]]="David",Table1[[#This Row],[Return (keep sorted by this column!)]],"")</f>
        <v/>
      </c>
      <c r="N208" s="76">
        <f>IF(Table1[[#This Row],[Team]]="Tom",Table1[[#This Row],[Return (keep sorted by this column!)]],"")</f>
        <v>0.34200000000000003</v>
      </c>
      <c r="O208" s="5">
        <v>2.9000000000000001E-2</v>
      </c>
      <c r="P208" s="68" t="str">
        <f>IF(Table1[[#This Row],[Team]]="David",Table1[[#This Row],[S&amp;P Return, same period]],"")</f>
        <v/>
      </c>
      <c r="Q208" s="68">
        <f>IF(Table1[[#This Row],[Team]]="Tom",Table1[[#This Row],[S&amp;P Return, same period]],"")</f>
        <v>2.9000000000000001E-2</v>
      </c>
      <c r="R208" s="5">
        <v>0.312</v>
      </c>
      <c r="S208" s="14" t="str">
        <f>IF(Table1[[#This Row],[Team]]="David",Table1[[#This Row],[Difference Vs. S&amp;P Return]],"")</f>
        <v/>
      </c>
      <c r="T208" s="14">
        <f>IF(Table1[[#This Row],[Team]]="Tom",Table1[[#This Row],[Difference Vs. S&amp;P Return]],"")</f>
        <v>0.312</v>
      </c>
      <c r="U208" s="14">
        <f>ROUND((1+Table1[[#This Row],[Return (keep sorted by this column!)]])/(1+Table1[[#This Row],[S&amp;P Return, same period]])-1,1)</f>
        <v>0.3</v>
      </c>
      <c r="V208" s="15" t="str">
        <f>IF(Table1[[#This Row],[Team]]="David",Table1[[#This Row],[Improvement Vs. S&amp;P Return]],"")</f>
        <v/>
      </c>
      <c r="W208" s="15">
        <f>IF(Table1[[#This Row],[Team]]="Tom",Table1[[#This Row],[Improvement Vs. S&amp;P Return]],"")</f>
        <v>0.3</v>
      </c>
    </row>
    <row r="209" spans="1:23" ht="75" x14ac:dyDescent="0.2">
      <c r="A209" s="1">
        <v>39920</v>
      </c>
      <c r="B209" s="2" t="s">
        <v>510</v>
      </c>
      <c r="C209" s="2">
        <f>SUBTOTAL(103,Table1[[#This Row],[Recommendation Date]])</f>
        <v>1</v>
      </c>
      <c r="D209" s="2">
        <f>1</f>
        <v>1</v>
      </c>
      <c r="E209" s="16" t="s">
        <v>511</v>
      </c>
      <c r="F209" s="3" t="s">
        <v>15</v>
      </c>
      <c r="G209" s="3" t="s">
        <v>12</v>
      </c>
      <c r="H209" s="17"/>
      <c r="I209" s="4">
        <v>33.049999999999997</v>
      </c>
      <c r="J209" s="5">
        <v>0.33600000000000002</v>
      </c>
      <c r="K209" s="48">
        <f>ROUND(LOG10(Table1[[#This Row],[Return (keep sorted by this column!)]]+1),2)</f>
        <v>0.13</v>
      </c>
      <c r="L209" s="48">
        <f>COUNTIF(Table1[Return (keep sorted by this column!)],"&lt;"&amp;Table1[[#This Row],[Return (keep sorted by this column!)]])</f>
        <v>226</v>
      </c>
      <c r="M209" s="14">
        <f>IF(Table1[[#This Row],[Team]]="David",Table1[[#This Row],[Return (keep sorted by this column!)]],"")</f>
        <v>0.33600000000000002</v>
      </c>
      <c r="N209" s="14" t="str">
        <f>IF(Table1[[#This Row],[Team]]="Tom",Table1[[#This Row],[Return (keep sorted by this column!)]],"")</f>
        <v/>
      </c>
      <c r="O209" s="5">
        <v>0.48299999999999998</v>
      </c>
      <c r="P209" s="23">
        <f>IF(Table1[[#This Row],[Team]]="David",Table1[[#This Row],[S&amp;P Return, same period]],"")</f>
        <v>0.48299999999999998</v>
      </c>
      <c r="Q209" s="23" t="str">
        <f>IF(Table1[[#This Row],[Team]]="Tom",Table1[[#This Row],[S&amp;P Return, same period]],"")</f>
        <v/>
      </c>
      <c r="R209" s="5">
        <v>-0.14699999999999999</v>
      </c>
      <c r="S209" s="14">
        <f>IF(Table1[[#This Row],[Team]]="David",Table1[[#This Row],[Difference Vs. S&amp;P Return]],"")</f>
        <v>-0.14699999999999999</v>
      </c>
      <c r="T209" s="14" t="str">
        <f>IF(Table1[[#This Row],[Team]]="Tom",Table1[[#This Row],[Difference Vs. S&amp;P Return]],"")</f>
        <v/>
      </c>
      <c r="U209" s="14">
        <f>ROUND((1+Table1[[#This Row],[Return (keep sorted by this column!)]])/(1+Table1[[#This Row],[S&amp;P Return, same period]])-1,1)</f>
        <v>-0.1</v>
      </c>
      <c r="V209" s="15">
        <f>IF(Table1[[#This Row],[Team]]="David",Table1[[#This Row],[Improvement Vs. S&amp;P Return]],"")</f>
        <v>-0.1</v>
      </c>
      <c r="W209" s="15" t="str">
        <f>IF(Table1[[#This Row],[Team]]="Tom",Table1[[#This Row],[Improvement Vs. S&amp;P Return]],"")</f>
        <v/>
      </c>
    </row>
    <row r="210" spans="1:23" ht="60" x14ac:dyDescent="0.2">
      <c r="A210" s="1">
        <v>38310</v>
      </c>
      <c r="B210" s="2" t="s">
        <v>616</v>
      </c>
      <c r="C210" s="2">
        <f>SUBTOTAL(103,Table1[[#This Row],[Recommendation Date]])</f>
        <v>1</v>
      </c>
      <c r="D210" s="2">
        <f>1</f>
        <v>1</v>
      </c>
      <c r="E210" s="16" t="s">
        <v>617</v>
      </c>
      <c r="F210" s="3" t="s">
        <v>252</v>
      </c>
      <c r="G210" s="3" t="s">
        <v>8</v>
      </c>
      <c r="H210" s="17"/>
      <c r="I210" s="4">
        <v>31.73</v>
      </c>
      <c r="J210" s="5">
        <v>0.315</v>
      </c>
      <c r="K210" s="48">
        <f>ROUND(LOG10(Table1[[#This Row],[Return (keep sorted by this column!)]]+1),2)</f>
        <v>0.12</v>
      </c>
      <c r="L210" s="48">
        <f>COUNTIF(Table1[Return (keep sorted by this column!)],"&lt;"&amp;Table1[[#This Row],[Return (keep sorted by this column!)]])</f>
        <v>225</v>
      </c>
      <c r="M210" s="14" t="str">
        <f>IF(Table1[[#This Row],[Team]]="David",Table1[[#This Row],[Return (keep sorted by this column!)]],"")</f>
        <v/>
      </c>
      <c r="N210" s="14">
        <f>IF(Table1[[#This Row],[Team]]="Tom",Table1[[#This Row],[Return (keep sorted by this column!)]],"")</f>
        <v>0.315</v>
      </c>
      <c r="O210" s="5">
        <v>0.46800000000000003</v>
      </c>
      <c r="P210" s="23" t="str">
        <f>IF(Table1[[#This Row],[Team]]="David",Table1[[#This Row],[S&amp;P Return, same period]],"")</f>
        <v/>
      </c>
      <c r="Q210" s="23">
        <f>IF(Table1[[#This Row],[Team]]="Tom",Table1[[#This Row],[S&amp;P Return, same period]],"")</f>
        <v>0.46800000000000003</v>
      </c>
      <c r="R210" s="5">
        <v>-0.153</v>
      </c>
      <c r="S210" s="14" t="str">
        <f>IF(Table1[[#This Row],[Team]]="David",Table1[[#This Row],[Difference Vs. S&amp;P Return]],"")</f>
        <v/>
      </c>
      <c r="T210" s="14">
        <f>IF(Table1[[#This Row],[Team]]="Tom",Table1[[#This Row],[Difference Vs. S&amp;P Return]],"")</f>
        <v>-0.153</v>
      </c>
      <c r="U210" s="14">
        <f>ROUND((1+Table1[[#This Row],[Return (keep sorted by this column!)]])/(1+Table1[[#This Row],[S&amp;P Return, same period]])-1,1)</f>
        <v>-0.1</v>
      </c>
      <c r="V210" s="15" t="str">
        <f>IF(Table1[[#This Row],[Team]]="David",Table1[[#This Row],[Improvement Vs. S&amp;P Return]],"")</f>
        <v/>
      </c>
      <c r="W210" s="15">
        <f>IF(Table1[[#This Row],[Team]]="Tom",Table1[[#This Row],[Improvement Vs. S&amp;P Return]],"")</f>
        <v>-0.1</v>
      </c>
    </row>
    <row r="211" spans="1:23" ht="60" x14ac:dyDescent="0.2">
      <c r="A211" s="1">
        <v>41292</v>
      </c>
      <c r="B211" s="2" t="s">
        <v>352</v>
      </c>
      <c r="C211" s="2">
        <f>SUBTOTAL(103,Table1[[#This Row],[Recommendation Date]])</f>
        <v>1</v>
      </c>
      <c r="D211" s="2">
        <f>1</f>
        <v>1</v>
      </c>
      <c r="E211" s="16" t="s">
        <v>353</v>
      </c>
      <c r="F211" s="3" t="s">
        <v>252</v>
      </c>
      <c r="G211" s="3" t="s">
        <v>12</v>
      </c>
      <c r="H211" s="16">
        <v>12</v>
      </c>
      <c r="I211" s="4">
        <v>83.45</v>
      </c>
      <c r="J211" s="5">
        <v>0.312</v>
      </c>
      <c r="K211" s="48">
        <f>ROUND(LOG10(Table1[[#This Row],[Return (keep sorted by this column!)]]+1),2)</f>
        <v>0.12</v>
      </c>
      <c r="L211" s="48">
        <f>COUNTIF(Table1[Return (keep sorted by this column!)],"&lt;"&amp;Table1[[#This Row],[Return (keep sorted by this column!)]])</f>
        <v>224</v>
      </c>
      <c r="M211" s="76">
        <f>IF(Table1[[#This Row],[Team]]="David",Table1[[#This Row],[Return (keep sorted by this column!)]],"")</f>
        <v>0.312</v>
      </c>
      <c r="N211" s="76" t="str">
        <f>IF(Table1[[#This Row],[Team]]="Tom",Table1[[#This Row],[Return (keep sorted by this column!)]],"")</f>
        <v/>
      </c>
      <c r="O211" s="5">
        <v>1.3049999999999999</v>
      </c>
      <c r="P211" s="68">
        <f>IF(Table1[[#This Row],[Team]]="David",Table1[[#This Row],[S&amp;P Return, same period]],"")</f>
        <v>1.3049999999999999</v>
      </c>
      <c r="Q211" s="68" t="str">
        <f>IF(Table1[[#This Row],[Team]]="Tom",Table1[[#This Row],[S&amp;P Return, same period]],"")</f>
        <v/>
      </c>
      <c r="R211" s="5">
        <v>-0.99199999999999999</v>
      </c>
      <c r="S211" s="14">
        <f>IF(Table1[[#This Row],[Team]]="David",Table1[[#This Row],[Difference Vs. S&amp;P Return]],"")</f>
        <v>-0.99199999999999999</v>
      </c>
      <c r="T211" s="14" t="str">
        <f>IF(Table1[[#This Row],[Team]]="Tom",Table1[[#This Row],[Difference Vs. S&amp;P Return]],"")</f>
        <v/>
      </c>
      <c r="U211" s="14">
        <f>ROUND((1+Table1[[#This Row],[Return (keep sorted by this column!)]])/(1+Table1[[#This Row],[S&amp;P Return, same period]])-1,1)</f>
        <v>-0.4</v>
      </c>
      <c r="V211" s="15">
        <f>IF(Table1[[#This Row],[Team]]="David",Table1[[#This Row],[Improvement Vs. S&amp;P Return]],"")</f>
        <v>-0.4</v>
      </c>
      <c r="W211" s="15" t="str">
        <f>IF(Table1[[#This Row],[Team]]="Tom",Table1[[#This Row],[Improvement Vs. S&amp;P Return]],"")</f>
        <v/>
      </c>
    </row>
    <row r="212" spans="1:23" ht="30" x14ac:dyDescent="0.2">
      <c r="A212" s="18">
        <v>42811</v>
      </c>
      <c r="B212" s="2" t="s">
        <v>167</v>
      </c>
      <c r="C212" s="2">
        <f>SUBTOTAL(103,Table1[[#This Row],[Recommendation Date]])</f>
        <v>1</v>
      </c>
      <c r="D212" s="2">
        <f>1</f>
        <v>1</v>
      </c>
      <c r="E212" s="16" t="s">
        <v>168</v>
      </c>
      <c r="F212" s="3" t="s">
        <v>169</v>
      </c>
      <c r="G212" s="3" t="s">
        <v>12</v>
      </c>
      <c r="H212" s="16">
        <v>12</v>
      </c>
      <c r="I212" s="4">
        <v>176.7</v>
      </c>
      <c r="J212" s="5">
        <v>0.30599999999999999</v>
      </c>
      <c r="K212" s="48">
        <f>ROUND(LOG10(Table1[[#This Row],[Return (keep sorted by this column!)]]+1),2)</f>
        <v>0.12</v>
      </c>
      <c r="L212" s="48">
        <f>COUNTIF(Table1[Return (keep sorted by this column!)],"&lt;"&amp;Table1[[#This Row],[Return (keep sorted by this column!)]])</f>
        <v>223</v>
      </c>
      <c r="M212" s="76">
        <f>IF(Table1[[#This Row],[Team]]="David",Table1[[#This Row],[Return (keep sorted by this column!)]],"")</f>
        <v>0.30599999999999999</v>
      </c>
      <c r="N212" s="76" t="str">
        <f>IF(Table1[[#This Row],[Team]]="Tom",Table1[[#This Row],[Return (keep sorted by this column!)]],"")</f>
        <v/>
      </c>
      <c r="O212" s="5">
        <v>0.22500000000000001</v>
      </c>
      <c r="P212" s="68">
        <f>IF(Table1[[#This Row],[Team]]="David",Table1[[#This Row],[S&amp;P Return, same period]],"")</f>
        <v>0.22500000000000001</v>
      </c>
      <c r="Q212" s="68" t="str">
        <f>IF(Table1[[#This Row],[Team]]="Tom",Table1[[#This Row],[S&amp;P Return, same period]],"")</f>
        <v/>
      </c>
      <c r="R212" s="5">
        <v>8.2000000000000003E-2</v>
      </c>
      <c r="S212" s="14">
        <f>IF(Table1[[#This Row],[Team]]="David",Table1[[#This Row],[Difference Vs. S&amp;P Return]],"")</f>
        <v>8.2000000000000003E-2</v>
      </c>
      <c r="T212" s="14" t="str">
        <f>IF(Table1[[#This Row],[Team]]="Tom",Table1[[#This Row],[Difference Vs. S&amp;P Return]],"")</f>
        <v/>
      </c>
      <c r="U212" s="14">
        <f>ROUND((1+Table1[[#This Row],[Return (keep sorted by this column!)]])/(1+Table1[[#This Row],[S&amp;P Return, same period]])-1,1)</f>
        <v>0.1</v>
      </c>
      <c r="V212" s="15">
        <f>IF(Table1[[#This Row],[Team]]="David",Table1[[#This Row],[Improvement Vs. S&amp;P Return]],"")</f>
        <v>0.1</v>
      </c>
      <c r="W212" s="15" t="str">
        <f>IF(Table1[[#This Row],[Team]]="Tom",Table1[[#This Row],[Improvement Vs. S&amp;P Return]],"")</f>
        <v/>
      </c>
    </row>
    <row r="213" spans="1:23" ht="30" x14ac:dyDescent="0.2">
      <c r="A213" s="18">
        <v>41173</v>
      </c>
      <c r="B213" s="2" t="s">
        <v>367</v>
      </c>
      <c r="C213" s="2">
        <f>SUBTOTAL(103,Table1[[#This Row],[Recommendation Date]])</f>
        <v>1</v>
      </c>
      <c r="D213" s="2">
        <f>1</f>
        <v>1</v>
      </c>
      <c r="E213" s="16" t="s">
        <v>368</v>
      </c>
      <c r="F213" s="3" t="s">
        <v>58</v>
      </c>
      <c r="G213" s="3" t="s">
        <v>12</v>
      </c>
      <c r="H213" s="16">
        <v>15</v>
      </c>
      <c r="I213" s="4">
        <v>18.14</v>
      </c>
      <c r="J213" s="5">
        <v>0.29399999999999998</v>
      </c>
      <c r="K213" s="48">
        <f>ROUND(LOG10(Table1[[#This Row],[Return (keep sorted by this column!)]]+1),2)</f>
        <v>0.11</v>
      </c>
      <c r="L213" s="48">
        <f>COUNTIF(Table1[Return (keep sorted by this column!)],"&lt;"&amp;Table1[[#This Row],[Return (keep sorted by this column!)]])</f>
        <v>222</v>
      </c>
      <c r="M213" s="76">
        <f>IF(Table1[[#This Row],[Team]]="David",Table1[[#This Row],[Return (keep sorted by this column!)]],"")</f>
        <v>0.29399999999999998</v>
      </c>
      <c r="N213" s="76" t="str">
        <f>IF(Table1[[#This Row],[Team]]="Tom",Table1[[#This Row],[Return (keep sorted by this column!)]],"")</f>
        <v/>
      </c>
      <c r="O213" s="5">
        <v>1.196</v>
      </c>
      <c r="P213" s="68">
        <f>IF(Table1[[#This Row],[Team]]="David",Table1[[#This Row],[S&amp;P Return, same period]],"")</f>
        <v>1.196</v>
      </c>
      <c r="Q213" s="68" t="str">
        <f>IF(Table1[[#This Row],[Team]]="Tom",Table1[[#This Row],[S&amp;P Return, same period]],"")</f>
        <v/>
      </c>
      <c r="R213" s="5">
        <v>-0.90100000000000002</v>
      </c>
      <c r="S213" s="14">
        <f>IF(Table1[[#This Row],[Team]]="David",Table1[[#This Row],[Difference Vs. S&amp;P Return]],"")</f>
        <v>-0.90100000000000002</v>
      </c>
      <c r="T213" s="14" t="str">
        <f>IF(Table1[[#This Row],[Team]]="Tom",Table1[[#This Row],[Difference Vs. S&amp;P Return]],"")</f>
        <v/>
      </c>
      <c r="U213" s="14">
        <f>ROUND((1+Table1[[#This Row],[Return (keep sorted by this column!)]])/(1+Table1[[#This Row],[S&amp;P Return, same period]])-1,1)</f>
        <v>-0.4</v>
      </c>
      <c r="V213" s="15">
        <f>IF(Table1[[#This Row],[Team]]="David",Table1[[#This Row],[Improvement Vs. S&amp;P Return]],"")</f>
        <v>-0.4</v>
      </c>
      <c r="W213" s="15" t="str">
        <f>IF(Table1[[#This Row],[Team]]="Tom",Table1[[#This Row],[Improvement Vs. S&amp;P Return]],"")</f>
        <v/>
      </c>
    </row>
    <row r="214" spans="1:23" ht="45" x14ac:dyDescent="0.2">
      <c r="A214" s="1">
        <v>41719</v>
      </c>
      <c r="B214" s="2" t="s">
        <v>313</v>
      </c>
      <c r="C214" s="2">
        <f>SUBTOTAL(103,Table1[[#This Row],[Recommendation Date]])</f>
        <v>1</v>
      </c>
      <c r="D214" s="2">
        <f>1</f>
        <v>1</v>
      </c>
      <c r="E214" s="16" t="s">
        <v>314</v>
      </c>
      <c r="F214" s="3" t="s">
        <v>130</v>
      </c>
      <c r="G214" s="3" t="s">
        <v>8</v>
      </c>
      <c r="H214" s="17"/>
      <c r="I214" s="4">
        <v>59.52</v>
      </c>
      <c r="J214" s="5">
        <v>0.28999999999999998</v>
      </c>
      <c r="K214" s="48">
        <f>ROUND(LOG10(Table1[[#This Row],[Return (keep sorted by this column!)]]+1),2)</f>
        <v>0.11</v>
      </c>
      <c r="L214" s="48">
        <f>COUNTIF(Table1[Return (keep sorted by this column!)],"&lt;"&amp;Table1[[#This Row],[Return (keep sorted by this column!)]])</f>
        <v>220</v>
      </c>
      <c r="M214" s="76" t="str">
        <f>IF(Table1[[#This Row],[Team]]="David",Table1[[#This Row],[Return (keep sorted by this column!)]],"")</f>
        <v/>
      </c>
      <c r="N214" s="76">
        <f>IF(Table1[[#This Row],[Team]]="Tom",Table1[[#This Row],[Return (keep sorted by this column!)]],"")</f>
        <v>0.28999999999999998</v>
      </c>
      <c r="O214" s="5">
        <v>0.55600000000000005</v>
      </c>
      <c r="P214" s="68" t="str">
        <f>IF(Table1[[#This Row],[Team]]="David",Table1[[#This Row],[S&amp;P Return, same period]],"")</f>
        <v/>
      </c>
      <c r="Q214" s="68">
        <f>IF(Table1[[#This Row],[Team]]="Tom",Table1[[#This Row],[S&amp;P Return, same period]],"")</f>
        <v>0.55600000000000005</v>
      </c>
      <c r="R214" s="5">
        <v>-0.26600000000000001</v>
      </c>
      <c r="S214" s="14" t="str">
        <f>IF(Table1[[#This Row],[Team]]="David",Table1[[#This Row],[Difference Vs. S&amp;P Return]],"")</f>
        <v/>
      </c>
      <c r="T214" s="14">
        <f>IF(Table1[[#This Row],[Team]]="Tom",Table1[[#This Row],[Difference Vs. S&amp;P Return]],"")</f>
        <v>-0.26600000000000001</v>
      </c>
      <c r="U214" s="14">
        <f>ROUND((1+Table1[[#This Row],[Return (keep sorted by this column!)]])/(1+Table1[[#This Row],[S&amp;P Return, same period]])-1,1)</f>
        <v>-0.2</v>
      </c>
      <c r="V214" s="15" t="str">
        <f>IF(Table1[[#This Row],[Team]]="David",Table1[[#This Row],[Improvement Vs. S&amp;P Return]],"")</f>
        <v/>
      </c>
      <c r="W214" s="15">
        <f>IF(Table1[[#This Row],[Team]]="Tom",Table1[[#This Row],[Improvement Vs. S&amp;P Return]],"")</f>
        <v>-0.2</v>
      </c>
    </row>
    <row r="215" spans="1:23" ht="45" x14ac:dyDescent="0.2">
      <c r="A215" s="1">
        <v>39402</v>
      </c>
      <c r="B215" s="2" t="s">
        <v>557</v>
      </c>
      <c r="C215" s="2">
        <f>SUBTOTAL(103,Table1[[#This Row],[Recommendation Date]])</f>
        <v>1</v>
      </c>
      <c r="D215" s="2">
        <f>1</f>
        <v>1</v>
      </c>
      <c r="E215" s="16" t="s">
        <v>558</v>
      </c>
      <c r="F215" s="3" t="s">
        <v>139</v>
      </c>
      <c r="G215" s="3" t="s">
        <v>8</v>
      </c>
      <c r="H215" s="17"/>
      <c r="I215" s="4">
        <v>35.36</v>
      </c>
      <c r="J215" s="5">
        <v>0.28999999999999998</v>
      </c>
      <c r="K215" s="48">
        <f>ROUND(LOG10(Table1[[#This Row],[Return (keep sorted by this column!)]]+1),2)</f>
        <v>0.11</v>
      </c>
      <c r="L215" s="48">
        <f>COUNTIF(Table1[Return (keep sorted by this column!)],"&lt;"&amp;Table1[[#This Row],[Return (keep sorted by this column!)]])</f>
        <v>220</v>
      </c>
      <c r="M215" s="14" t="str">
        <f>IF(Table1[[#This Row],[Team]]="David",Table1[[#This Row],[Return (keep sorted by this column!)]],"")</f>
        <v/>
      </c>
      <c r="N215" s="14">
        <f>IF(Table1[[#This Row],[Team]]="Tom",Table1[[#This Row],[Return (keep sorted by this column!)]],"")</f>
        <v>0.28999999999999998</v>
      </c>
      <c r="O215" s="5">
        <v>9.5000000000000001E-2</v>
      </c>
      <c r="P215" s="23" t="str">
        <f>IF(Table1[[#This Row],[Team]]="David",Table1[[#This Row],[S&amp;P Return, same period]],"")</f>
        <v/>
      </c>
      <c r="Q215" s="23">
        <f>IF(Table1[[#This Row],[Team]]="Tom",Table1[[#This Row],[S&amp;P Return, same period]],"")</f>
        <v>9.5000000000000001E-2</v>
      </c>
      <c r="R215" s="5">
        <v>0.19500000000000001</v>
      </c>
      <c r="S215" s="14" t="str">
        <f>IF(Table1[[#This Row],[Team]]="David",Table1[[#This Row],[Difference Vs. S&amp;P Return]],"")</f>
        <v/>
      </c>
      <c r="T215" s="14">
        <f>IF(Table1[[#This Row],[Team]]="Tom",Table1[[#This Row],[Difference Vs. S&amp;P Return]],"")</f>
        <v>0.19500000000000001</v>
      </c>
      <c r="U215" s="14">
        <f>ROUND((1+Table1[[#This Row],[Return (keep sorted by this column!)]])/(1+Table1[[#This Row],[S&amp;P Return, same period]])-1,1)</f>
        <v>0.2</v>
      </c>
      <c r="V215" s="15" t="str">
        <f>IF(Table1[[#This Row],[Team]]="David",Table1[[#This Row],[Improvement Vs. S&amp;P Return]],"")</f>
        <v/>
      </c>
      <c r="W215" s="15">
        <f>IF(Table1[[#This Row],[Team]]="Tom",Table1[[#This Row],[Improvement Vs. S&amp;P Return]],"")</f>
        <v>0.2</v>
      </c>
    </row>
    <row r="216" spans="1:23" ht="30" x14ac:dyDescent="0.2">
      <c r="A216" s="1">
        <v>42139</v>
      </c>
      <c r="B216" s="2" t="s">
        <v>263</v>
      </c>
      <c r="C216" s="2">
        <f>SUBTOTAL(103,Table1[[#This Row],[Recommendation Date]])</f>
        <v>1</v>
      </c>
      <c r="D216" s="2">
        <f>1</f>
        <v>1</v>
      </c>
      <c r="E216" s="16" t="s">
        <v>264</v>
      </c>
      <c r="F216" s="3" t="s">
        <v>252</v>
      </c>
      <c r="G216" s="3" t="s">
        <v>8</v>
      </c>
      <c r="H216" s="17"/>
      <c r="I216" s="4">
        <v>19.309999999999999</v>
      </c>
      <c r="J216" s="5">
        <v>0.28899999999999998</v>
      </c>
      <c r="K216" s="48">
        <f>ROUND(LOG10(Table1[[#This Row],[Return (keep sorted by this column!)]]+1),2)</f>
        <v>0.11</v>
      </c>
      <c r="L216" s="48">
        <f>COUNTIF(Table1[Return (keep sorted by this column!)],"&lt;"&amp;Table1[[#This Row],[Return (keep sorted by this column!)]])</f>
        <v>219</v>
      </c>
      <c r="M216" s="76" t="str">
        <f>IF(Table1[[#This Row],[Team]]="David",Table1[[#This Row],[Return (keep sorted by this column!)]],"")</f>
        <v/>
      </c>
      <c r="N216" s="76">
        <f>IF(Table1[[#This Row],[Team]]="Tom",Table1[[#This Row],[Return (keep sorted by this column!)]],"")</f>
        <v>0.28899999999999998</v>
      </c>
      <c r="O216" s="5">
        <v>-1E-3</v>
      </c>
      <c r="P216" s="68" t="str">
        <f>IF(Table1[[#This Row],[Team]]="David",Table1[[#This Row],[S&amp;P Return, same period]],"")</f>
        <v/>
      </c>
      <c r="Q216" s="68">
        <f>IF(Table1[[#This Row],[Team]]="Tom",Table1[[#This Row],[S&amp;P Return, same period]],"")</f>
        <v>-1E-3</v>
      </c>
      <c r="R216" s="5">
        <v>0.28999999999999998</v>
      </c>
      <c r="S216" s="14" t="str">
        <f>IF(Table1[[#This Row],[Team]]="David",Table1[[#This Row],[Difference Vs. S&amp;P Return]],"")</f>
        <v/>
      </c>
      <c r="T216" s="14">
        <f>IF(Table1[[#This Row],[Team]]="Tom",Table1[[#This Row],[Difference Vs. S&amp;P Return]],"")</f>
        <v>0.28999999999999998</v>
      </c>
      <c r="U216" s="14">
        <f>ROUND((1+Table1[[#This Row],[Return (keep sorted by this column!)]])/(1+Table1[[#This Row],[S&amp;P Return, same period]])-1,1)</f>
        <v>0.3</v>
      </c>
      <c r="V216" s="15" t="str">
        <f>IF(Table1[[#This Row],[Team]]="David",Table1[[#This Row],[Improvement Vs. S&amp;P Return]],"")</f>
        <v/>
      </c>
      <c r="W216" s="15">
        <f>IF(Table1[[#This Row],[Team]]="Tom",Table1[[#This Row],[Improvement Vs. S&amp;P Return]],"")</f>
        <v>0.3</v>
      </c>
    </row>
    <row r="217" spans="1:23" ht="60" x14ac:dyDescent="0.2">
      <c r="A217" s="1">
        <v>41775</v>
      </c>
      <c r="B217" s="2" t="s">
        <v>303</v>
      </c>
      <c r="C217" s="2">
        <f>SUBTOTAL(103,Table1[[#This Row],[Recommendation Date]])</f>
        <v>1</v>
      </c>
      <c r="D217" s="2">
        <f>1</f>
        <v>1</v>
      </c>
      <c r="E217" s="16" t="s">
        <v>304</v>
      </c>
      <c r="F217" s="3" t="s">
        <v>305</v>
      </c>
      <c r="G217" s="3" t="s">
        <v>8</v>
      </c>
      <c r="H217" s="17"/>
      <c r="I217" s="4">
        <v>8.61</v>
      </c>
      <c r="J217" s="5">
        <v>0.28299999999999997</v>
      </c>
      <c r="K217" s="48">
        <f>ROUND(LOG10(Table1[[#This Row],[Return (keep sorted by this column!)]]+1),2)</f>
        <v>0.11</v>
      </c>
      <c r="L217" s="48">
        <f>COUNTIF(Table1[Return (keep sorted by this column!)],"&lt;"&amp;Table1[[#This Row],[Return (keep sorted by this column!)]])</f>
        <v>218</v>
      </c>
      <c r="M217" s="76" t="str">
        <f>IF(Table1[[#This Row],[Team]]="David",Table1[[#This Row],[Return (keep sorted by this column!)]],"")</f>
        <v/>
      </c>
      <c r="N217" s="76">
        <f>IF(Table1[[#This Row],[Team]]="Tom",Table1[[#This Row],[Return (keep sorted by this column!)]],"")</f>
        <v>0.28299999999999997</v>
      </c>
      <c r="O217" s="5">
        <v>0.57699999999999996</v>
      </c>
      <c r="P217" s="68" t="str">
        <f>IF(Table1[[#This Row],[Team]]="David",Table1[[#This Row],[S&amp;P Return, same period]],"")</f>
        <v/>
      </c>
      <c r="Q217" s="68">
        <f>IF(Table1[[#This Row],[Team]]="Tom",Table1[[#This Row],[S&amp;P Return, same period]],"")</f>
        <v>0.57699999999999996</v>
      </c>
      <c r="R217" s="5">
        <v>-0.29399999999999998</v>
      </c>
      <c r="S217" s="14" t="str">
        <f>IF(Table1[[#This Row],[Team]]="David",Table1[[#This Row],[Difference Vs. S&amp;P Return]],"")</f>
        <v/>
      </c>
      <c r="T217" s="14">
        <f>IF(Table1[[#This Row],[Team]]="Tom",Table1[[#This Row],[Difference Vs. S&amp;P Return]],"")</f>
        <v>-0.29399999999999998</v>
      </c>
      <c r="U217" s="14">
        <f>ROUND((1+Table1[[#This Row],[Return (keep sorted by this column!)]])/(1+Table1[[#This Row],[S&amp;P Return, same period]])-1,1)</f>
        <v>-0.2</v>
      </c>
      <c r="V217" s="15" t="str">
        <f>IF(Table1[[#This Row],[Team]]="David",Table1[[#This Row],[Improvement Vs. S&amp;P Return]],"")</f>
        <v/>
      </c>
      <c r="W217" s="15">
        <f>IF(Table1[[#This Row],[Team]]="Tom",Table1[[#This Row],[Improvement Vs. S&amp;P Return]],"")</f>
        <v>-0.2</v>
      </c>
    </row>
    <row r="218" spans="1:23" ht="60" x14ac:dyDescent="0.2">
      <c r="A218" s="1">
        <v>40284</v>
      </c>
      <c r="B218" s="2" t="s">
        <v>467</v>
      </c>
      <c r="C218" s="2">
        <f>SUBTOTAL(103,Table1[[#This Row],[Recommendation Date]])</f>
        <v>1</v>
      </c>
      <c r="D218" s="2">
        <f>1</f>
        <v>1</v>
      </c>
      <c r="E218" s="16" t="s">
        <v>468</v>
      </c>
      <c r="F218" s="3" t="s">
        <v>58</v>
      </c>
      <c r="G218" s="3" t="s">
        <v>8</v>
      </c>
      <c r="H218" s="17"/>
      <c r="I218" s="4">
        <v>28.85</v>
      </c>
      <c r="J218" s="5">
        <v>0.28100000000000003</v>
      </c>
      <c r="K218" s="48">
        <f>ROUND(LOG10(Table1[[#This Row],[Return (keep sorted by this column!)]]+1),2)</f>
        <v>0.11</v>
      </c>
      <c r="L218" s="48">
        <f>COUNTIF(Table1[Return (keep sorted by this column!)],"&lt;"&amp;Table1[[#This Row],[Return (keep sorted by this column!)]])</f>
        <v>216</v>
      </c>
      <c r="M218" s="76" t="str">
        <f>IF(Table1[[#This Row],[Team]]="David",Table1[[#This Row],[Return (keep sorted by this column!)]],"")</f>
        <v/>
      </c>
      <c r="N218" s="76">
        <f>IF(Table1[[#This Row],[Team]]="Tom",Table1[[#This Row],[Return (keep sorted by this column!)]],"")</f>
        <v>0.28100000000000003</v>
      </c>
      <c r="O218" s="5">
        <v>0.65</v>
      </c>
      <c r="P218" s="68" t="str">
        <f>IF(Table1[[#This Row],[Team]]="David",Table1[[#This Row],[S&amp;P Return, same period]],"")</f>
        <v/>
      </c>
      <c r="Q218" s="68">
        <f>IF(Table1[[#This Row],[Team]]="Tom",Table1[[#This Row],[S&amp;P Return, same period]],"")</f>
        <v>0.65</v>
      </c>
      <c r="R218" s="5">
        <v>-0.36899999999999999</v>
      </c>
      <c r="S218" s="14" t="str">
        <f>IF(Table1[[#This Row],[Team]]="David",Table1[[#This Row],[Difference Vs. S&amp;P Return]],"")</f>
        <v/>
      </c>
      <c r="T218" s="14">
        <f>IF(Table1[[#This Row],[Team]]="Tom",Table1[[#This Row],[Difference Vs. S&amp;P Return]],"")</f>
        <v>-0.36899999999999999</v>
      </c>
      <c r="U218" s="14">
        <f>ROUND((1+Table1[[#This Row],[Return (keep sorted by this column!)]])/(1+Table1[[#This Row],[S&amp;P Return, same period]])-1,1)</f>
        <v>-0.2</v>
      </c>
      <c r="V218" s="15" t="str">
        <f>IF(Table1[[#This Row],[Team]]="David",Table1[[#This Row],[Improvement Vs. S&amp;P Return]],"")</f>
        <v/>
      </c>
      <c r="W218" s="15">
        <f>IF(Table1[[#This Row],[Team]]="Tom",Table1[[#This Row],[Improvement Vs. S&amp;P Return]],"")</f>
        <v>-0.2</v>
      </c>
    </row>
    <row r="219" spans="1:23" ht="60" x14ac:dyDescent="0.2">
      <c r="A219" s="42">
        <v>37386</v>
      </c>
      <c r="B219" s="32" t="s">
        <v>735</v>
      </c>
      <c r="C219" s="32">
        <f>SUBTOTAL(103,Table1[[#This Row],[Recommendation Date]])</f>
        <v>1</v>
      </c>
      <c r="D219" s="32">
        <f>1</f>
        <v>1</v>
      </c>
      <c r="E219" s="33" t="s">
        <v>351</v>
      </c>
      <c r="F219" s="34" t="s">
        <v>252</v>
      </c>
      <c r="G219" s="34" t="s">
        <v>8</v>
      </c>
      <c r="H219" s="38"/>
      <c r="I219" s="36">
        <v>11.98</v>
      </c>
      <c r="J219" s="37">
        <v>0.28100000000000003</v>
      </c>
      <c r="K219" s="49">
        <f>ROUND(LOG10(Table1[[#This Row],[Return (keep sorted by this column!)]]+1),2)</f>
        <v>0.11</v>
      </c>
      <c r="L219" s="49">
        <f>COUNTIF(Table1[Return (keep sorted by this column!)],"&lt;"&amp;Table1[[#This Row],[Return (keep sorted by this column!)]])</f>
        <v>216</v>
      </c>
      <c r="M219" s="14" t="str">
        <f>IF(Table1[[#This Row],[Team]]="David",Table1[[#This Row],[Return (keep sorted by this column!)]],"")</f>
        <v/>
      </c>
      <c r="N219" s="14">
        <f>IF(Table1[[#This Row],[Team]]="Tom",Table1[[#This Row],[Return (keep sorted by this column!)]],"")</f>
        <v>0.28100000000000003</v>
      </c>
      <c r="O219" s="37">
        <v>-0.106</v>
      </c>
      <c r="P219" s="23" t="str">
        <f>IF(Table1[[#This Row],[Team]]="David",Table1[[#This Row],[S&amp;P Return, same period]],"")</f>
        <v/>
      </c>
      <c r="Q219" s="23">
        <f>IF(Table1[[#This Row],[Team]]="Tom",Table1[[#This Row],[S&amp;P Return, same period]],"")</f>
        <v>-0.106</v>
      </c>
      <c r="R219" s="37">
        <v>0.38700000000000001</v>
      </c>
      <c r="S219" s="14" t="str">
        <f>IF(Table1[[#This Row],[Team]]="David",Table1[[#This Row],[Difference Vs. S&amp;P Return]],"")</f>
        <v/>
      </c>
      <c r="T219" s="14">
        <f>IF(Table1[[#This Row],[Team]]="Tom",Table1[[#This Row],[Difference Vs. S&amp;P Return]],"")</f>
        <v>0.38700000000000001</v>
      </c>
      <c r="U219" s="14">
        <f>ROUND((1+Table1[[#This Row],[Return (keep sorted by this column!)]])/(1+Table1[[#This Row],[S&amp;P Return, same period]])-1,1)</f>
        <v>0.4</v>
      </c>
      <c r="V219" s="15" t="str">
        <f>IF(Table1[[#This Row],[Team]]="David",Table1[[#This Row],[Improvement Vs. S&amp;P Return]],"")</f>
        <v/>
      </c>
      <c r="W219" s="15">
        <f>IF(Table1[[#This Row],[Team]]="Tom",Table1[[#This Row],[Improvement Vs. S&amp;P Return]],"")</f>
        <v>0.4</v>
      </c>
    </row>
    <row r="220" spans="1:23" ht="60" x14ac:dyDescent="0.2">
      <c r="A220" s="1">
        <v>39066</v>
      </c>
      <c r="B220" s="2" t="s">
        <v>599</v>
      </c>
      <c r="C220" s="2">
        <f>SUBTOTAL(103,Table1[[#This Row],[Recommendation Date]])</f>
        <v>1</v>
      </c>
      <c r="D220" s="2">
        <f>1</f>
        <v>1</v>
      </c>
      <c r="E220" s="16" t="s">
        <v>600</v>
      </c>
      <c r="F220" s="3" t="s">
        <v>252</v>
      </c>
      <c r="G220" s="3" t="s">
        <v>8</v>
      </c>
      <c r="H220" s="17"/>
      <c r="I220" s="4">
        <v>51.55</v>
      </c>
      <c r="J220" s="5">
        <v>0.27900000000000003</v>
      </c>
      <c r="K220" s="48">
        <f>ROUND(LOG10(Table1[[#This Row],[Return (keep sorted by this column!)]]+1),2)</f>
        <v>0.11</v>
      </c>
      <c r="L220" s="48">
        <f>COUNTIF(Table1[Return (keep sorted by this column!)],"&lt;"&amp;Table1[[#This Row],[Return (keep sorted by this column!)]])</f>
        <v>215</v>
      </c>
      <c r="M220" s="14" t="str">
        <f>IF(Table1[[#This Row],[Team]]="David",Table1[[#This Row],[Return (keep sorted by this column!)]],"")</f>
        <v/>
      </c>
      <c r="N220" s="14">
        <f>IF(Table1[[#This Row],[Team]]="Tom",Table1[[#This Row],[Return (keep sorted by this column!)]],"")</f>
        <v>0.27900000000000003</v>
      </c>
      <c r="O220" s="5">
        <v>-8.6999999999999994E-2</v>
      </c>
      <c r="P220" s="23" t="str">
        <f>IF(Table1[[#This Row],[Team]]="David",Table1[[#This Row],[S&amp;P Return, same period]],"")</f>
        <v/>
      </c>
      <c r="Q220" s="23">
        <f>IF(Table1[[#This Row],[Team]]="Tom",Table1[[#This Row],[S&amp;P Return, same period]],"")</f>
        <v>-8.6999999999999994E-2</v>
      </c>
      <c r="R220" s="5">
        <v>0.36499999999999999</v>
      </c>
      <c r="S220" s="14" t="str">
        <f>IF(Table1[[#This Row],[Team]]="David",Table1[[#This Row],[Difference Vs. S&amp;P Return]],"")</f>
        <v/>
      </c>
      <c r="T220" s="14">
        <f>IF(Table1[[#This Row],[Team]]="Tom",Table1[[#This Row],[Difference Vs. S&amp;P Return]],"")</f>
        <v>0.36499999999999999</v>
      </c>
      <c r="U220" s="14">
        <f>ROUND((1+Table1[[#This Row],[Return (keep sorted by this column!)]])/(1+Table1[[#This Row],[S&amp;P Return, same period]])-1,1)</f>
        <v>0.4</v>
      </c>
      <c r="V220" s="15" t="str">
        <f>IF(Table1[[#This Row],[Team]]="David",Table1[[#This Row],[Improvement Vs. S&amp;P Return]],"")</f>
        <v/>
      </c>
      <c r="W220" s="15">
        <f>IF(Table1[[#This Row],[Team]]="Tom",Table1[[#This Row],[Improvement Vs. S&amp;P Return]],"")</f>
        <v>0.4</v>
      </c>
    </row>
    <row r="221" spans="1:23" ht="60" x14ac:dyDescent="0.2">
      <c r="A221" s="1">
        <v>38219</v>
      </c>
      <c r="B221" s="2" t="s">
        <v>671</v>
      </c>
      <c r="C221" s="2">
        <f>SUBTOTAL(103,Table1[[#This Row],[Recommendation Date]])</f>
        <v>1</v>
      </c>
      <c r="D221" s="2">
        <f>1</f>
        <v>1</v>
      </c>
      <c r="E221" s="16" t="s">
        <v>665</v>
      </c>
      <c r="F221" s="3" t="s">
        <v>66</v>
      </c>
      <c r="G221" s="3" t="s">
        <v>8</v>
      </c>
      <c r="H221" s="17"/>
      <c r="I221" s="4">
        <v>34.159999999999997</v>
      </c>
      <c r="J221" s="5">
        <v>0.27800000000000002</v>
      </c>
      <c r="K221" s="48">
        <f>ROUND(LOG10(Table1[[#This Row],[Return (keep sorted by this column!)]]+1),2)</f>
        <v>0.11</v>
      </c>
      <c r="L221" s="48">
        <f>COUNTIF(Table1[Return (keep sorted by this column!)],"&lt;"&amp;Table1[[#This Row],[Return (keep sorted by this column!)]])</f>
        <v>214</v>
      </c>
      <c r="M221" s="14" t="str">
        <f>IF(Table1[[#This Row],[Team]]="David",Table1[[#This Row],[Return (keep sorted by this column!)]],"")</f>
        <v/>
      </c>
      <c r="N221" s="14">
        <f>IF(Table1[[#This Row],[Team]]="Tom",Table1[[#This Row],[Return (keep sorted by this column!)]],"")</f>
        <v>0.27800000000000002</v>
      </c>
      <c r="O221" s="5">
        <v>0.92300000000000004</v>
      </c>
      <c r="P221" s="23" t="str">
        <f>IF(Table1[[#This Row],[Team]]="David",Table1[[#This Row],[S&amp;P Return, same period]],"")</f>
        <v/>
      </c>
      <c r="Q221" s="23">
        <f>IF(Table1[[#This Row],[Team]]="Tom",Table1[[#This Row],[S&amp;P Return, same period]],"")</f>
        <v>0.92300000000000004</v>
      </c>
      <c r="R221" s="5">
        <v>-0.64500000000000002</v>
      </c>
      <c r="S221" s="14" t="str">
        <f>IF(Table1[[#This Row],[Team]]="David",Table1[[#This Row],[Difference Vs. S&amp;P Return]],"")</f>
        <v/>
      </c>
      <c r="T221" s="14">
        <f>IF(Table1[[#This Row],[Team]]="Tom",Table1[[#This Row],[Difference Vs. S&amp;P Return]],"")</f>
        <v>-0.64500000000000002</v>
      </c>
      <c r="U221" s="14">
        <f>ROUND((1+Table1[[#This Row],[Return (keep sorted by this column!)]])/(1+Table1[[#This Row],[S&amp;P Return, same period]])-1,1)</f>
        <v>-0.3</v>
      </c>
      <c r="V221" s="15" t="str">
        <f>IF(Table1[[#This Row],[Team]]="David",Table1[[#This Row],[Improvement Vs. S&amp;P Return]],"")</f>
        <v/>
      </c>
      <c r="W221" s="15">
        <f>IF(Table1[[#This Row],[Team]]="Tom",Table1[[#This Row],[Improvement Vs. S&amp;P Return]],"")</f>
        <v>-0.3</v>
      </c>
    </row>
    <row r="222" spans="1:23" ht="17" x14ac:dyDescent="0.2">
      <c r="A222" s="18">
        <v>43503</v>
      </c>
      <c r="B222" s="2" t="s">
        <v>75</v>
      </c>
      <c r="C222" s="2">
        <f>SUBTOTAL(103,Table1[[#This Row],[Recommendation Date]])</f>
        <v>1</v>
      </c>
      <c r="D222" s="2">
        <f>1</f>
        <v>1</v>
      </c>
      <c r="E222" s="16" t="s">
        <v>76</v>
      </c>
      <c r="F222" s="3" t="s">
        <v>66</v>
      </c>
      <c r="G222" s="3" t="s">
        <v>8</v>
      </c>
      <c r="H222" s="17"/>
      <c r="I222" s="4">
        <v>34.19</v>
      </c>
      <c r="J222" s="5">
        <v>0.26800000000000002</v>
      </c>
      <c r="K222" s="48">
        <f>ROUND(LOG10(Table1[[#This Row],[Return (keep sorted by this column!)]]+1),2)</f>
        <v>0.1</v>
      </c>
      <c r="L222" s="48">
        <f>COUNTIF(Table1[Return (keep sorted by this column!)],"&lt;"&amp;Table1[[#This Row],[Return (keep sorted by this column!)]])</f>
        <v>213</v>
      </c>
      <c r="M222" s="76" t="str">
        <f>IF(Table1[[#This Row],[Team]]="David",Table1[[#This Row],[Return (keep sorted by this column!)]],"")</f>
        <v/>
      </c>
      <c r="N222" s="76">
        <f>IF(Table1[[#This Row],[Team]]="Tom",Table1[[#This Row],[Return (keep sorted by this column!)]],"")</f>
        <v>0.26800000000000002</v>
      </c>
      <c r="O222" s="5">
        <v>3.7999999999999999E-2</v>
      </c>
      <c r="P222" s="68" t="str">
        <f>IF(Table1[[#This Row],[Team]]="David",Table1[[#This Row],[S&amp;P Return, same period]],"")</f>
        <v/>
      </c>
      <c r="Q222" s="68">
        <f>IF(Table1[[#This Row],[Team]]="Tom",Table1[[#This Row],[S&amp;P Return, same period]],"")</f>
        <v>3.7999999999999999E-2</v>
      </c>
      <c r="R222" s="5">
        <v>0.23</v>
      </c>
      <c r="S222" s="14" t="str">
        <f>IF(Table1[[#This Row],[Team]]="David",Table1[[#This Row],[Difference Vs. S&amp;P Return]],"")</f>
        <v/>
      </c>
      <c r="T222" s="14">
        <f>IF(Table1[[#This Row],[Team]]="Tom",Table1[[#This Row],[Difference Vs. S&amp;P Return]],"")</f>
        <v>0.23</v>
      </c>
      <c r="U222" s="14">
        <f>ROUND((1+Table1[[#This Row],[Return (keep sorted by this column!)]])/(1+Table1[[#This Row],[S&amp;P Return, same period]])-1,1)</f>
        <v>0.2</v>
      </c>
      <c r="V222" s="15" t="str">
        <f>IF(Table1[[#This Row],[Team]]="David",Table1[[#This Row],[Improvement Vs. S&amp;P Return]],"")</f>
        <v/>
      </c>
      <c r="W222" s="15">
        <f>IF(Table1[[#This Row],[Team]]="Tom",Table1[[#This Row],[Improvement Vs. S&amp;P Return]],"")</f>
        <v>0.2</v>
      </c>
    </row>
    <row r="223" spans="1:23" ht="45" x14ac:dyDescent="0.2">
      <c r="A223" s="18">
        <v>43649</v>
      </c>
      <c r="B223" s="2" t="s">
        <v>37</v>
      </c>
      <c r="C223" s="2">
        <f>SUBTOTAL(103,Table1[[#This Row],[Recommendation Date]])</f>
        <v>1</v>
      </c>
      <c r="D223" s="2">
        <f>1</f>
        <v>1</v>
      </c>
      <c r="E223" s="16" t="s">
        <v>38</v>
      </c>
      <c r="F223" s="3" t="s">
        <v>18</v>
      </c>
      <c r="G223" s="3" t="s">
        <v>8</v>
      </c>
      <c r="H223" s="17"/>
      <c r="I223" s="4">
        <v>90.45</v>
      </c>
      <c r="J223" s="5">
        <v>0.25800000000000001</v>
      </c>
      <c r="K223" s="48">
        <f>ROUND(LOG10(Table1[[#This Row],[Return (keep sorted by this column!)]]+1),2)</f>
        <v>0.1</v>
      </c>
      <c r="L223" s="48">
        <f>COUNTIF(Table1[Return (keep sorted by this column!)],"&lt;"&amp;Table1[[#This Row],[Return (keep sorted by this column!)]])</f>
        <v>211</v>
      </c>
      <c r="M223" s="76" t="str">
        <f>IF(Table1[[#This Row],[Team]]="David",Table1[[#This Row],[Return (keep sorted by this column!)]],"")</f>
        <v/>
      </c>
      <c r="N223" s="76">
        <f>IF(Table1[[#This Row],[Team]]="Tom",Table1[[#This Row],[Return (keep sorted by this column!)]],"")</f>
        <v>0.25800000000000001</v>
      </c>
      <c r="O223" s="5">
        <v>-7.0999999999999994E-2</v>
      </c>
      <c r="P223" s="68" t="str">
        <f>IF(Table1[[#This Row],[Team]]="David",Table1[[#This Row],[S&amp;P Return, same period]],"")</f>
        <v/>
      </c>
      <c r="Q223" s="68">
        <f>IF(Table1[[#This Row],[Team]]="Tom",Table1[[#This Row],[S&amp;P Return, same period]],"")</f>
        <v>-7.0999999999999994E-2</v>
      </c>
      <c r="R223" s="5">
        <v>0.32800000000000001</v>
      </c>
      <c r="S223" s="14" t="str">
        <f>IF(Table1[[#This Row],[Team]]="David",Table1[[#This Row],[Difference Vs. S&amp;P Return]],"")</f>
        <v/>
      </c>
      <c r="T223" s="14">
        <f>IF(Table1[[#This Row],[Team]]="Tom",Table1[[#This Row],[Difference Vs. S&amp;P Return]],"")</f>
        <v>0.32800000000000001</v>
      </c>
      <c r="U223" s="14">
        <f>ROUND((1+Table1[[#This Row],[Return (keep sorted by this column!)]])/(1+Table1[[#This Row],[S&amp;P Return, same period]])-1,1)</f>
        <v>0.4</v>
      </c>
      <c r="V223" s="15" t="str">
        <f>IF(Table1[[#This Row],[Team]]="David",Table1[[#This Row],[Improvement Vs. S&amp;P Return]],"")</f>
        <v/>
      </c>
      <c r="W223" s="15">
        <f>IF(Table1[[#This Row],[Team]]="Tom",Table1[[#This Row],[Improvement Vs. S&amp;P Return]],"")</f>
        <v>0.4</v>
      </c>
    </row>
    <row r="224" spans="1:23" ht="45" x14ac:dyDescent="0.2">
      <c r="A224" s="1">
        <v>41019</v>
      </c>
      <c r="B224" s="2" t="s">
        <v>385</v>
      </c>
      <c r="C224" s="2">
        <f>SUBTOTAL(103,Table1[[#This Row],[Recommendation Date]])</f>
        <v>1</v>
      </c>
      <c r="D224" s="2">
        <f>1</f>
        <v>1</v>
      </c>
      <c r="E224" s="16" t="s">
        <v>386</v>
      </c>
      <c r="F224" s="3" t="s">
        <v>15</v>
      </c>
      <c r="G224" s="3" t="s">
        <v>12</v>
      </c>
      <c r="H224" s="16">
        <v>20</v>
      </c>
      <c r="I224" s="4">
        <v>23.2</v>
      </c>
      <c r="J224" s="5">
        <v>0.25800000000000001</v>
      </c>
      <c r="K224" s="48">
        <f>ROUND(LOG10(Table1[[#This Row],[Return (keep sorted by this column!)]]+1),2)</f>
        <v>0.1</v>
      </c>
      <c r="L224" s="48">
        <f>COUNTIF(Table1[Return (keep sorted by this column!)],"&lt;"&amp;Table1[[#This Row],[Return (keep sorted by this column!)]])</f>
        <v>211</v>
      </c>
      <c r="M224" s="76">
        <f>IF(Table1[[#This Row],[Team]]="David",Table1[[#This Row],[Return (keep sorted by this column!)]],"")</f>
        <v>0.25800000000000001</v>
      </c>
      <c r="N224" s="76" t="str">
        <f>IF(Table1[[#This Row],[Team]]="Tom",Table1[[#This Row],[Return (keep sorted by this column!)]],"")</f>
        <v/>
      </c>
      <c r="O224" s="5">
        <v>1.272</v>
      </c>
      <c r="P224" s="68">
        <f>IF(Table1[[#This Row],[Team]]="David",Table1[[#This Row],[S&amp;P Return, same period]],"")</f>
        <v>1.272</v>
      </c>
      <c r="Q224" s="68" t="str">
        <f>IF(Table1[[#This Row],[Team]]="Tom",Table1[[#This Row],[S&amp;P Return, same period]],"")</f>
        <v/>
      </c>
      <c r="R224" s="5">
        <v>-1.014</v>
      </c>
      <c r="S224" s="14">
        <f>IF(Table1[[#This Row],[Team]]="David",Table1[[#This Row],[Difference Vs. S&amp;P Return]],"")</f>
        <v>-1.014</v>
      </c>
      <c r="T224" s="14" t="str">
        <f>IF(Table1[[#This Row],[Team]]="Tom",Table1[[#This Row],[Difference Vs. S&amp;P Return]],"")</f>
        <v/>
      </c>
      <c r="U224" s="14">
        <f>ROUND((1+Table1[[#This Row],[Return (keep sorted by this column!)]])/(1+Table1[[#This Row],[S&amp;P Return, same period]])-1,1)</f>
        <v>-0.4</v>
      </c>
      <c r="V224" s="15">
        <f>IF(Table1[[#This Row],[Team]]="David",Table1[[#This Row],[Improvement Vs. S&amp;P Return]],"")</f>
        <v>-0.4</v>
      </c>
      <c r="W224" s="15" t="str">
        <f>IF(Table1[[#This Row],[Team]]="Tom",Table1[[#This Row],[Improvement Vs. S&amp;P Return]],"")</f>
        <v/>
      </c>
    </row>
    <row r="225" spans="1:23" ht="60" x14ac:dyDescent="0.2">
      <c r="A225" s="1">
        <v>40466</v>
      </c>
      <c r="B225" s="2" t="s">
        <v>444</v>
      </c>
      <c r="C225" s="2">
        <f>SUBTOTAL(103,Table1[[#This Row],[Recommendation Date]])</f>
        <v>1</v>
      </c>
      <c r="D225" s="2">
        <f>1</f>
        <v>1</v>
      </c>
      <c r="E225" s="16" t="s">
        <v>445</v>
      </c>
      <c r="F225" s="3" t="s">
        <v>446</v>
      </c>
      <c r="G225" s="3" t="s">
        <v>12</v>
      </c>
      <c r="H225" s="17"/>
      <c r="I225" s="4">
        <v>12.79</v>
      </c>
      <c r="J225" s="5">
        <v>0.25600000000000001</v>
      </c>
      <c r="K225" s="48">
        <f>ROUND(LOG10(Table1[[#This Row],[Return (keep sorted by this column!)]]+1),2)</f>
        <v>0.1</v>
      </c>
      <c r="L225" s="48">
        <f>COUNTIF(Table1[Return (keep sorted by this column!)],"&lt;"&amp;Table1[[#This Row],[Return (keep sorted by this column!)]])</f>
        <v>210</v>
      </c>
      <c r="M225" s="76">
        <f>IF(Table1[[#This Row],[Team]]="David",Table1[[#This Row],[Return (keep sorted by this column!)]],"")</f>
        <v>0.25600000000000001</v>
      </c>
      <c r="N225" s="76" t="str">
        <f>IF(Table1[[#This Row],[Team]]="Tom",Table1[[#This Row],[Return (keep sorted by this column!)]],"")</f>
        <v/>
      </c>
      <c r="O225" s="5">
        <v>0.58199999999999996</v>
      </c>
      <c r="P225" s="68">
        <f>IF(Table1[[#This Row],[Team]]="David",Table1[[#This Row],[S&amp;P Return, same period]],"")</f>
        <v>0.58199999999999996</v>
      </c>
      <c r="Q225" s="68" t="str">
        <f>IF(Table1[[#This Row],[Team]]="Tom",Table1[[#This Row],[S&amp;P Return, same period]],"")</f>
        <v/>
      </c>
      <c r="R225" s="5">
        <v>-0.32600000000000001</v>
      </c>
      <c r="S225" s="14">
        <f>IF(Table1[[#This Row],[Team]]="David",Table1[[#This Row],[Difference Vs. S&amp;P Return]],"")</f>
        <v>-0.32600000000000001</v>
      </c>
      <c r="T225" s="14" t="str">
        <f>IF(Table1[[#This Row],[Team]]="Tom",Table1[[#This Row],[Difference Vs. S&amp;P Return]],"")</f>
        <v/>
      </c>
      <c r="U225" s="14">
        <f>ROUND((1+Table1[[#This Row],[Return (keep sorted by this column!)]])/(1+Table1[[#This Row],[S&amp;P Return, same period]])-1,1)</f>
        <v>-0.2</v>
      </c>
      <c r="V225" s="15">
        <f>IF(Table1[[#This Row],[Team]]="David",Table1[[#This Row],[Improvement Vs. S&amp;P Return]],"")</f>
        <v>-0.2</v>
      </c>
      <c r="W225" s="15" t="str">
        <f>IF(Table1[[#This Row],[Team]]="Tom",Table1[[#This Row],[Improvement Vs. S&amp;P Return]],"")</f>
        <v/>
      </c>
    </row>
    <row r="226" spans="1:23" ht="60" x14ac:dyDescent="0.2">
      <c r="A226" s="1">
        <v>37414</v>
      </c>
      <c r="B226" s="2" t="s">
        <v>735</v>
      </c>
      <c r="C226" s="2">
        <f>SUBTOTAL(103,Table1[[#This Row],[Recommendation Date]])</f>
        <v>1</v>
      </c>
      <c r="D226" s="2">
        <f>1</f>
        <v>1</v>
      </c>
      <c r="E226" s="16" t="s">
        <v>351</v>
      </c>
      <c r="F226" s="3" t="s">
        <v>252</v>
      </c>
      <c r="G226" s="3" t="s">
        <v>8</v>
      </c>
      <c r="H226" s="17"/>
      <c r="I226" s="4">
        <v>12.23</v>
      </c>
      <c r="J226" s="5">
        <v>0.254</v>
      </c>
      <c r="K226" s="48">
        <f>ROUND(LOG10(Table1[[#This Row],[Return (keep sorted by this column!)]]+1),2)</f>
        <v>0.1</v>
      </c>
      <c r="L226" s="48">
        <f>COUNTIF(Table1[Return (keep sorted by this column!)],"&lt;"&amp;Table1[[#This Row],[Return (keep sorted by this column!)]])</f>
        <v>209</v>
      </c>
      <c r="M226" s="14" t="str">
        <f>IF(Table1[[#This Row],[Team]]="David",Table1[[#This Row],[Return (keep sorted by this column!)]],"")</f>
        <v/>
      </c>
      <c r="N226" s="14">
        <f>IF(Table1[[#This Row],[Team]]="Tom",Table1[[#This Row],[Return (keep sorted by this column!)]],"")</f>
        <v>0.254</v>
      </c>
      <c r="O226" s="5">
        <v>-8.4000000000000005E-2</v>
      </c>
      <c r="P226" s="23" t="str">
        <f>IF(Table1[[#This Row],[Team]]="David",Table1[[#This Row],[S&amp;P Return, same period]],"")</f>
        <v/>
      </c>
      <c r="Q226" s="23">
        <f>IF(Table1[[#This Row],[Team]]="Tom",Table1[[#This Row],[S&amp;P Return, same period]],"")</f>
        <v>-8.4000000000000005E-2</v>
      </c>
      <c r="R226" s="5">
        <v>0.33800000000000002</v>
      </c>
      <c r="S226" s="14" t="str">
        <f>IF(Table1[[#This Row],[Team]]="David",Table1[[#This Row],[Difference Vs. S&amp;P Return]],"")</f>
        <v/>
      </c>
      <c r="T226" s="14">
        <f>IF(Table1[[#This Row],[Team]]="Tom",Table1[[#This Row],[Difference Vs. S&amp;P Return]],"")</f>
        <v>0.33800000000000002</v>
      </c>
      <c r="U226" s="14">
        <f>ROUND((1+Table1[[#This Row],[Return (keep sorted by this column!)]])/(1+Table1[[#This Row],[S&amp;P Return, same period]])-1,1)</f>
        <v>0.4</v>
      </c>
      <c r="V226" s="15" t="str">
        <f>IF(Table1[[#This Row],[Team]]="David",Table1[[#This Row],[Improvement Vs. S&amp;P Return]],"")</f>
        <v/>
      </c>
      <c r="W226" s="15">
        <f>IF(Table1[[#This Row],[Team]]="Tom",Table1[[#This Row],[Improvement Vs. S&amp;P Return]],"")</f>
        <v>0.4</v>
      </c>
    </row>
    <row r="227" spans="1:23" ht="17" x14ac:dyDescent="0.2">
      <c r="A227" s="18">
        <v>43258</v>
      </c>
      <c r="B227" s="2" t="s">
        <v>62</v>
      </c>
      <c r="C227" s="2">
        <f>SUBTOTAL(103,Table1[[#This Row],[Recommendation Date]])</f>
        <v>1</v>
      </c>
      <c r="D227" s="2">
        <f>1</f>
        <v>1</v>
      </c>
      <c r="E227" s="16" t="s">
        <v>63</v>
      </c>
      <c r="F227" s="3" t="s">
        <v>27</v>
      </c>
      <c r="G227" s="3" t="s">
        <v>8</v>
      </c>
      <c r="H227" s="17"/>
      <c r="I227" s="4">
        <v>92.9</v>
      </c>
      <c r="J227" s="5">
        <v>0.25</v>
      </c>
      <c r="K227" s="48">
        <f>ROUND(LOG10(Table1[[#This Row],[Return (keep sorted by this column!)]]+1),2)</f>
        <v>0.1</v>
      </c>
      <c r="L227" s="48">
        <f>COUNTIF(Table1[Return (keep sorted by this column!)],"&lt;"&amp;Table1[[#This Row],[Return (keep sorted by this column!)]])</f>
        <v>207</v>
      </c>
      <c r="M227" s="76" t="str">
        <f>IF(Table1[[#This Row],[Team]]="David",Table1[[#This Row],[Return (keep sorted by this column!)]],"")</f>
        <v/>
      </c>
      <c r="N227" s="76">
        <f>IF(Table1[[#This Row],[Team]]="Tom",Table1[[#This Row],[Return (keep sorted by this column!)]],"")</f>
        <v>0.25</v>
      </c>
      <c r="O227" s="5">
        <v>2.5999999999999999E-2</v>
      </c>
      <c r="P227" s="68" t="str">
        <f>IF(Table1[[#This Row],[Team]]="David",Table1[[#This Row],[S&amp;P Return, same period]],"")</f>
        <v/>
      </c>
      <c r="Q227" s="68">
        <f>IF(Table1[[#This Row],[Team]]="Tom",Table1[[#This Row],[S&amp;P Return, same period]],"")</f>
        <v>2.5999999999999999E-2</v>
      </c>
      <c r="R227" s="5">
        <v>0.223</v>
      </c>
      <c r="S227" s="14" t="str">
        <f>IF(Table1[[#This Row],[Team]]="David",Table1[[#This Row],[Difference Vs. S&amp;P Return]],"")</f>
        <v/>
      </c>
      <c r="T227" s="14">
        <f>IF(Table1[[#This Row],[Team]]="Tom",Table1[[#This Row],[Difference Vs. S&amp;P Return]],"")</f>
        <v>0.223</v>
      </c>
      <c r="U227" s="14">
        <f>ROUND((1+Table1[[#This Row],[Return (keep sorted by this column!)]])/(1+Table1[[#This Row],[S&amp;P Return, same period]])-1,1)</f>
        <v>0.2</v>
      </c>
      <c r="V227" s="15" t="str">
        <f>IF(Table1[[#This Row],[Team]]="David",Table1[[#This Row],[Improvement Vs. S&amp;P Return]],"")</f>
        <v/>
      </c>
      <c r="W227" s="15">
        <f>IF(Table1[[#This Row],[Team]]="Tom",Table1[[#This Row],[Improvement Vs. S&amp;P Return]],"")</f>
        <v>0.2</v>
      </c>
    </row>
    <row r="228" spans="1:23" ht="45" x14ac:dyDescent="0.2">
      <c r="A228" s="1">
        <v>38492</v>
      </c>
      <c r="B228" s="2" t="s">
        <v>655</v>
      </c>
      <c r="C228" s="2">
        <f>SUBTOTAL(103,Table1[[#This Row],[Recommendation Date]])</f>
        <v>1</v>
      </c>
      <c r="D228" s="2">
        <f>1</f>
        <v>1</v>
      </c>
      <c r="E228" s="16" t="s">
        <v>656</v>
      </c>
      <c r="F228" s="3" t="s">
        <v>252</v>
      </c>
      <c r="G228" s="3" t="s">
        <v>12</v>
      </c>
      <c r="H228" s="17"/>
      <c r="I228" s="4">
        <v>29.99</v>
      </c>
      <c r="J228" s="5">
        <v>0.25</v>
      </c>
      <c r="K228" s="48">
        <f>ROUND(LOG10(Table1[[#This Row],[Return (keep sorted by this column!)]]+1),2)</f>
        <v>0.1</v>
      </c>
      <c r="L228" s="48">
        <f>COUNTIF(Table1[Return (keep sorted by this column!)],"&lt;"&amp;Table1[[#This Row],[Return (keep sorted by this column!)]])</f>
        <v>207</v>
      </c>
      <c r="M228" s="14">
        <f>IF(Table1[[#This Row],[Team]]="David",Table1[[#This Row],[Return (keep sorted by this column!)]],"")</f>
        <v>0.25</v>
      </c>
      <c r="N228" s="14" t="str">
        <f>IF(Table1[[#This Row],[Team]]="Tom",Table1[[#This Row],[Return (keep sorted by this column!)]],"")</f>
        <v/>
      </c>
      <c r="O228" s="5">
        <v>3.3000000000000002E-2</v>
      </c>
      <c r="P228" s="23">
        <f>IF(Table1[[#This Row],[Team]]="David",Table1[[#This Row],[S&amp;P Return, same period]],"")</f>
        <v>3.3000000000000002E-2</v>
      </c>
      <c r="Q228" s="23" t="str">
        <f>IF(Table1[[#This Row],[Team]]="Tom",Table1[[#This Row],[S&amp;P Return, same period]],"")</f>
        <v/>
      </c>
      <c r="R228" s="5">
        <v>0.216</v>
      </c>
      <c r="S228" s="14">
        <f>IF(Table1[[#This Row],[Team]]="David",Table1[[#This Row],[Difference Vs. S&amp;P Return]],"")</f>
        <v>0.216</v>
      </c>
      <c r="T228" s="14" t="str">
        <f>IF(Table1[[#This Row],[Team]]="Tom",Table1[[#This Row],[Difference Vs. S&amp;P Return]],"")</f>
        <v/>
      </c>
      <c r="U228" s="14">
        <f>ROUND((1+Table1[[#This Row],[Return (keep sorted by this column!)]])/(1+Table1[[#This Row],[S&amp;P Return, same period]])-1,1)</f>
        <v>0.2</v>
      </c>
      <c r="V228" s="15">
        <f>IF(Table1[[#This Row],[Team]]="David",Table1[[#This Row],[Improvement Vs. S&amp;P Return]],"")</f>
        <v>0.2</v>
      </c>
      <c r="W228" s="15" t="str">
        <f>IF(Table1[[#This Row],[Team]]="Tom",Table1[[#This Row],[Improvement Vs. S&amp;P Return]],"")</f>
        <v/>
      </c>
    </row>
    <row r="229" spans="1:23" ht="30" x14ac:dyDescent="0.2">
      <c r="A229" s="18">
        <v>43727</v>
      </c>
      <c r="B229" s="2" t="s">
        <v>39</v>
      </c>
      <c r="C229" s="2">
        <f>SUBTOTAL(103,Table1[[#This Row],[Recommendation Date]])</f>
        <v>1</v>
      </c>
      <c r="D229" s="2">
        <f>1</f>
        <v>1</v>
      </c>
      <c r="E229" s="16" t="s">
        <v>40</v>
      </c>
      <c r="F229" s="3" t="s">
        <v>41</v>
      </c>
      <c r="G229" s="3" t="s">
        <v>12</v>
      </c>
      <c r="H229" s="16">
        <v>11</v>
      </c>
      <c r="I229" s="4">
        <v>89.42</v>
      </c>
      <c r="J229" s="5">
        <v>0.249</v>
      </c>
      <c r="K229" s="48">
        <f>ROUND(LOG10(Table1[[#This Row],[Return (keep sorted by this column!)]]+1),2)</f>
        <v>0.1</v>
      </c>
      <c r="L229" s="48">
        <f>COUNTIF(Table1[Return (keep sorted by this column!)],"&lt;"&amp;Table1[[#This Row],[Return (keep sorted by this column!)]])</f>
        <v>206</v>
      </c>
      <c r="M229" s="76">
        <f>IF(Table1[[#This Row],[Team]]="David",Table1[[#This Row],[Return (keep sorted by this column!)]],"")</f>
        <v>0.249</v>
      </c>
      <c r="N229" s="76" t="str">
        <f>IF(Table1[[#This Row],[Team]]="Tom",Table1[[#This Row],[Return (keep sorted by this column!)]],"")</f>
        <v/>
      </c>
      <c r="O229" s="5">
        <v>-7.8E-2</v>
      </c>
      <c r="P229" s="68">
        <f>IF(Table1[[#This Row],[Team]]="David",Table1[[#This Row],[S&amp;P Return, same period]],"")</f>
        <v>-7.8E-2</v>
      </c>
      <c r="Q229" s="68" t="str">
        <f>IF(Table1[[#This Row],[Team]]="Tom",Table1[[#This Row],[S&amp;P Return, same period]],"")</f>
        <v/>
      </c>
      <c r="R229" s="5">
        <v>0.32700000000000001</v>
      </c>
      <c r="S229" s="14">
        <f>IF(Table1[[#This Row],[Team]]="David",Table1[[#This Row],[Difference Vs. S&amp;P Return]],"")</f>
        <v>0.32700000000000001</v>
      </c>
      <c r="T229" s="14" t="str">
        <f>IF(Table1[[#This Row],[Team]]="Tom",Table1[[#This Row],[Difference Vs. S&amp;P Return]],"")</f>
        <v/>
      </c>
      <c r="U229" s="14">
        <f>ROUND((1+Table1[[#This Row],[Return (keep sorted by this column!)]])/(1+Table1[[#This Row],[S&amp;P Return, same period]])-1,1)</f>
        <v>0.4</v>
      </c>
      <c r="V229" s="15">
        <f>IF(Table1[[#This Row],[Team]]="David",Table1[[#This Row],[Improvement Vs. S&amp;P Return]],"")</f>
        <v>0.4</v>
      </c>
      <c r="W229" s="15" t="str">
        <f>IF(Table1[[#This Row],[Team]]="Tom",Table1[[#This Row],[Improvement Vs. S&amp;P Return]],"")</f>
        <v/>
      </c>
    </row>
    <row r="230" spans="1:23" ht="30" x14ac:dyDescent="0.2">
      <c r="A230" s="18">
        <v>42356</v>
      </c>
      <c r="B230" s="2" t="s">
        <v>230</v>
      </c>
      <c r="C230" s="2">
        <f>SUBTOTAL(103,Table1[[#This Row],[Recommendation Date]])</f>
        <v>1</v>
      </c>
      <c r="D230" s="2">
        <f>1</f>
        <v>1</v>
      </c>
      <c r="E230" s="16" t="s">
        <v>231</v>
      </c>
      <c r="F230" s="3" t="s">
        <v>232</v>
      </c>
      <c r="G230" s="3" t="s">
        <v>8</v>
      </c>
      <c r="H230" s="17"/>
      <c r="I230" s="4">
        <v>12.97</v>
      </c>
      <c r="J230" s="5">
        <v>0.24199999999999999</v>
      </c>
      <c r="K230" s="48">
        <f>ROUND(LOG10(Table1[[#This Row],[Return (keep sorted by this column!)]]+1),2)</f>
        <v>0.09</v>
      </c>
      <c r="L230" s="48">
        <f>COUNTIF(Table1[Return (keep sorted by this column!)],"&lt;"&amp;Table1[[#This Row],[Return (keep sorted by this column!)]])</f>
        <v>205</v>
      </c>
      <c r="M230" s="76" t="str">
        <f>IF(Table1[[#This Row],[Team]]="David",Table1[[#This Row],[Return (keep sorted by this column!)]],"")</f>
        <v/>
      </c>
      <c r="N230" s="76">
        <f>IF(Table1[[#This Row],[Team]]="Tom",Table1[[#This Row],[Return (keep sorted by this column!)]],"")</f>
        <v>0.24199999999999999</v>
      </c>
      <c r="O230" s="5">
        <v>0.49199999999999999</v>
      </c>
      <c r="P230" s="68" t="str">
        <f>IF(Table1[[#This Row],[Team]]="David",Table1[[#This Row],[S&amp;P Return, same period]],"")</f>
        <v/>
      </c>
      <c r="Q230" s="68">
        <f>IF(Table1[[#This Row],[Team]]="Tom",Table1[[#This Row],[S&amp;P Return, same period]],"")</f>
        <v>0.49199999999999999</v>
      </c>
      <c r="R230" s="5">
        <v>-0.25</v>
      </c>
      <c r="S230" s="14" t="str">
        <f>IF(Table1[[#This Row],[Team]]="David",Table1[[#This Row],[Difference Vs. S&amp;P Return]],"")</f>
        <v/>
      </c>
      <c r="T230" s="14">
        <f>IF(Table1[[#This Row],[Team]]="Tom",Table1[[#This Row],[Difference Vs. S&amp;P Return]],"")</f>
        <v>-0.25</v>
      </c>
      <c r="U230" s="14">
        <f>ROUND((1+Table1[[#This Row],[Return (keep sorted by this column!)]])/(1+Table1[[#This Row],[S&amp;P Return, same period]])-1,1)</f>
        <v>-0.2</v>
      </c>
      <c r="V230" s="15" t="str">
        <f>IF(Table1[[#This Row],[Team]]="David",Table1[[#This Row],[Improvement Vs. S&amp;P Return]],"")</f>
        <v/>
      </c>
      <c r="W230" s="15">
        <f>IF(Table1[[#This Row],[Team]]="Tom",Table1[[#This Row],[Improvement Vs. S&amp;P Return]],"")</f>
        <v>-0.2</v>
      </c>
    </row>
    <row r="231" spans="1:23" ht="17" x14ac:dyDescent="0.2">
      <c r="A231" s="18">
        <v>42692</v>
      </c>
      <c r="B231" s="2" t="s">
        <v>117</v>
      </c>
      <c r="C231" s="2">
        <f>SUBTOTAL(103,Table1[[#This Row],[Recommendation Date]])</f>
        <v>1</v>
      </c>
      <c r="D231" s="2">
        <f>1</f>
        <v>1</v>
      </c>
      <c r="E231" s="16" t="s">
        <v>118</v>
      </c>
      <c r="F231" s="3" t="s">
        <v>119</v>
      </c>
      <c r="G231" s="3" t="s">
        <v>8</v>
      </c>
      <c r="H231" s="17"/>
      <c r="I231" s="4">
        <v>882.92</v>
      </c>
      <c r="J231" s="5">
        <v>0.23899999999999999</v>
      </c>
      <c r="K231" s="48">
        <f>ROUND(LOG10(Table1[[#This Row],[Return (keep sorted by this column!)]]+1),2)</f>
        <v>0.09</v>
      </c>
      <c r="L231" s="48">
        <f>COUNTIF(Table1[Return (keep sorted by this column!)],"&lt;"&amp;Table1[[#This Row],[Return (keep sorted by this column!)]])</f>
        <v>203</v>
      </c>
      <c r="M231" s="76" t="str">
        <f>IF(Table1[[#This Row],[Team]]="David",Table1[[#This Row],[Return (keep sorted by this column!)]],"")</f>
        <v/>
      </c>
      <c r="N231" s="76">
        <f>IF(Table1[[#This Row],[Team]]="Tom",Table1[[#This Row],[Return (keep sorted by this column!)]],"")</f>
        <v>0.23899999999999999</v>
      </c>
      <c r="O231" s="5">
        <v>0.34399999999999997</v>
      </c>
      <c r="P231" s="68" t="str">
        <f>IF(Table1[[#This Row],[Team]]="David",Table1[[#This Row],[S&amp;P Return, same period]],"")</f>
        <v/>
      </c>
      <c r="Q231" s="68">
        <f>IF(Table1[[#This Row],[Team]]="Tom",Table1[[#This Row],[S&amp;P Return, same period]],"")</f>
        <v>0.34399999999999997</v>
      </c>
      <c r="R231" s="5">
        <v>-0.105</v>
      </c>
      <c r="S231" s="14" t="str">
        <f>IF(Table1[[#This Row],[Team]]="David",Table1[[#This Row],[Difference Vs. S&amp;P Return]],"")</f>
        <v/>
      </c>
      <c r="T231" s="14">
        <f>IF(Table1[[#This Row],[Team]]="Tom",Table1[[#This Row],[Difference Vs. S&amp;P Return]],"")</f>
        <v>-0.105</v>
      </c>
      <c r="U231" s="14">
        <f>ROUND((1+Table1[[#This Row],[Return (keep sorted by this column!)]])/(1+Table1[[#This Row],[S&amp;P Return, same period]])-1,1)</f>
        <v>-0.1</v>
      </c>
      <c r="V231" s="15" t="str">
        <f>IF(Table1[[#This Row],[Team]]="David",Table1[[#This Row],[Improvement Vs. S&amp;P Return]],"")</f>
        <v/>
      </c>
      <c r="W231" s="15">
        <f>IF(Table1[[#This Row],[Team]]="Tom",Table1[[#This Row],[Improvement Vs. S&amp;P Return]],"")</f>
        <v>-0.1</v>
      </c>
    </row>
    <row r="232" spans="1:23" ht="45" x14ac:dyDescent="0.2">
      <c r="A232" s="18">
        <v>41901</v>
      </c>
      <c r="B232" s="2" t="s">
        <v>286</v>
      </c>
      <c r="C232" s="2">
        <f>SUBTOTAL(103,Table1[[#This Row],[Recommendation Date]])</f>
        <v>1</v>
      </c>
      <c r="D232" s="2">
        <f>1</f>
        <v>1</v>
      </c>
      <c r="E232" s="16" t="s">
        <v>287</v>
      </c>
      <c r="F232" s="3" t="s">
        <v>288</v>
      </c>
      <c r="G232" s="3" t="s">
        <v>8</v>
      </c>
      <c r="H232" s="17"/>
      <c r="I232" s="4">
        <v>43.55</v>
      </c>
      <c r="J232" s="5">
        <v>0.23899999999999999</v>
      </c>
      <c r="K232" s="48">
        <f>ROUND(LOG10(Table1[[#This Row],[Return (keep sorted by this column!)]]+1),2)</f>
        <v>0.09</v>
      </c>
      <c r="L232" s="48">
        <f>COUNTIF(Table1[Return (keep sorted by this column!)],"&lt;"&amp;Table1[[#This Row],[Return (keep sorted by this column!)]])</f>
        <v>203</v>
      </c>
      <c r="M232" s="76" t="str">
        <f>IF(Table1[[#This Row],[Team]]="David",Table1[[#This Row],[Return (keep sorted by this column!)]],"")</f>
        <v/>
      </c>
      <c r="N232" s="76">
        <f>IF(Table1[[#This Row],[Team]]="Tom",Table1[[#This Row],[Return (keep sorted by this column!)]],"")</f>
        <v>0.23899999999999999</v>
      </c>
      <c r="O232" s="5">
        <v>0.52800000000000002</v>
      </c>
      <c r="P232" s="68" t="str">
        <f>IF(Table1[[#This Row],[Team]]="David",Table1[[#This Row],[S&amp;P Return, same period]],"")</f>
        <v/>
      </c>
      <c r="Q232" s="68">
        <f>IF(Table1[[#This Row],[Team]]="Tom",Table1[[#This Row],[S&amp;P Return, same period]],"")</f>
        <v>0.52800000000000002</v>
      </c>
      <c r="R232" s="5">
        <v>-0.28899999999999998</v>
      </c>
      <c r="S232" s="14" t="str">
        <f>IF(Table1[[#This Row],[Team]]="David",Table1[[#This Row],[Difference Vs. S&amp;P Return]],"")</f>
        <v/>
      </c>
      <c r="T232" s="14">
        <f>IF(Table1[[#This Row],[Team]]="Tom",Table1[[#This Row],[Difference Vs. S&amp;P Return]],"")</f>
        <v>-0.28899999999999998</v>
      </c>
      <c r="U232" s="14">
        <f>ROUND((1+Table1[[#This Row],[Return (keep sorted by this column!)]])/(1+Table1[[#This Row],[S&amp;P Return, same period]])-1,1)</f>
        <v>-0.2</v>
      </c>
      <c r="V232" s="15" t="str">
        <f>IF(Table1[[#This Row],[Team]]="David",Table1[[#This Row],[Improvement Vs. S&amp;P Return]],"")</f>
        <v/>
      </c>
      <c r="W232" s="15">
        <f>IF(Table1[[#This Row],[Team]]="Tom",Table1[[#This Row],[Improvement Vs. S&amp;P Return]],"")</f>
        <v>-0.2</v>
      </c>
    </row>
    <row r="233" spans="1:23" ht="30" x14ac:dyDescent="0.2">
      <c r="A233" s="18">
        <v>43147</v>
      </c>
      <c r="B233" s="2" t="s">
        <v>122</v>
      </c>
      <c r="C233" s="2">
        <f>SUBTOTAL(103,Table1[[#This Row],[Recommendation Date]])</f>
        <v>1</v>
      </c>
      <c r="D233" s="2">
        <f>1</f>
        <v>1</v>
      </c>
      <c r="E233" s="16" t="s">
        <v>123</v>
      </c>
      <c r="F233" s="3" t="s">
        <v>15</v>
      </c>
      <c r="G233" s="3" t="s">
        <v>8</v>
      </c>
      <c r="H233" s="17"/>
      <c r="I233" s="4">
        <v>56.3</v>
      </c>
      <c r="J233" s="5">
        <v>0.23499999999999999</v>
      </c>
      <c r="K233" s="48">
        <f>ROUND(LOG10(Table1[[#This Row],[Return (keep sorted by this column!)]]+1),2)</f>
        <v>0.09</v>
      </c>
      <c r="L233" s="48">
        <f>COUNTIF(Table1[Return (keep sorted by this column!)],"&lt;"&amp;Table1[[#This Row],[Return (keep sorted by this column!)]])</f>
        <v>202</v>
      </c>
      <c r="M233" s="76" t="str">
        <f>IF(Table1[[#This Row],[Team]]="David",Table1[[#This Row],[Return (keep sorted by this column!)]],"")</f>
        <v/>
      </c>
      <c r="N233" s="76">
        <f>IF(Table1[[#This Row],[Team]]="Tom",Table1[[#This Row],[Return (keep sorted by this column!)]],"")</f>
        <v>0.23499999999999999</v>
      </c>
      <c r="O233" s="5">
        <v>4.7E-2</v>
      </c>
      <c r="P233" s="68" t="str">
        <f>IF(Table1[[#This Row],[Team]]="David",Table1[[#This Row],[S&amp;P Return, same period]],"")</f>
        <v/>
      </c>
      <c r="Q233" s="68">
        <f>IF(Table1[[#This Row],[Team]]="Tom",Table1[[#This Row],[S&amp;P Return, same period]],"")</f>
        <v>4.7E-2</v>
      </c>
      <c r="R233" s="5">
        <v>0.188</v>
      </c>
      <c r="S233" s="14" t="str">
        <f>IF(Table1[[#This Row],[Team]]="David",Table1[[#This Row],[Difference Vs. S&amp;P Return]],"")</f>
        <v/>
      </c>
      <c r="T233" s="14">
        <f>IF(Table1[[#This Row],[Team]]="Tom",Table1[[#This Row],[Difference Vs. S&amp;P Return]],"")</f>
        <v>0.188</v>
      </c>
      <c r="U233" s="14">
        <f>ROUND((1+Table1[[#This Row],[Return (keep sorted by this column!)]])/(1+Table1[[#This Row],[S&amp;P Return, same period]])-1,1)</f>
        <v>0.2</v>
      </c>
      <c r="V233" s="15" t="str">
        <f>IF(Table1[[#This Row],[Team]]="David",Table1[[#This Row],[Improvement Vs. S&amp;P Return]],"")</f>
        <v/>
      </c>
      <c r="W233" s="15">
        <f>IF(Table1[[#This Row],[Team]]="Tom",Table1[[#This Row],[Improvement Vs. S&amp;P Return]],"")</f>
        <v>0.2</v>
      </c>
    </row>
    <row r="234" spans="1:23" ht="45" x14ac:dyDescent="0.2">
      <c r="A234" s="1">
        <v>40102</v>
      </c>
      <c r="B234" s="2" t="s">
        <v>490</v>
      </c>
      <c r="C234" s="2">
        <f>SUBTOTAL(103,Table1[[#This Row],[Recommendation Date]])</f>
        <v>1</v>
      </c>
      <c r="D234" s="2">
        <f>1</f>
        <v>1</v>
      </c>
      <c r="E234" s="16" t="s">
        <v>491</v>
      </c>
      <c r="F234" s="3" t="s">
        <v>130</v>
      </c>
      <c r="G234" s="3" t="s">
        <v>8</v>
      </c>
      <c r="H234" s="17"/>
      <c r="I234" s="4">
        <v>30.24</v>
      </c>
      <c r="J234" s="5">
        <v>0.23</v>
      </c>
      <c r="K234" s="48">
        <f>ROUND(LOG10(Table1[[#This Row],[Return (keep sorted by this column!)]]+1),2)</f>
        <v>0.09</v>
      </c>
      <c r="L234" s="48">
        <f>COUNTIF(Table1[Return (keep sorted by this column!)],"&lt;"&amp;Table1[[#This Row],[Return (keep sorted by this column!)]])</f>
        <v>201</v>
      </c>
      <c r="M234" s="14" t="str">
        <f>IF(Table1[[#This Row],[Team]]="David",Table1[[#This Row],[Return (keep sorted by this column!)]],"")</f>
        <v/>
      </c>
      <c r="N234" s="14">
        <f>IF(Table1[[#This Row],[Team]]="Tom",Table1[[#This Row],[Return (keep sorted by this column!)]],"")</f>
        <v>0.23</v>
      </c>
      <c r="O234" s="5">
        <v>0.17100000000000001</v>
      </c>
      <c r="P234" s="23" t="str">
        <f>IF(Table1[[#This Row],[Team]]="David",Table1[[#This Row],[S&amp;P Return, same period]],"")</f>
        <v/>
      </c>
      <c r="Q234" s="23">
        <f>IF(Table1[[#This Row],[Team]]="Tom",Table1[[#This Row],[S&amp;P Return, same period]],"")</f>
        <v>0.17100000000000001</v>
      </c>
      <c r="R234" s="5">
        <v>5.8999999999999997E-2</v>
      </c>
      <c r="S234" s="14" t="str">
        <f>IF(Table1[[#This Row],[Team]]="David",Table1[[#This Row],[Difference Vs. S&amp;P Return]],"")</f>
        <v/>
      </c>
      <c r="T234" s="14">
        <f>IF(Table1[[#This Row],[Team]]="Tom",Table1[[#This Row],[Difference Vs. S&amp;P Return]],"")</f>
        <v>5.8999999999999997E-2</v>
      </c>
      <c r="U234" s="14">
        <f>ROUND((1+Table1[[#This Row],[Return (keep sorted by this column!)]])/(1+Table1[[#This Row],[S&amp;P Return, same period]])-1,1)</f>
        <v>0.1</v>
      </c>
      <c r="V234" s="15" t="str">
        <f>IF(Table1[[#This Row],[Team]]="David",Table1[[#This Row],[Improvement Vs. S&amp;P Return]],"")</f>
        <v/>
      </c>
      <c r="W234" s="15">
        <f>IF(Table1[[#This Row],[Team]]="Tom",Table1[[#This Row],[Improvement Vs. S&amp;P Return]],"")</f>
        <v>0.1</v>
      </c>
    </row>
    <row r="235" spans="1:23" ht="60" x14ac:dyDescent="0.2">
      <c r="A235" s="1">
        <v>38261</v>
      </c>
      <c r="B235" s="2" t="s">
        <v>671</v>
      </c>
      <c r="C235" s="2">
        <f>SUBTOTAL(103,Table1[[#This Row],[Recommendation Date]])</f>
        <v>1</v>
      </c>
      <c r="D235" s="2">
        <f>1</f>
        <v>1</v>
      </c>
      <c r="E235" s="16" t="s">
        <v>665</v>
      </c>
      <c r="F235" s="3" t="s">
        <v>66</v>
      </c>
      <c r="G235" s="3" t="s">
        <v>8</v>
      </c>
      <c r="H235" s="17"/>
      <c r="I235" s="4">
        <v>35.630000000000003</v>
      </c>
      <c r="J235" s="5">
        <v>0.22500000000000001</v>
      </c>
      <c r="K235" s="48">
        <f>ROUND(LOG10(Table1[[#This Row],[Return (keep sorted by this column!)]]+1),2)</f>
        <v>0.09</v>
      </c>
      <c r="L235" s="48">
        <f>COUNTIF(Table1[Return (keep sorted by this column!)],"&lt;"&amp;Table1[[#This Row],[Return (keep sorted by this column!)]])</f>
        <v>200</v>
      </c>
      <c r="M235" s="14" t="str">
        <f>IF(Table1[[#This Row],[Team]]="David",Table1[[#This Row],[Return (keep sorted by this column!)]],"")</f>
        <v/>
      </c>
      <c r="N235" s="14">
        <f>IF(Table1[[#This Row],[Team]]="Tom",Table1[[#This Row],[Return (keep sorted by this column!)]],"")</f>
        <v>0.22500000000000001</v>
      </c>
      <c r="O235" s="5">
        <v>0.86299999999999999</v>
      </c>
      <c r="P235" s="23" t="str">
        <f>IF(Table1[[#This Row],[Team]]="David",Table1[[#This Row],[S&amp;P Return, same period]],"")</f>
        <v/>
      </c>
      <c r="Q235" s="23">
        <f>IF(Table1[[#This Row],[Team]]="Tom",Table1[[#This Row],[S&amp;P Return, same period]],"")</f>
        <v>0.86299999999999999</v>
      </c>
      <c r="R235" s="5">
        <v>-0.63800000000000001</v>
      </c>
      <c r="S235" s="14" t="str">
        <f>IF(Table1[[#This Row],[Team]]="David",Table1[[#This Row],[Difference Vs. S&amp;P Return]],"")</f>
        <v/>
      </c>
      <c r="T235" s="14">
        <f>IF(Table1[[#This Row],[Team]]="Tom",Table1[[#This Row],[Difference Vs. S&amp;P Return]],"")</f>
        <v>-0.63800000000000001</v>
      </c>
      <c r="U235" s="14">
        <f>ROUND((1+Table1[[#This Row],[Return (keep sorted by this column!)]])/(1+Table1[[#This Row],[S&amp;P Return, same period]])-1,1)</f>
        <v>-0.3</v>
      </c>
      <c r="V235" s="15" t="str">
        <f>IF(Table1[[#This Row],[Team]]="David",Table1[[#This Row],[Improvement Vs. S&amp;P Return]],"")</f>
        <v/>
      </c>
      <c r="W235" s="15">
        <f>IF(Table1[[#This Row],[Team]]="Tom",Table1[[#This Row],[Improvement Vs. S&amp;P Return]],"")</f>
        <v>-0.3</v>
      </c>
    </row>
    <row r="236" spans="1:23" ht="45" x14ac:dyDescent="0.2">
      <c r="A236" s="1">
        <v>38702</v>
      </c>
      <c r="B236" s="2" t="s">
        <v>629</v>
      </c>
      <c r="C236" s="2">
        <f>SUBTOTAL(103,Table1[[#This Row],[Recommendation Date]])</f>
        <v>1</v>
      </c>
      <c r="D236" s="2">
        <f>1</f>
        <v>1</v>
      </c>
      <c r="E236" s="16" t="s">
        <v>630</v>
      </c>
      <c r="F236" s="3" t="s">
        <v>631</v>
      </c>
      <c r="G236" s="3" t="s">
        <v>12</v>
      </c>
      <c r="H236" s="17"/>
      <c r="I236" s="4">
        <v>15.77</v>
      </c>
      <c r="J236" s="5">
        <v>0.224</v>
      </c>
      <c r="K236" s="48">
        <f>ROUND(LOG10(Table1[[#This Row],[Return (keep sorted by this column!)]]+1),2)</f>
        <v>0.09</v>
      </c>
      <c r="L236" s="48">
        <f>COUNTIF(Table1[Return (keep sorted by this column!)],"&lt;"&amp;Table1[[#This Row],[Return (keep sorted by this column!)]])</f>
        <v>199</v>
      </c>
      <c r="M236" s="14">
        <f>IF(Table1[[#This Row],[Team]]="David",Table1[[#This Row],[Return (keep sorted by this column!)]],"")</f>
        <v>0.224</v>
      </c>
      <c r="N236" s="14" t="str">
        <f>IF(Table1[[#This Row],[Team]]="Tom",Table1[[#This Row],[Return (keep sorted by this column!)]],"")</f>
        <v/>
      </c>
      <c r="O236" s="5">
        <v>-4.2999999999999997E-2</v>
      </c>
      <c r="P236" s="23">
        <f>IF(Table1[[#This Row],[Team]]="David",Table1[[#This Row],[S&amp;P Return, same period]],"")</f>
        <v>-4.2999999999999997E-2</v>
      </c>
      <c r="Q236" s="23" t="str">
        <f>IF(Table1[[#This Row],[Team]]="Tom",Table1[[#This Row],[S&amp;P Return, same period]],"")</f>
        <v/>
      </c>
      <c r="R236" s="5">
        <v>0.26700000000000002</v>
      </c>
      <c r="S236" s="14">
        <f>IF(Table1[[#This Row],[Team]]="David",Table1[[#This Row],[Difference Vs. S&amp;P Return]],"")</f>
        <v>0.26700000000000002</v>
      </c>
      <c r="T236" s="14" t="str">
        <f>IF(Table1[[#This Row],[Team]]="Tom",Table1[[#This Row],[Difference Vs. S&amp;P Return]],"")</f>
        <v/>
      </c>
      <c r="U236" s="14">
        <f>ROUND((1+Table1[[#This Row],[Return (keep sorted by this column!)]])/(1+Table1[[#This Row],[S&amp;P Return, same period]])-1,1)</f>
        <v>0.3</v>
      </c>
      <c r="V236" s="15">
        <f>IF(Table1[[#This Row],[Team]]="David",Table1[[#This Row],[Improvement Vs. S&amp;P Return]],"")</f>
        <v>0.3</v>
      </c>
      <c r="W236" s="15" t="str">
        <f>IF(Table1[[#This Row],[Team]]="Tom",Table1[[#This Row],[Improvement Vs. S&amp;P Return]],"")</f>
        <v/>
      </c>
    </row>
    <row r="237" spans="1:23" ht="17" x14ac:dyDescent="0.2">
      <c r="A237" s="18">
        <v>43517</v>
      </c>
      <c r="B237" s="2" t="s">
        <v>72</v>
      </c>
      <c r="C237" s="2">
        <f>SUBTOTAL(103,Table1[[#This Row],[Recommendation Date]])</f>
        <v>1</v>
      </c>
      <c r="D237" s="2">
        <f>1</f>
        <v>1</v>
      </c>
      <c r="E237" s="16" t="s">
        <v>73</v>
      </c>
      <c r="F237" s="3" t="s">
        <v>74</v>
      </c>
      <c r="G237" s="3" t="s">
        <v>12</v>
      </c>
      <c r="H237" s="16">
        <v>11</v>
      </c>
      <c r="I237" s="4">
        <v>34.770000000000003</v>
      </c>
      <c r="J237" s="5">
        <v>0.22</v>
      </c>
      <c r="K237" s="48">
        <f>ROUND(LOG10(Table1[[#This Row],[Return (keep sorted by this column!)]]+1),2)</f>
        <v>0.09</v>
      </c>
      <c r="L237" s="48">
        <f>COUNTIF(Table1[Return (keep sorted by this column!)],"&lt;"&amp;Table1[[#This Row],[Return (keep sorted by this column!)]])</f>
        <v>198</v>
      </c>
      <c r="M237" s="76">
        <f>IF(Table1[[#This Row],[Team]]="David",Table1[[#This Row],[Return (keep sorted by this column!)]],"")</f>
        <v>0.22</v>
      </c>
      <c r="N237" s="76" t="str">
        <f>IF(Table1[[#This Row],[Team]]="Tom",Table1[[#This Row],[Return (keep sorted by this column!)]],"")</f>
        <v/>
      </c>
      <c r="O237" s="5">
        <v>0.01</v>
      </c>
      <c r="P237" s="68">
        <f>IF(Table1[[#This Row],[Team]]="David",Table1[[#This Row],[S&amp;P Return, same period]],"")</f>
        <v>0.01</v>
      </c>
      <c r="Q237" s="68" t="str">
        <f>IF(Table1[[#This Row],[Team]]="Tom",Table1[[#This Row],[S&amp;P Return, same period]],"")</f>
        <v/>
      </c>
      <c r="R237" s="5">
        <v>0.20899999999999999</v>
      </c>
      <c r="S237" s="14">
        <f>IF(Table1[[#This Row],[Team]]="David",Table1[[#This Row],[Difference Vs. S&amp;P Return]],"")</f>
        <v>0.20899999999999999</v>
      </c>
      <c r="T237" s="14" t="str">
        <f>IF(Table1[[#This Row],[Team]]="Tom",Table1[[#This Row],[Difference Vs. S&amp;P Return]],"")</f>
        <v/>
      </c>
      <c r="U237" s="14">
        <f>ROUND((1+Table1[[#This Row],[Return (keep sorted by this column!)]])/(1+Table1[[#This Row],[S&amp;P Return, same period]])-1,1)</f>
        <v>0.2</v>
      </c>
      <c r="V237" s="15">
        <f>IF(Table1[[#This Row],[Team]]="David",Table1[[#This Row],[Improvement Vs. S&amp;P Return]],"")</f>
        <v>0.2</v>
      </c>
      <c r="W237" s="15" t="str">
        <f>IF(Table1[[#This Row],[Team]]="Tom",Table1[[#This Row],[Improvement Vs. S&amp;P Return]],"")</f>
        <v/>
      </c>
    </row>
    <row r="238" spans="1:23" ht="60" x14ac:dyDescent="0.2">
      <c r="A238" s="1">
        <v>40284</v>
      </c>
      <c r="B238" s="2" t="s">
        <v>444</v>
      </c>
      <c r="C238" s="2">
        <f>SUBTOTAL(103,Table1[[#This Row],[Recommendation Date]])</f>
        <v>1</v>
      </c>
      <c r="D238" s="2">
        <f>1</f>
        <v>1</v>
      </c>
      <c r="E238" s="16" t="s">
        <v>445</v>
      </c>
      <c r="F238" s="3" t="s">
        <v>446</v>
      </c>
      <c r="G238" s="3" t="s">
        <v>12</v>
      </c>
      <c r="H238" s="17"/>
      <c r="I238" s="4">
        <v>13.2</v>
      </c>
      <c r="J238" s="5">
        <v>0.217</v>
      </c>
      <c r="K238" s="48">
        <f>ROUND(LOG10(Table1[[#This Row],[Return (keep sorted by this column!)]]+1),2)</f>
        <v>0.09</v>
      </c>
      <c r="L238" s="48">
        <f>COUNTIF(Table1[Return (keep sorted by this column!)],"&lt;"&amp;Table1[[#This Row],[Return (keep sorted by this column!)]])</f>
        <v>197</v>
      </c>
      <c r="M238" s="76">
        <f>IF(Table1[[#This Row],[Team]]="David",Table1[[#This Row],[Return (keep sorted by this column!)]],"")</f>
        <v>0.217</v>
      </c>
      <c r="N238" s="76" t="str">
        <f>IF(Table1[[#This Row],[Team]]="Tom",Table1[[#This Row],[Return (keep sorted by this column!)]],"")</f>
        <v/>
      </c>
      <c r="O238" s="5">
        <v>0.57699999999999996</v>
      </c>
      <c r="P238" s="68">
        <f>IF(Table1[[#This Row],[Team]]="David",Table1[[#This Row],[S&amp;P Return, same period]],"")</f>
        <v>0.57699999999999996</v>
      </c>
      <c r="Q238" s="68" t="str">
        <f>IF(Table1[[#This Row],[Team]]="Tom",Table1[[#This Row],[S&amp;P Return, same period]],"")</f>
        <v/>
      </c>
      <c r="R238" s="5">
        <v>-0.36</v>
      </c>
      <c r="S238" s="14">
        <f>IF(Table1[[#This Row],[Team]]="David",Table1[[#This Row],[Difference Vs. S&amp;P Return]],"")</f>
        <v>-0.36</v>
      </c>
      <c r="T238" s="14" t="str">
        <f>IF(Table1[[#This Row],[Team]]="Tom",Table1[[#This Row],[Difference Vs. S&amp;P Return]],"")</f>
        <v/>
      </c>
      <c r="U238" s="14">
        <f>ROUND((1+Table1[[#This Row],[Return (keep sorted by this column!)]])/(1+Table1[[#This Row],[S&amp;P Return, same period]])-1,1)</f>
        <v>-0.2</v>
      </c>
      <c r="V238" s="15">
        <f>IF(Table1[[#This Row],[Team]]="David",Table1[[#This Row],[Improvement Vs. S&amp;P Return]],"")</f>
        <v>-0.2</v>
      </c>
      <c r="W238" s="15" t="str">
        <f>IF(Table1[[#This Row],[Team]]="Tom",Table1[[#This Row],[Improvement Vs. S&amp;P Return]],"")</f>
        <v/>
      </c>
    </row>
    <row r="239" spans="1:23" ht="17" x14ac:dyDescent="0.2">
      <c r="A239" s="18">
        <v>41746</v>
      </c>
      <c r="B239" s="2" t="s">
        <v>309</v>
      </c>
      <c r="C239" s="2">
        <f>SUBTOTAL(103,Table1[[#This Row],[Recommendation Date]])</f>
        <v>1</v>
      </c>
      <c r="D239" s="2">
        <f>1</f>
        <v>1</v>
      </c>
      <c r="E239" s="16" t="s">
        <v>310</v>
      </c>
      <c r="F239" s="3" t="s">
        <v>58</v>
      </c>
      <c r="G239" s="3" t="s">
        <v>12</v>
      </c>
      <c r="H239" s="16">
        <v>10</v>
      </c>
      <c r="I239" s="4">
        <v>67.209999999999994</v>
      </c>
      <c r="J239" s="5">
        <v>0.21199999999999999</v>
      </c>
      <c r="K239" s="48">
        <f>ROUND(LOG10(Table1[[#This Row],[Return (keep sorted by this column!)]]+1),2)</f>
        <v>0.08</v>
      </c>
      <c r="L239" s="48">
        <f>COUNTIF(Table1[Return (keep sorted by this column!)],"&lt;"&amp;Table1[[#This Row],[Return (keep sorted by this column!)]])</f>
        <v>196</v>
      </c>
      <c r="M239" s="76">
        <f>IF(Table1[[#This Row],[Team]]="David",Table1[[#This Row],[Return (keep sorted by this column!)]],"")</f>
        <v>0.21199999999999999</v>
      </c>
      <c r="N239" s="76" t="str">
        <f>IF(Table1[[#This Row],[Team]]="Tom",Table1[[#This Row],[Return (keep sorted by this column!)]],"")</f>
        <v/>
      </c>
      <c r="O239" s="5">
        <v>0.66200000000000003</v>
      </c>
      <c r="P239" s="68">
        <f>IF(Table1[[#This Row],[Team]]="David",Table1[[#This Row],[S&amp;P Return, same period]],"")</f>
        <v>0.66200000000000003</v>
      </c>
      <c r="Q239" s="68" t="str">
        <f>IF(Table1[[#This Row],[Team]]="Tom",Table1[[#This Row],[S&amp;P Return, same period]],"")</f>
        <v/>
      </c>
      <c r="R239" s="5">
        <v>-0.45</v>
      </c>
      <c r="S239" s="14">
        <f>IF(Table1[[#This Row],[Team]]="David",Table1[[#This Row],[Difference Vs. S&amp;P Return]],"")</f>
        <v>-0.45</v>
      </c>
      <c r="T239" s="14" t="str">
        <f>IF(Table1[[#This Row],[Team]]="Tom",Table1[[#This Row],[Difference Vs. S&amp;P Return]],"")</f>
        <v/>
      </c>
      <c r="U239" s="14">
        <f>ROUND((1+Table1[[#This Row],[Return (keep sorted by this column!)]])/(1+Table1[[#This Row],[S&amp;P Return, same period]])-1,1)</f>
        <v>-0.3</v>
      </c>
      <c r="V239" s="15">
        <f>IF(Table1[[#This Row],[Team]]="David",Table1[[#This Row],[Improvement Vs. S&amp;P Return]],"")</f>
        <v>-0.3</v>
      </c>
      <c r="W239" s="15" t="str">
        <f>IF(Table1[[#This Row],[Team]]="Tom",Table1[[#This Row],[Improvement Vs. S&amp;P Return]],"")</f>
        <v/>
      </c>
    </row>
    <row r="240" spans="1:23" ht="30" x14ac:dyDescent="0.2">
      <c r="A240" s="18">
        <v>41866</v>
      </c>
      <c r="B240" s="2" t="s">
        <v>291</v>
      </c>
      <c r="C240" s="2">
        <f>SUBTOTAL(103,Table1[[#This Row],[Recommendation Date]])</f>
        <v>1</v>
      </c>
      <c r="D240" s="2">
        <f>1</f>
        <v>1</v>
      </c>
      <c r="E240" s="16" t="s">
        <v>292</v>
      </c>
      <c r="F240" s="3" t="s">
        <v>169</v>
      </c>
      <c r="G240" s="3" t="s">
        <v>8</v>
      </c>
      <c r="H240" s="17"/>
      <c r="I240" s="4">
        <v>1270.1199999999999</v>
      </c>
      <c r="J240" s="5">
        <v>0.20300000000000001</v>
      </c>
      <c r="K240" s="48">
        <f>ROUND(LOG10(Table1[[#This Row],[Return (keep sorted by this column!)]]+1),2)</f>
        <v>0.08</v>
      </c>
      <c r="L240" s="48">
        <f>COUNTIF(Table1[Return (keep sorted by this column!)],"&lt;"&amp;Table1[[#This Row],[Return (keep sorted by this column!)]])</f>
        <v>195</v>
      </c>
      <c r="M240" s="76" t="str">
        <f>IF(Table1[[#This Row],[Team]]="David",Table1[[#This Row],[Return (keep sorted by this column!)]],"")</f>
        <v/>
      </c>
      <c r="N240" s="76">
        <f>IF(Table1[[#This Row],[Team]]="Tom",Table1[[#This Row],[Return (keep sorted by this column!)]],"")</f>
        <v>0.20300000000000001</v>
      </c>
      <c r="O240" s="5">
        <v>0.57399999999999995</v>
      </c>
      <c r="P240" s="68" t="str">
        <f>IF(Table1[[#This Row],[Team]]="David",Table1[[#This Row],[S&amp;P Return, same period]],"")</f>
        <v/>
      </c>
      <c r="Q240" s="68">
        <f>IF(Table1[[#This Row],[Team]]="Tom",Table1[[#This Row],[S&amp;P Return, same period]],"")</f>
        <v>0.57399999999999995</v>
      </c>
      <c r="R240" s="5">
        <v>-0.371</v>
      </c>
      <c r="S240" s="14" t="str">
        <f>IF(Table1[[#This Row],[Team]]="David",Table1[[#This Row],[Difference Vs. S&amp;P Return]],"")</f>
        <v/>
      </c>
      <c r="T240" s="14">
        <f>IF(Table1[[#This Row],[Team]]="Tom",Table1[[#This Row],[Difference Vs. S&amp;P Return]],"")</f>
        <v>-0.371</v>
      </c>
      <c r="U240" s="14">
        <f>ROUND((1+Table1[[#This Row],[Return (keep sorted by this column!)]])/(1+Table1[[#This Row],[S&amp;P Return, same period]])-1,1)</f>
        <v>-0.2</v>
      </c>
      <c r="V240" s="15" t="str">
        <f>IF(Table1[[#This Row],[Team]]="David",Table1[[#This Row],[Improvement Vs. S&amp;P Return]],"")</f>
        <v/>
      </c>
      <c r="W240" s="15">
        <f>IF(Table1[[#This Row],[Team]]="Tom",Table1[[#This Row],[Improvement Vs. S&amp;P Return]],"")</f>
        <v>-0.2</v>
      </c>
    </row>
    <row r="241" spans="1:23" ht="17" x14ac:dyDescent="0.2">
      <c r="A241" s="18">
        <v>43573</v>
      </c>
      <c r="B241" s="2" t="s">
        <v>51</v>
      </c>
      <c r="C241" s="2">
        <f>SUBTOTAL(103,Table1[[#This Row],[Recommendation Date]])</f>
        <v>1</v>
      </c>
      <c r="D241" s="2">
        <f>1</f>
        <v>1</v>
      </c>
      <c r="E241" s="16" t="s">
        <v>52</v>
      </c>
      <c r="F241" s="3" t="s">
        <v>27</v>
      </c>
      <c r="G241" s="3" t="s">
        <v>12</v>
      </c>
      <c r="H241" s="16">
        <v>13</v>
      </c>
      <c r="I241" s="4">
        <v>5.44</v>
      </c>
      <c r="J241" s="5">
        <v>0.2</v>
      </c>
      <c r="K241" s="48">
        <f>ROUND(LOG10(Table1[[#This Row],[Return (keep sorted by this column!)]]+1),2)</f>
        <v>0.08</v>
      </c>
      <c r="L241" s="48">
        <f>COUNTIF(Table1[Return (keep sorted by this column!)],"&lt;"&amp;Table1[[#This Row],[Return (keep sorted by this column!)]])</f>
        <v>194</v>
      </c>
      <c r="M241" s="76">
        <f>IF(Table1[[#This Row],[Team]]="David",Table1[[#This Row],[Return (keep sorted by this column!)]],"")</f>
        <v>0.2</v>
      </c>
      <c r="N241" s="76" t="str">
        <f>IF(Table1[[#This Row],[Team]]="Tom",Table1[[#This Row],[Return (keep sorted by this column!)]],"")</f>
        <v/>
      </c>
      <c r="O241" s="5">
        <v>-3.7999999999999999E-2</v>
      </c>
      <c r="P241" s="68">
        <f>IF(Table1[[#This Row],[Team]]="David",Table1[[#This Row],[S&amp;P Return, same period]],"")</f>
        <v>-3.7999999999999999E-2</v>
      </c>
      <c r="Q241" s="68" t="str">
        <f>IF(Table1[[#This Row],[Team]]="Tom",Table1[[#This Row],[S&amp;P Return, same period]],"")</f>
        <v/>
      </c>
      <c r="R241" s="5">
        <v>0.23799999999999999</v>
      </c>
      <c r="S241" s="14">
        <f>IF(Table1[[#This Row],[Team]]="David",Table1[[#This Row],[Difference Vs. S&amp;P Return]],"")</f>
        <v>0.23799999999999999</v>
      </c>
      <c r="T241" s="14" t="str">
        <f>IF(Table1[[#This Row],[Team]]="Tom",Table1[[#This Row],[Difference Vs. S&amp;P Return]],"")</f>
        <v/>
      </c>
      <c r="U241" s="14">
        <f>ROUND((1+Table1[[#This Row],[Return (keep sorted by this column!)]])/(1+Table1[[#This Row],[S&amp;P Return, same period]])-1,1)</f>
        <v>0.2</v>
      </c>
      <c r="V241" s="15">
        <f>IF(Table1[[#This Row],[Team]]="David",Table1[[#This Row],[Improvement Vs. S&amp;P Return]],"")</f>
        <v>0.2</v>
      </c>
      <c r="W241" s="15" t="str">
        <f>IF(Table1[[#This Row],[Team]]="Tom",Table1[[#This Row],[Improvement Vs. S&amp;P Return]],"")</f>
        <v/>
      </c>
    </row>
    <row r="242" spans="1:23" ht="45" x14ac:dyDescent="0.2">
      <c r="A242" s="1">
        <v>39493</v>
      </c>
      <c r="B242" s="2" t="s">
        <v>545</v>
      </c>
      <c r="C242" s="2">
        <f>SUBTOTAL(103,Table1[[#This Row],[Recommendation Date]])</f>
        <v>1</v>
      </c>
      <c r="D242" s="2">
        <f>1</f>
        <v>1</v>
      </c>
      <c r="E242" s="16" t="s">
        <v>546</v>
      </c>
      <c r="F242" s="3" t="s">
        <v>27</v>
      </c>
      <c r="G242" s="3" t="s">
        <v>8</v>
      </c>
      <c r="H242" s="17"/>
      <c r="I242" s="4">
        <v>64.540000000000006</v>
      </c>
      <c r="J242" s="5">
        <v>0.19900000000000001</v>
      </c>
      <c r="K242" s="48">
        <f>ROUND(LOG10(Table1[[#This Row],[Return (keep sorted by this column!)]]+1),2)</f>
        <v>0.08</v>
      </c>
      <c r="L242" s="48">
        <f>COUNTIF(Table1[Return (keep sorted by this column!)],"&lt;"&amp;Table1[[#This Row],[Return (keep sorted by this column!)]])</f>
        <v>193</v>
      </c>
      <c r="M242" s="14" t="str">
        <f>IF(Table1[[#This Row],[Team]]="David",Table1[[#This Row],[Return (keep sorted by this column!)]],"")</f>
        <v/>
      </c>
      <c r="N242" s="14">
        <f>IF(Table1[[#This Row],[Team]]="Tom",Table1[[#This Row],[Return (keep sorted by this column!)]],"")</f>
        <v>0.19900000000000001</v>
      </c>
      <c r="O242" s="5">
        <v>0.81399999999999995</v>
      </c>
      <c r="P242" s="23" t="str">
        <f>IF(Table1[[#This Row],[Team]]="David",Table1[[#This Row],[S&amp;P Return, same period]],"")</f>
        <v/>
      </c>
      <c r="Q242" s="23">
        <f>IF(Table1[[#This Row],[Team]]="Tom",Table1[[#This Row],[S&amp;P Return, same period]],"")</f>
        <v>0.81399999999999995</v>
      </c>
      <c r="R242" s="5">
        <v>-0.61499999999999999</v>
      </c>
      <c r="S242" s="14" t="str">
        <f>IF(Table1[[#This Row],[Team]]="David",Table1[[#This Row],[Difference Vs. S&amp;P Return]],"")</f>
        <v/>
      </c>
      <c r="T242" s="14">
        <f>IF(Table1[[#This Row],[Team]]="Tom",Table1[[#This Row],[Difference Vs. S&amp;P Return]],"")</f>
        <v>-0.61499999999999999</v>
      </c>
      <c r="U242" s="14">
        <f>ROUND((1+Table1[[#This Row],[Return (keep sorted by this column!)]])/(1+Table1[[#This Row],[S&amp;P Return, same period]])-1,1)</f>
        <v>-0.3</v>
      </c>
      <c r="V242" s="15" t="str">
        <f>IF(Table1[[#This Row],[Team]]="David",Table1[[#This Row],[Improvement Vs. S&amp;P Return]],"")</f>
        <v/>
      </c>
      <c r="W242" s="15">
        <f>IF(Table1[[#This Row],[Team]]="Tom",Table1[[#This Row],[Improvement Vs. S&amp;P Return]],"")</f>
        <v>-0.3</v>
      </c>
    </row>
    <row r="243" spans="1:23" ht="30" x14ac:dyDescent="0.2">
      <c r="A243" s="18">
        <v>42783</v>
      </c>
      <c r="B243" s="2" t="s">
        <v>172</v>
      </c>
      <c r="C243" s="2">
        <f>SUBTOTAL(103,Table1[[#This Row],[Recommendation Date]])</f>
        <v>1</v>
      </c>
      <c r="D243" s="2">
        <f>1</f>
        <v>1</v>
      </c>
      <c r="E243" s="16" t="s">
        <v>173</v>
      </c>
      <c r="F243" s="3" t="s">
        <v>7</v>
      </c>
      <c r="G243" s="3" t="s">
        <v>12</v>
      </c>
      <c r="H243" s="16">
        <v>8</v>
      </c>
      <c r="I243" s="4">
        <v>68.67</v>
      </c>
      <c r="J243" s="5">
        <v>0.17699999999999999</v>
      </c>
      <c r="K243" s="48">
        <f>ROUND(LOG10(Table1[[#This Row],[Return (keep sorted by this column!)]]+1),2)</f>
        <v>7.0000000000000007E-2</v>
      </c>
      <c r="L243" s="48">
        <f>COUNTIF(Table1[Return (keep sorted by this column!)],"&lt;"&amp;Table1[[#This Row],[Return (keep sorted by this column!)]])</f>
        <v>192</v>
      </c>
      <c r="M243" s="76">
        <f>IF(Table1[[#This Row],[Team]]="David",Table1[[#This Row],[Return (keep sorted by this column!)]],"")</f>
        <v>0.17699999999999999</v>
      </c>
      <c r="N243" s="76" t="str">
        <f>IF(Table1[[#This Row],[Team]]="Tom",Table1[[#This Row],[Return (keep sorted by this column!)]],"")</f>
        <v/>
      </c>
      <c r="O243" s="5">
        <v>0.24099999999999999</v>
      </c>
      <c r="P243" s="68">
        <f>IF(Table1[[#This Row],[Team]]="David",Table1[[#This Row],[S&amp;P Return, same period]],"")</f>
        <v>0.24099999999999999</v>
      </c>
      <c r="Q243" s="68" t="str">
        <f>IF(Table1[[#This Row],[Team]]="Tom",Table1[[#This Row],[S&amp;P Return, same period]],"")</f>
        <v/>
      </c>
      <c r="R243" s="5">
        <v>-6.4000000000000001E-2</v>
      </c>
      <c r="S243" s="14">
        <f>IF(Table1[[#This Row],[Team]]="David",Table1[[#This Row],[Difference Vs. S&amp;P Return]],"")</f>
        <v>-6.4000000000000001E-2</v>
      </c>
      <c r="T243" s="14" t="str">
        <f>IF(Table1[[#This Row],[Team]]="Tom",Table1[[#This Row],[Difference Vs. S&amp;P Return]],"")</f>
        <v/>
      </c>
      <c r="U243" s="14">
        <f>ROUND((1+Table1[[#This Row],[Return (keep sorted by this column!)]])/(1+Table1[[#This Row],[S&amp;P Return, same period]])-1,1)</f>
        <v>-0.1</v>
      </c>
      <c r="V243" s="15">
        <f>IF(Table1[[#This Row],[Team]]="David",Table1[[#This Row],[Improvement Vs. S&amp;P Return]],"")</f>
        <v>-0.1</v>
      </c>
      <c r="W243" s="15" t="str">
        <f>IF(Table1[[#This Row],[Team]]="Tom",Table1[[#This Row],[Improvement Vs. S&amp;P Return]],"")</f>
        <v/>
      </c>
    </row>
    <row r="244" spans="1:23" ht="30" x14ac:dyDescent="0.2">
      <c r="A244" s="18">
        <v>42846</v>
      </c>
      <c r="B244" s="2" t="s">
        <v>160</v>
      </c>
      <c r="C244" s="2">
        <f>SUBTOTAL(103,Table1[[#This Row],[Recommendation Date]])</f>
        <v>1</v>
      </c>
      <c r="D244" s="2">
        <f>1</f>
        <v>1</v>
      </c>
      <c r="E244" s="16" t="s">
        <v>161</v>
      </c>
      <c r="F244" s="3" t="s">
        <v>162</v>
      </c>
      <c r="G244" s="3" t="s">
        <v>8</v>
      </c>
      <c r="H244" s="17"/>
      <c r="I244" s="4">
        <v>88.9</v>
      </c>
      <c r="J244" s="5">
        <v>0.17199999999999999</v>
      </c>
      <c r="K244" s="48">
        <f>ROUND(LOG10(Table1[[#This Row],[Return (keep sorted by this column!)]]+1),2)</f>
        <v>7.0000000000000007E-2</v>
      </c>
      <c r="L244" s="48">
        <f>COUNTIF(Table1[Return (keep sorted by this column!)],"&lt;"&amp;Table1[[#This Row],[Return (keep sorted by this column!)]])</f>
        <v>190</v>
      </c>
      <c r="M244" s="76" t="str">
        <f>IF(Table1[[#This Row],[Team]]="David",Table1[[#This Row],[Return (keep sorted by this column!)]],"")</f>
        <v/>
      </c>
      <c r="N244" s="76">
        <f>IF(Table1[[#This Row],[Team]]="Tom",Table1[[#This Row],[Return (keep sorted by this column!)]],"")</f>
        <v>0.17199999999999999</v>
      </c>
      <c r="O244" s="5">
        <v>0.23799999999999999</v>
      </c>
      <c r="P244" s="68" t="str">
        <f>IF(Table1[[#This Row],[Team]]="David",Table1[[#This Row],[S&amp;P Return, same period]],"")</f>
        <v/>
      </c>
      <c r="Q244" s="68">
        <f>IF(Table1[[#This Row],[Team]]="Tom",Table1[[#This Row],[S&amp;P Return, same period]],"")</f>
        <v>0.23799999999999999</v>
      </c>
      <c r="R244" s="5">
        <v>-6.6000000000000003E-2</v>
      </c>
      <c r="S244" s="14" t="str">
        <f>IF(Table1[[#This Row],[Team]]="David",Table1[[#This Row],[Difference Vs. S&amp;P Return]],"")</f>
        <v/>
      </c>
      <c r="T244" s="14">
        <f>IF(Table1[[#This Row],[Team]]="Tom",Table1[[#This Row],[Difference Vs. S&amp;P Return]],"")</f>
        <v>-6.6000000000000003E-2</v>
      </c>
      <c r="U244" s="14">
        <f>ROUND((1+Table1[[#This Row],[Return (keep sorted by this column!)]])/(1+Table1[[#This Row],[S&amp;P Return, same period]])-1,1)</f>
        <v>-0.1</v>
      </c>
      <c r="V244" s="15" t="str">
        <f>IF(Table1[[#This Row],[Team]]="David",Table1[[#This Row],[Improvement Vs. S&amp;P Return]],"")</f>
        <v/>
      </c>
      <c r="W244" s="15">
        <f>IF(Table1[[#This Row],[Team]]="Tom",Table1[[#This Row],[Improvement Vs. S&amp;P Return]],"")</f>
        <v>-0.1</v>
      </c>
    </row>
    <row r="245" spans="1:23" ht="17" x14ac:dyDescent="0.2">
      <c r="A245" s="18">
        <v>39192</v>
      </c>
      <c r="B245" s="2" t="s">
        <v>585</v>
      </c>
      <c r="C245" s="2">
        <f>SUBTOTAL(103,Table1[[#This Row],[Recommendation Date]])</f>
        <v>1</v>
      </c>
      <c r="D245" s="2">
        <f>1</f>
        <v>1</v>
      </c>
      <c r="E245" s="16" t="s">
        <v>586</v>
      </c>
      <c r="F245" s="3" t="s">
        <v>150</v>
      </c>
      <c r="G245" s="3" t="s">
        <v>12</v>
      </c>
      <c r="H245" s="16">
        <v>17</v>
      </c>
      <c r="I245" s="4">
        <v>25.39</v>
      </c>
      <c r="J245" s="5">
        <v>0.17199999999999999</v>
      </c>
      <c r="K245" s="48">
        <f>ROUND(LOG10(Table1[[#This Row],[Return (keep sorted by this column!)]]+1),2)</f>
        <v>7.0000000000000007E-2</v>
      </c>
      <c r="L245" s="48">
        <f>COUNTIF(Table1[Return (keep sorted by this column!)],"&lt;"&amp;Table1[[#This Row],[Return (keep sorted by this column!)]])</f>
        <v>190</v>
      </c>
      <c r="M245" s="14">
        <f>IF(Table1[[#This Row],[Team]]="David",Table1[[#This Row],[Return (keep sorted by this column!)]],"")</f>
        <v>0.17199999999999999</v>
      </c>
      <c r="N245" s="14" t="str">
        <f>IF(Table1[[#This Row],[Team]]="Tom",Table1[[#This Row],[Return (keep sorted by this column!)]],"")</f>
        <v/>
      </c>
      <c r="O245" s="5">
        <v>1.431</v>
      </c>
      <c r="P245" s="23">
        <f>IF(Table1[[#This Row],[Team]]="David",Table1[[#This Row],[S&amp;P Return, same period]],"")</f>
        <v>1.431</v>
      </c>
      <c r="Q245" s="23" t="str">
        <f>IF(Table1[[#This Row],[Team]]="Tom",Table1[[#This Row],[S&amp;P Return, same period]],"")</f>
        <v/>
      </c>
      <c r="R245" s="5">
        <v>-1.2589999999999999</v>
      </c>
      <c r="S245" s="14">
        <f>IF(Table1[[#This Row],[Team]]="David",Table1[[#This Row],[Difference Vs. S&amp;P Return]],"")</f>
        <v>-1.2589999999999999</v>
      </c>
      <c r="T245" s="14" t="str">
        <f>IF(Table1[[#This Row],[Team]]="Tom",Table1[[#This Row],[Difference Vs. S&amp;P Return]],"")</f>
        <v/>
      </c>
      <c r="U245" s="14">
        <f>ROUND((1+Table1[[#This Row],[Return (keep sorted by this column!)]])/(1+Table1[[#This Row],[S&amp;P Return, same period]])-1,1)</f>
        <v>-0.5</v>
      </c>
      <c r="V245" s="15">
        <f>IF(Table1[[#This Row],[Team]]="David",Table1[[#This Row],[Improvement Vs. S&amp;P Return]],"")</f>
        <v>-0.5</v>
      </c>
      <c r="W245" s="15" t="str">
        <f>IF(Table1[[#This Row],[Team]]="Tom",Table1[[#This Row],[Improvement Vs. S&amp;P Return]],"")</f>
        <v/>
      </c>
    </row>
    <row r="246" spans="1:23" ht="45" x14ac:dyDescent="0.2">
      <c r="A246" s="1">
        <v>37876</v>
      </c>
      <c r="B246" s="2" t="s">
        <v>707</v>
      </c>
      <c r="C246" s="2">
        <f>SUBTOTAL(103,Table1[[#This Row],[Recommendation Date]])</f>
        <v>1</v>
      </c>
      <c r="D246" s="2">
        <f>1</f>
        <v>1</v>
      </c>
      <c r="E246" s="16" t="s">
        <v>702</v>
      </c>
      <c r="F246" s="3" t="s">
        <v>252</v>
      </c>
      <c r="G246" s="3" t="s">
        <v>8</v>
      </c>
      <c r="H246" s="17"/>
      <c r="I246" s="4">
        <v>21</v>
      </c>
      <c r="J246" s="5">
        <v>0.16900000000000001</v>
      </c>
      <c r="K246" s="48">
        <f>ROUND(LOG10(Table1[[#This Row],[Return (keep sorted by this column!)]]+1),2)</f>
        <v>7.0000000000000007E-2</v>
      </c>
      <c r="L246" s="48">
        <f>COUNTIF(Table1[Return (keep sorted by this column!)],"&lt;"&amp;Table1[[#This Row],[Return (keep sorted by this column!)]])</f>
        <v>189</v>
      </c>
      <c r="M246" s="14" t="str">
        <f>IF(Table1[[#This Row],[Team]]="David",Table1[[#This Row],[Return (keep sorted by this column!)]],"")</f>
        <v/>
      </c>
      <c r="N246" s="14">
        <f>IF(Table1[[#This Row],[Team]]="Tom",Table1[[#This Row],[Return (keep sorted by this column!)]],"")</f>
        <v>0.16900000000000001</v>
      </c>
      <c r="O246" s="5">
        <v>0.59799999999999998</v>
      </c>
      <c r="P246" s="23" t="str">
        <f>IF(Table1[[#This Row],[Team]]="David",Table1[[#This Row],[S&amp;P Return, same period]],"")</f>
        <v/>
      </c>
      <c r="Q246" s="23">
        <f>IF(Table1[[#This Row],[Team]]="Tom",Table1[[#This Row],[S&amp;P Return, same period]],"")</f>
        <v>0.59799999999999998</v>
      </c>
      <c r="R246" s="5">
        <v>-0.42899999999999999</v>
      </c>
      <c r="S246" s="14" t="str">
        <f>IF(Table1[[#This Row],[Team]]="David",Table1[[#This Row],[Difference Vs. S&amp;P Return]],"")</f>
        <v/>
      </c>
      <c r="T246" s="14">
        <f>IF(Table1[[#This Row],[Team]]="Tom",Table1[[#This Row],[Difference Vs. S&amp;P Return]],"")</f>
        <v>-0.42899999999999999</v>
      </c>
      <c r="U246" s="14">
        <f>ROUND((1+Table1[[#This Row],[Return (keep sorted by this column!)]])/(1+Table1[[#This Row],[S&amp;P Return, same period]])-1,1)</f>
        <v>-0.3</v>
      </c>
      <c r="V246" s="15" t="str">
        <f>IF(Table1[[#This Row],[Team]]="David",Table1[[#This Row],[Improvement Vs. S&amp;P Return]],"")</f>
        <v/>
      </c>
      <c r="W246" s="15">
        <f>IF(Table1[[#This Row],[Team]]="Tom",Table1[[#This Row],[Improvement Vs. S&amp;P Return]],"")</f>
        <v>-0.3</v>
      </c>
    </row>
    <row r="247" spans="1:23" ht="60" x14ac:dyDescent="0.2">
      <c r="A247" s="1">
        <v>40319</v>
      </c>
      <c r="B247" s="2" t="s">
        <v>465</v>
      </c>
      <c r="C247" s="2">
        <f>SUBTOTAL(103,Table1[[#This Row],[Recommendation Date]])</f>
        <v>1</v>
      </c>
      <c r="D247" s="2">
        <f>1</f>
        <v>1</v>
      </c>
      <c r="E247" s="16" t="s">
        <v>466</v>
      </c>
      <c r="F247" s="3" t="s">
        <v>252</v>
      </c>
      <c r="G247" s="3" t="s">
        <v>8</v>
      </c>
      <c r="H247" s="17"/>
      <c r="I247" s="4">
        <v>34.869999999999997</v>
      </c>
      <c r="J247" s="5">
        <v>0.16800000000000001</v>
      </c>
      <c r="K247" s="48">
        <f>ROUND(LOG10(Table1[[#This Row],[Return (keep sorted by this column!)]]+1),2)</f>
        <v>7.0000000000000007E-2</v>
      </c>
      <c r="L247" s="48">
        <f>COUNTIF(Table1[Return (keep sorted by this column!)],"&lt;"&amp;Table1[[#This Row],[Return (keep sorted by this column!)]])</f>
        <v>188</v>
      </c>
      <c r="M247" s="76" t="str">
        <f>IF(Table1[[#This Row],[Team]]="David",Table1[[#This Row],[Return (keep sorted by this column!)]],"")</f>
        <v/>
      </c>
      <c r="N247" s="76">
        <f>IF(Table1[[#This Row],[Team]]="Tom",Table1[[#This Row],[Return (keep sorted by this column!)]],"")</f>
        <v>0.16800000000000001</v>
      </c>
      <c r="O247" s="5">
        <v>1.0940000000000001</v>
      </c>
      <c r="P247" s="68" t="str">
        <f>IF(Table1[[#This Row],[Team]]="David",Table1[[#This Row],[S&amp;P Return, same period]],"")</f>
        <v/>
      </c>
      <c r="Q247" s="68">
        <f>IF(Table1[[#This Row],[Team]]="Tom",Table1[[#This Row],[S&amp;P Return, same period]],"")</f>
        <v>1.0940000000000001</v>
      </c>
      <c r="R247" s="5">
        <v>-0.92600000000000005</v>
      </c>
      <c r="S247" s="14" t="str">
        <f>IF(Table1[[#This Row],[Team]]="David",Table1[[#This Row],[Difference Vs. S&amp;P Return]],"")</f>
        <v/>
      </c>
      <c r="T247" s="14">
        <f>IF(Table1[[#This Row],[Team]]="Tom",Table1[[#This Row],[Difference Vs. S&amp;P Return]],"")</f>
        <v>-0.92600000000000005</v>
      </c>
      <c r="U247" s="14">
        <f>ROUND((1+Table1[[#This Row],[Return (keep sorted by this column!)]])/(1+Table1[[#This Row],[S&amp;P Return, same period]])-1,1)</f>
        <v>-0.4</v>
      </c>
      <c r="V247" s="15" t="str">
        <f>IF(Table1[[#This Row],[Team]]="David",Table1[[#This Row],[Improvement Vs. S&amp;P Return]],"")</f>
        <v/>
      </c>
      <c r="W247" s="15">
        <f>IF(Table1[[#This Row],[Team]]="Tom",Table1[[#This Row],[Improvement Vs. S&amp;P Return]],"")</f>
        <v>-0.4</v>
      </c>
    </row>
    <row r="248" spans="1:23" ht="45" x14ac:dyDescent="0.2">
      <c r="A248" s="1">
        <v>37449</v>
      </c>
      <c r="B248" s="2" t="s">
        <v>733</v>
      </c>
      <c r="C248" s="2">
        <f>SUBTOTAL(103,Table1[[#This Row],[Recommendation Date]])</f>
        <v>1</v>
      </c>
      <c r="D248" s="2">
        <f>1</f>
        <v>1</v>
      </c>
      <c r="E248" s="16" t="s">
        <v>734</v>
      </c>
      <c r="F248" s="3" t="s">
        <v>252</v>
      </c>
      <c r="G248" s="3" t="s">
        <v>12</v>
      </c>
      <c r="H248" s="17"/>
      <c r="I248" s="4">
        <v>37.979999999999997</v>
      </c>
      <c r="J248" s="5">
        <v>0.153</v>
      </c>
      <c r="K248" s="48">
        <f>ROUND(LOG10(Table1[[#This Row],[Return (keep sorted by this column!)]]+1),2)</f>
        <v>0.06</v>
      </c>
      <c r="L248" s="48">
        <f>COUNTIF(Table1[Return (keep sorted by this column!)],"&lt;"&amp;Table1[[#This Row],[Return (keep sorted by this column!)]])</f>
        <v>187</v>
      </c>
      <c r="M248" s="14">
        <f>IF(Table1[[#This Row],[Team]]="David",Table1[[#This Row],[Return (keep sorted by this column!)]],"")</f>
        <v>0.153</v>
      </c>
      <c r="N248" s="14" t="str">
        <f>IF(Table1[[#This Row],[Team]]="Tom",Table1[[#This Row],[Return (keep sorted by this column!)]],"")</f>
        <v/>
      </c>
      <c r="O248" s="5">
        <v>0.59599999999999997</v>
      </c>
      <c r="P248" s="23">
        <f>IF(Table1[[#This Row],[Team]]="David",Table1[[#This Row],[S&amp;P Return, same period]],"")</f>
        <v>0.59599999999999997</v>
      </c>
      <c r="Q248" s="23" t="str">
        <f>IF(Table1[[#This Row],[Team]]="Tom",Table1[[#This Row],[S&amp;P Return, same period]],"")</f>
        <v/>
      </c>
      <c r="R248" s="5">
        <v>-0.443</v>
      </c>
      <c r="S248" s="14">
        <f>IF(Table1[[#This Row],[Team]]="David",Table1[[#This Row],[Difference Vs. S&amp;P Return]],"")</f>
        <v>-0.443</v>
      </c>
      <c r="T248" s="14" t="str">
        <f>IF(Table1[[#This Row],[Team]]="Tom",Table1[[#This Row],[Difference Vs. S&amp;P Return]],"")</f>
        <v/>
      </c>
      <c r="U248" s="14">
        <f>ROUND((1+Table1[[#This Row],[Return (keep sorted by this column!)]])/(1+Table1[[#This Row],[S&amp;P Return, same period]])-1,1)</f>
        <v>-0.3</v>
      </c>
      <c r="V248" s="15">
        <f>IF(Table1[[#This Row],[Team]]="David",Table1[[#This Row],[Improvement Vs. S&amp;P Return]],"")</f>
        <v>-0.3</v>
      </c>
      <c r="W248" s="15" t="str">
        <f>IF(Table1[[#This Row],[Team]]="Tom",Table1[[#This Row],[Improvement Vs. S&amp;P Return]],"")</f>
        <v/>
      </c>
    </row>
    <row r="249" spans="1:23" ht="17" x14ac:dyDescent="0.2">
      <c r="A249" s="18">
        <v>42265</v>
      </c>
      <c r="B249" s="2" t="s">
        <v>245</v>
      </c>
      <c r="C249" s="2">
        <f>SUBTOTAL(103,Table1[[#This Row],[Recommendation Date]])</f>
        <v>1</v>
      </c>
      <c r="D249" s="2">
        <f>1</f>
        <v>1</v>
      </c>
      <c r="E249" s="16" t="s">
        <v>246</v>
      </c>
      <c r="F249" s="3" t="s">
        <v>247</v>
      </c>
      <c r="G249" s="3" t="s">
        <v>12</v>
      </c>
      <c r="H249" s="16">
        <v>7</v>
      </c>
      <c r="I249" s="4">
        <v>51.68</v>
      </c>
      <c r="J249" s="5">
        <v>0.15</v>
      </c>
      <c r="K249" s="48">
        <f>ROUND(LOG10(Table1[[#This Row],[Return (keep sorted by this column!)]]+1),2)</f>
        <v>0.06</v>
      </c>
      <c r="L249" s="48">
        <f>COUNTIF(Table1[Return (keep sorted by this column!)],"&lt;"&amp;Table1[[#This Row],[Return (keep sorted by this column!)]])</f>
        <v>186</v>
      </c>
      <c r="M249" s="76">
        <f>IF(Table1[[#This Row],[Team]]="David",Table1[[#This Row],[Return (keep sorted by this column!)]],"")</f>
        <v>0.15</v>
      </c>
      <c r="N249" s="76" t="str">
        <f>IF(Table1[[#This Row],[Team]]="Tom",Table1[[#This Row],[Return (keep sorted by this column!)]],"")</f>
        <v/>
      </c>
      <c r="O249" s="5">
        <v>0.53700000000000003</v>
      </c>
      <c r="P249" s="68">
        <f>IF(Table1[[#This Row],[Team]]="David",Table1[[#This Row],[S&amp;P Return, same period]],"")</f>
        <v>0.53700000000000003</v>
      </c>
      <c r="Q249" s="68" t="str">
        <f>IF(Table1[[#This Row],[Team]]="Tom",Table1[[#This Row],[S&amp;P Return, same period]],"")</f>
        <v/>
      </c>
      <c r="R249" s="5">
        <v>-0.38600000000000001</v>
      </c>
      <c r="S249" s="14">
        <f>IF(Table1[[#This Row],[Team]]="David",Table1[[#This Row],[Difference Vs. S&amp;P Return]],"")</f>
        <v>-0.38600000000000001</v>
      </c>
      <c r="T249" s="14" t="str">
        <f>IF(Table1[[#This Row],[Team]]="Tom",Table1[[#This Row],[Difference Vs. S&amp;P Return]],"")</f>
        <v/>
      </c>
      <c r="U249" s="14">
        <f>ROUND((1+Table1[[#This Row],[Return (keep sorted by this column!)]])/(1+Table1[[#This Row],[S&amp;P Return, same period]])-1,1)</f>
        <v>-0.3</v>
      </c>
      <c r="V249" s="15">
        <f>IF(Table1[[#This Row],[Team]]="David",Table1[[#This Row],[Improvement Vs. S&amp;P Return]],"")</f>
        <v>-0.3</v>
      </c>
      <c r="W249" s="15" t="str">
        <f>IF(Table1[[#This Row],[Team]]="Tom",Table1[[#This Row],[Improvement Vs. S&amp;P Return]],"")</f>
        <v/>
      </c>
    </row>
    <row r="250" spans="1:23" ht="45" x14ac:dyDescent="0.2">
      <c r="A250" s="1">
        <v>41173</v>
      </c>
      <c r="B250" s="2" t="s">
        <v>369</v>
      </c>
      <c r="C250" s="2">
        <f>SUBTOTAL(103,Table1[[#This Row],[Recommendation Date]])</f>
        <v>1</v>
      </c>
      <c r="D250" s="2">
        <f>1</f>
        <v>1</v>
      </c>
      <c r="E250" s="16" t="s">
        <v>370</v>
      </c>
      <c r="F250" s="3" t="s">
        <v>252</v>
      </c>
      <c r="G250" s="3" t="s">
        <v>8</v>
      </c>
      <c r="H250" s="17"/>
      <c r="I250" s="4">
        <v>37.520000000000003</v>
      </c>
      <c r="J250" s="5">
        <v>0.14599999999999999</v>
      </c>
      <c r="K250" s="48">
        <f>ROUND(LOG10(Table1[[#This Row],[Return (keep sorted by this column!)]]+1),2)</f>
        <v>0.06</v>
      </c>
      <c r="L250" s="48">
        <f>COUNTIF(Table1[Return (keep sorted by this column!)],"&lt;"&amp;Table1[[#This Row],[Return (keep sorted by this column!)]])</f>
        <v>185</v>
      </c>
      <c r="M250" s="76" t="str">
        <f>IF(Table1[[#This Row],[Team]]="David",Table1[[#This Row],[Return (keep sorted by this column!)]],"")</f>
        <v/>
      </c>
      <c r="N250" s="76">
        <f>IF(Table1[[#This Row],[Team]]="Tom",Table1[[#This Row],[Return (keep sorted by this column!)]],"")</f>
        <v>0.14599999999999999</v>
      </c>
      <c r="O250" s="5">
        <v>0.76500000000000001</v>
      </c>
      <c r="P250" s="68" t="str">
        <f>IF(Table1[[#This Row],[Team]]="David",Table1[[#This Row],[S&amp;P Return, same period]],"")</f>
        <v/>
      </c>
      <c r="Q250" s="68">
        <f>IF(Table1[[#This Row],[Team]]="Tom",Table1[[#This Row],[S&amp;P Return, same period]],"")</f>
        <v>0.76500000000000001</v>
      </c>
      <c r="R250" s="5">
        <v>-0.61899999999999999</v>
      </c>
      <c r="S250" s="14" t="str">
        <f>IF(Table1[[#This Row],[Team]]="David",Table1[[#This Row],[Difference Vs. S&amp;P Return]],"")</f>
        <v/>
      </c>
      <c r="T250" s="14">
        <f>IF(Table1[[#This Row],[Team]]="Tom",Table1[[#This Row],[Difference Vs. S&amp;P Return]],"")</f>
        <v>-0.61899999999999999</v>
      </c>
      <c r="U250" s="14">
        <f>ROUND((1+Table1[[#This Row],[Return (keep sorted by this column!)]])/(1+Table1[[#This Row],[S&amp;P Return, same period]])-1,1)</f>
        <v>-0.4</v>
      </c>
      <c r="V250" s="15" t="str">
        <f>IF(Table1[[#This Row],[Team]]="David",Table1[[#This Row],[Improvement Vs. S&amp;P Return]],"")</f>
        <v/>
      </c>
      <c r="W250" s="15">
        <f>IF(Table1[[#This Row],[Team]]="Tom",Table1[[#This Row],[Improvement Vs. S&amp;P Return]],"")</f>
        <v>-0.4</v>
      </c>
    </row>
    <row r="251" spans="1:23" ht="17" x14ac:dyDescent="0.2">
      <c r="A251" s="18">
        <v>43468</v>
      </c>
      <c r="B251" s="2" t="s">
        <v>69</v>
      </c>
      <c r="C251" s="2">
        <f>SUBTOTAL(103,Table1[[#This Row],[Recommendation Date]])</f>
        <v>1</v>
      </c>
      <c r="D251" s="2">
        <f>1</f>
        <v>1</v>
      </c>
      <c r="E251" s="16" t="s">
        <v>70</v>
      </c>
      <c r="F251" s="3" t="s">
        <v>71</v>
      </c>
      <c r="G251" s="3" t="s">
        <v>8</v>
      </c>
      <c r="H251" s="17"/>
      <c r="I251" s="4">
        <v>81.25</v>
      </c>
      <c r="J251" s="5">
        <v>0.14499999999999999</v>
      </c>
      <c r="K251" s="48">
        <f>ROUND(LOG10(Table1[[#This Row],[Return (keep sorted by this column!)]]+1),2)</f>
        <v>0.06</v>
      </c>
      <c r="L251" s="48">
        <f>COUNTIF(Table1[Return (keep sorted by this column!)],"&lt;"&amp;Table1[[#This Row],[Return (keep sorted by this column!)]])</f>
        <v>184</v>
      </c>
      <c r="M251" s="76" t="str">
        <f>IF(Table1[[#This Row],[Team]]="David",Table1[[#This Row],[Return (keep sorted by this column!)]],"")</f>
        <v/>
      </c>
      <c r="N251" s="76">
        <f>IF(Table1[[#This Row],[Team]]="Tom",Table1[[#This Row],[Return (keep sorted by this column!)]],"")</f>
        <v>0.14499999999999999</v>
      </c>
      <c r="O251" s="5">
        <v>0.14899999999999999</v>
      </c>
      <c r="P251" s="68" t="str">
        <f>IF(Table1[[#This Row],[Team]]="David",Table1[[#This Row],[S&amp;P Return, same period]],"")</f>
        <v/>
      </c>
      <c r="Q251" s="68">
        <f>IF(Table1[[#This Row],[Team]]="Tom",Table1[[#This Row],[S&amp;P Return, same period]],"")</f>
        <v>0.14899999999999999</v>
      </c>
      <c r="R251" s="5">
        <v>-3.0000000000000001E-3</v>
      </c>
      <c r="S251" s="14" t="str">
        <f>IF(Table1[[#This Row],[Team]]="David",Table1[[#This Row],[Difference Vs. S&amp;P Return]],"")</f>
        <v/>
      </c>
      <c r="T251" s="14">
        <f>IF(Table1[[#This Row],[Team]]="Tom",Table1[[#This Row],[Difference Vs. S&amp;P Return]],"")</f>
        <v>-3.0000000000000001E-3</v>
      </c>
      <c r="U251" s="14">
        <f>ROUND((1+Table1[[#This Row],[Return (keep sorted by this column!)]])/(1+Table1[[#This Row],[S&amp;P Return, same period]])-1,1)</f>
        <v>0</v>
      </c>
      <c r="V251" s="15" t="str">
        <f>IF(Table1[[#This Row],[Team]]="David",Table1[[#This Row],[Improvement Vs. S&amp;P Return]],"")</f>
        <v/>
      </c>
      <c r="W251" s="15">
        <f>IF(Table1[[#This Row],[Team]]="Tom",Table1[[#This Row],[Improvement Vs. S&amp;P Return]],"")</f>
        <v>0</v>
      </c>
    </row>
    <row r="252" spans="1:23" ht="45" x14ac:dyDescent="0.2">
      <c r="A252" s="18">
        <v>40347</v>
      </c>
      <c r="B252" s="2" t="s">
        <v>458</v>
      </c>
      <c r="C252" s="2">
        <f>SUBTOTAL(103,Table1[[#This Row],[Recommendation Date]])</f>
        <v>1</v>
      </c>
      <c r="D252" s="2">
        <f>1</f>
        <v>1</v>
      </c>
      <c r="E252" s="16" t="s">
        <v>459</v>
      </c>
      <c r="F252" s="3" t="s">
        <v>460</v>
      </c>
      <c r="G252" s="3" t="s">
        <v>8</v>
      </c>
      <c r="H252" s="17"/>
      <c r="I252" s="3" t="s">
        <v>268</v>
      </c>
      <c r="J252" s="5">
        <v>0.14399999999999999</v>
      </c>
      <c r="K252" s="48">
        <f>ROUND(LOG10(Table1[[#This Row],[Return (keep sorted by this column!)]]+1),2)</f>
        <v>0.06</v>
      </c>
      <c r="L252" s="48">
        <f>COUNTIF(Table1[Return (keep sorted by this column!)],"&lt;"&amp;Table1[[#This Row],[Return (keep sorted by this column!)]])</f>
        <v>183</v>
      </c>
      <c r="M252" s="76" t="str">
        <f>IF(Table1[[#This Row],[Team]]="David",Table1[[#This Row],[Return (keep sorted by this column!)]],"")</f>
        <v/>
      </c>
      <c r="N252" s="76">
        <f>IF(Table1[[#This Row],[Team]]="Tom",Table1[[#This Row],[Return (keep sorted by this column!)]],"")</f>
        <v>0.14399999999999999</v>
      </c>
      <c r="O252" s="5">
        <v>1.8280000000000001</v>
      </c>
      <c r="P252" s="68" t="str">
        <f>IF(Table1[[#This Row],[Team]]="David",Table1[[#This Row],[S&amp;P Return, same period]],"")</f>
        <v/>
      </c>
      <c r="Q252" s="68">
        <f>IF(Table1[[#This Row],[Team]]="Tom",Table1[[#This Row],[S&amp;P Return, same period]],"")</f>
        <v>1.8280000000000001</v>
      </c>
      <c r="R252" s="5">
        <v>-1.6830000000000001</v>
      </c>
      <c r="S252" s="14" t="str">
        <f>IF(Table1[[#This Row],[Team]]="David",Table1[[#This Row],[Difference Vs. S&amp;P Return]],"")</f>
        <v/>
      </c>
      <c r="T252" s="14">
        <f>IF(Table1[[#This Row],[Team]]="Tom",Table1[[#This Row],[Difference Vs. S&amp;P Return]],"")</f>
        <v>-1.6830000000000001</v>
      </c>
      <c r="U252" s="14">
        <f>ROUND((1+Table1[[#This Row],[Return (keep sorted by this column!)]])/(1+Table1[[#This Row],[S&amp;P Return, same period]])-1,1)</f>
        <v>-0.6</v>
      </c>
      <c r="V252" s="15" t="str">
        <f>IF(Table1[[#This Row],[Team]]="David",Table1[[#This Row],[Improvement Vs. S&amp;P Return]],"")</f>
        <v/>
      </c>
      <c r="W252" s="15">
        <f>IF(Table1[[#This Row],[Team]]="Tom",Table1[[#This Row],[Improvement Vs. S&amp;P Return]],"")</f>
        <v>-0.6</v>
      </c>
    </row>
    <row r="253" spans="1:23" ht="17" x14ac:dyDescent="0.2">
      <c r="A253" s="18">
        <v>43405</v>
      </c>
      <c r="B253" s="2" t="s">
        <v>88</v>
      </c>
      <c r="C253" s="2">
        <f>SUBTOTAL(103,Table1[[#This Row],[Recommendation Date]])</f>
        <v>1</v>
      </c>
      <c r="D253" s="2">
        <f>1</f>
        <v>1</v>
      </c>
      <c r="E253" s="16" t="s">
        <v>89</v>
      </c>
      <c r="F253" s="3" t="s">
        <v>27</v>
      </c>
      <c r="G253" s="3" t="s">
        <v>8</v>
      </c>
      <c r="H253" s="17"/>
      <c r="I253" s="4">
        <v>38.96</v>
      </c>
      <c r="J253" s="5">
        <v>0.128</v>
      </c>
      <c r="K253" s="48">
        <f>ROUND(LOG10(Table1[[#This Row],[Return (keep sorted by this column!)]]+1),2)</f>
        <v>0.05</v>
      </c>
      <c r="L253" s="48">
        <f>COUNTIF(Table1[Return (keep sorted by this column!)],"&lt;"&amp;Table1[[#This Row],[Return (keep sorted by this column!)]])</f>
        <v>182</v>
      </c>
      <c r="M253" s="76" t="str">
        <f>IF(Table1[[#This Row],[Team]]="David",Table1[[#This Row],[Return (keep sorted by this column!)]],"")</f>
        <v/>
      </c>
      <c r="N253" s="76">
        <f>IF(Table1[[#This Row],[Team]]="Tom",Table1[[#This Row],[Return (keep sorted by this column!)]],"")</f>
        <v>0.128</v>
      </c>
      <c r="O253" s="5">
        <v>0.03</v>
      </c>
      <c r="P253" s="68" t="str">
        <f>IF(Table1[[#This Row],[Team]]="David",Table1[[#This Row],[S&amp;P Return, same period]],"")</f>
        <v/>
      </c>
      <c r="Q253" s="68">
        <f>IF(Table1[[#This Row],[Team]]="Tom",Table1[[#This Row],[S&amp;P Return, same period]],"")</f>
        <v>0.03</v>
      </c>
      <c r="R253" s="5">
        <v>9.7000000000000003E-2</v>
      </c>
      <c r="S253" s="14" t="str">
        <f>IF(Table1[[#This Row],[Team]]="David",Table1[[#This Row],[Difference Vs. S&amp;P Return]],"")</f>
        <v/>
      </c>
      <c r="T253" s="14">
        <f>IF(Table1[[#This Row],[Team]]="Tom",Table1[[#This Row],[Difference Vs. S&amp;P Return]],"")</f>
        <v>9.7000000000000003E-2</v>
      </c>
      <c r="U253" s="14">
        <f>ROUND((1+Table1[[#This Row],[Return (keep sorted by this column!)]])/(1+Table1[[#This Row],[S&amp;P Return, same period]])-1,1)</f>
        <v>0.1</v>
      </c>
      <c r="V253" s="15" t="str">
        <f>IF(Table1[[#This Row],[Team]]="David",Table1[[#This Row],[Improvement Vs. S&amp;P Return]],"")</f>
        <v/>
      </c>
      <c r="W253" s="15">
        <f>IF(Table1[[#This Row],[Team]]="Tom",Table1[[#This Row],[Improvement Vs. S&amp;P Return]],"")</f>
        <v>0.1</v>
      </c>
    </row>
    <row r="254" spans="1:23" ht="45" x14ac:dyDescent="0.2">
      <c r="A254" s="1">
        <v>37967</v>
      </c>
      <c r="B254" s="2" t="s">
        <v>698</v>
      </c>
      <c r="C254" s="2">
        <f>SUBTOTAL(103,Table1[[#This Row],[Recommendation Date]])</f>
        <v>1</v>
      </c>
      <c r="D254" s="2">
        <f>1</f>
        <v>1</v>
      </c>
      <c r="E254" s="16" t="s">
        <v>699</v>
      </c>
      <c r="F254" s="3" t="s">
        <v>700</v>
      </c>
      <c r="G254" s="3" t="s">
        <v>8</v>
      </c>
      <c r="H254" s="17"/>
      <c r="I254" s="4">
        <v>10.32</v>
      </c>
      <c r="J254" s="5">
        <v>0.126</v>
      </c>
      <c r="K254" s="48">
        <f>ROUND(LOG10(Table1[[#This Row],[Return (keep sorted by this column!)]]+1),2)</f>
        <v>0.05</v>
      </c>
      <c r="L254" s="48">
        <f>COUNTIF(Table1[Return (keep sorted by this column!)],"&lt;"&amp;Table1[[#This Row],[Return (keep sorted by this column!)]])</f>
        <v>181</v>
      </c>
      <c r="M254" s="14" t="str">
        <f>IF(Table1[[#This Row],[Team]]="David",Table1[[#This Row],[Return (keep sorted by this column!)]],"")</f>
        <v/>
      </c>
      <c r="N254" s="14">
        <f>IF(Table1[[#This Row],[Team]]="Tom",Table1[[#This Row],[Return (keep sorted by this column!)]],"")</f>
        <v>0.126</v>
      </c>
      <c r="O254" s="5">
        <v>0.13500000000000001</v>
      </c>
      <c r="P254" s="23" t="str">
        <f>IF(Table1[[#This Row],[Team]]="David",Table1[[#This Row],[S&amp;P Return, same period]],"")</f>
        <v/>
      </c>
      <c r="Q254" s="23">
        <f>IF(Table1[[#This Row],[Team]]="Tom",Table1[[#This Row],[S&amp;P Return, same period]],"")</f>
        <v>0.13500000000000001</v>
      </c>
      <c r="R254" s="5">
        <v>-8.9999999999999993E-3</v>
      </c>
      <c r="S254" s="14" t="str">
        <f>IF(Table1[[#This Row],[Team]]="David",Table1[[#This Row],[Difference Vs. S&amp;P Return]],"")</f>
        <v/>
      </c>
      <c r="T254" s="14">
        <f>IF(Table1[[#This Row],[Team]]="Tom",Table1[[#This Row],[Difference Vs. S&amp;P Return]],"")</f>
        <v>-8.9999999999999993E-3</v>
      </c>
      <c r="U254" s="14">
        <f>ROUND((1+Table1[[#This Row],[Return (keep sorted by this column!)]])/(1+Table1[[#This Row],[S&amp;P Return, same period]])-1,1)</f>
        <v>0</v>
      </c>
      <c r="V254" s="15" t="str">
        <f>IF(Table1[[#This Row],[Team]]="David",Table1[[#This Row],[Improvement Vs. S&amp;P Return]],"")</f>
        <v/>
      </c>
      <c r="W254" s="15">
        <f>IF(Table1[[#This Row],[Team]]="Tom",Table1[[#This Row],[Improvement Vs. S&amp;P Return]],"")</f>
        <v>0</v>
      </c>
    </row>
    <row r="255" spans="1:23" ht="30" x14ac:dyDescent="0.2">
      <c r="A255" s="18">
        <v>43776</v>
      </c>
      <c r="B255" s="2" t="s">
        <v>31</v>
      </c>
      <c r="C255" s="2">
        <f>SUBTOTAL(103,Table1[[#This Row],[Recommendation Date]])</f>
        <v>1</v>
      </c>
      <c r="D255" s="2">
        <f>1</f>
        <v>1</v>
      </c>
      <c r="E255" s="16" t="s">
        <v>32</v>
      </c>
      <c r="F255" s="3" t="s">
        <v>33</v>
      </c>
      <c r="G255" s="3" t="s">
        <v>8</v>
      </c>
      <c r="H255" s="17"/>
      <c r="I255" s="4">
        <v>192.75</v>
      </c>
      <c r="J255" s="5">
        <v>0.123</v>
      </c>
      <c r="K255" s="48">
        <f>ROUND(LOG10(Table1[[#This Row],[Return (keep sorted by this column!)]]+1),2)</f>
        <v>0.05</v>
      </c>
      <c r="L255" s="48">
        <f>COUNTIF(Table1[Return (keep sorted by this column!)],"&lt;"&amp;Table1[[#This Row],[Return (keep sorted by this column!)]])</f>
        <v>180</v>
      </c>
      <c r="M255" s="76" t="str">
        <f>IF(Table1[[#This Row],[Team]]="David",Table1[[#This Row],[Return (keep sorted by this column!)]],"")</f>
        <v/>
      </c>
      <c r="N255" s="76">
        <f>IF(Table1[[#This Row],[Team]]="Tom",Table1[[#This Row],[Return (keep sorted by this column!)]],"")</f>
        <v>0.123</v>
      </c>
      <c r="O255" s="5">
        <v>-0.104</v>
      </c>
      <c r="P255" s="68" t="str">
        <f>IF(Table1[[#This Row],[Team]]="David",Table1[[#This Row],[S&amp;P Return, same period]],"")</f>
        <v/>
      </c>
      <c r="Q255" s="68">
        <f>IF(Table1[[#This Row],[Team]]="Tom",Table1[[#This Row],[S&amp;P Return, same period]],"")</f>
        <v>-0.104</v>
      </c>
      <c r="R255" s="5">
        <v>0.22700000000000001</v>
      </c>
      <c r="S255" s="14" t="str">
        <f>IF(Table1[[#This Row],[Team]]="David",Table1[[#This Row],[Difference Vs. S&amp;P Return]],"")</f>
        <v/>
      </c>
      <c r="T255" s="14">
        <f>IF(Table1[[#This Row],[Team]]="Tom",Table1[[#This Row],[Difference Vs. S&amp;P Return]],"")</f>
        <v>0.22700000000000001</v>
      </c>
      <c r="U255" s="14">
        <f>ROUND((1+Table1[[#This Row],[Return (keep sorted by this column!)]])/(1+Table1[[#This Row],[S&amp;P Return, same period]])-1,1)</f>
        <v>0.3</v>
      </c>
      <c r="V255" s="15" t="str">
        <f>IF(Table1[[#This Row],[Team]]="David",Table1[[#This Row],[Improvement Vs. S&amp;P Return]],"")</f>
        <v/>
      </c>
      <c r="W255" s="15">
        <f>IF(Table1[[#This Row],[Team]]="Tom",Table1[[#This Row],[Improvement Vs. S&amp;P Return]],"")</f>
        <v>0.3</v>
      </c>
    </row>
    <row r="256" spans="1:23" ht="17" x14ac:dyDescent="0.2">
      <c r="A256" s="18">
        <v>43272</v>
      </c>
      <c r="B256" s="2" t="s">
        <v>107</v>
      </c>
      <c r="C256" s="2">
        <f>SUBTOTAL(103,Table1[[#This Row],[Recommendation Date]])</f>
        <v>1</v>
      </c>
      <c r="D256" s="2">
        <f>1</f>
        <v>1</v>
      </c>
      <c r="E256" s="16" t="s">
        <v>108</v>
      </c>
      <c r="F256" s="3" t="s">
        <v>109</v>
      </c>
      <c r="G256" s="3" t="s">
        <v>12</v>
      </c>
      <c r="H256" s="16">
        <v>9</v>
      </c>
      <c r="I256" s="4">
        <v>176.78</v>
      </c>
      <c r="J256" s="5">
        <v>0.122</v>
      </c>
      <c r="K256" s="48">
        <f>ROUND(LOG10(Table1[[#This Row],[Return (keep sorted by this column!)]]+1),2)</f>
        <v>0.05</v>
      </c>
      <c r="L256" s="48">
        <f>COUNTIF(Table1[Return (keep sorted by this column!)],"&lt;"&amp;Table1[[#This Row],[Return (keep sorted by this column!)]])</f>
        <v>179</v>
      </c>
      <c r="M256" s="76">
        <f>IF(Table1[[#This Row],[Team]]="David",Table1[[#This Row],[Return (keep sorted by this column!)]],"")</f>
        <v>0.122</v>
      </c>
      <c r="N256" s="76" t="str">
        <f>IF(Table1[[#This Row],[Team]]="Tom",Table1[[#This Row],[Return (keep sorted by this column!)]],"")</f>
        <v/>
      </c>
      <c r="O256" s="5">
        <v>3.3000000000000002E-2</v>
      </c>
      <c r="P256" s="68">
        <f>IF(Table1[[#This Row],[Team]]="David",Table1[[#This Row],[S&amp;P Return, same period]],"")</f>
        <v>3.3000000000000002E-2</v>
      </c>
      <c r="Q256" s="68" t="str">
        <f>IF(Table1[[#This Row],[Team]]="Tom",Table1[[#This Row],[S&amp;P Return, same period]],"")</f>
        <v/>
      </c>
      <c r="R256" s="5">
        <v>8.8999999999999996E-2</v>
      </c>
      <c r="S256" s="14">
        <f>IF(Table1[[#This Row],[Team]]="David",Table1[[#This Row],[Difference Vs. S&amp;P Return]],"")</f>
        <v>8.8999999999999996E-2</v>
      </c>
      <c r="T256" s="14" t="str">
        <f>IF(Table1[[#This Row],[Team]]="Tom",Table1[[#This Row],[Difference Vs. S&amp;P Return]],"")</f>
        <v/>
      </c>
      <c r="U256" s="14">
        <f>ROUND((1+Table1[[#This Row],[Return (keep sorted by this column!)]])/(1+Table1[[#This Row],[S&amp;P Return, same period]])-1,1)</f>
        <v>0.1</v>
      </c>
      <c r="V256" s="15">
        <f>IF(Table1[[#This Row],[Team]]="David",Table1[[#This Row],[Improvement Vs. S&amp;P Return]],"")</f>
        <v>0.1</v>
      </c>
      <c r="W256" s="15" t="str">
        <f>IF(Table1[[#This Row],[Team]]="Tom",Table1[[#This Row],[Improvement Vs. S&amp;P Return]],"")</f>
        <v/>
      </c>
    </row>
    <row r="257" spans="1:23" ht="17" x14ac:dyDescent="0.2">
      <c r="A257" s="18">
        <v>43790</v>
      </c>
      <c r="B257" s="2" t="s">
        <v>28</v>
      </c>
      <c r="C257" s="2">
        <f>SUBTOTAL(103,Table1[[#This Row],[Recommendation Date]])</f>
        <v>1</v>
      </c>
      <c r="D257" s="2">
        <f>1</f>
        <v>1</v>
      </c>
      <c r="E257" s="16" t="s">
        <v>29</v>
      </c>
      <c r="F257" s="3" t="s">
        <v>30</v>
      </c>
      <c r="G257" s="3" t="s">
        <v>12</v>
      </c>
      <c r="H257" s="16">
        <v>12</v>
      </c>
      <c r="I257" s="4">
        <v>311.69</v>
      </c>
      <c r="J257" s="5">
        <v>0.112</v>
      </c>
      <c r="K257" s="48">
        <f>ROUND(LOG10(Table1[[#This Row],[Return (keep sorted by this column!)]]+1),2)</f>
        <v>0.05</v>
      </c>
      <c r="L257" s="48">
        <f>COUNTIF(Table1[Return (keep sorted by this column!)],"&lt;"&amp;Table1[[#This Row],[Return (keep sorted by this column!)]])</f>
        <v>178</v>
      </c>
      <c r="M257" s="76">
        <f>IF(Table1[[#This Row],[Team]]="David",Table1[[#This Row],[Return (keep sorted by this column!)]],"")</f>
        <v>0.112</v>
      </c>
      <c r="N257" s="76" t="str">
        <f>IF(Table1[[#This Row],[Team]]="Tom",Table1[[#This Row],[Return (keep sorted by this column!)]],"")</f>
        <v/>
      </c>
      <c r="O257" s="5">
        <v>-0.11</v>
      </c>
      <c r="P257" s="68">
        <f>IF(Table1[[#This Row],[Team]]="David",Table1[[#This Row],[S&amp;P Return, same period]],"")</f>
        <v>-0.11</v>
      </c>
      <c r="Q257" s="68" t="str">
        <f>IF(Table1[[#This Row],[Team]]="Tom",Table1[[#This Row],[S&amp;P Return, same period]],"")</f>
        <v/>
      </c>
      <c r="R257" s="5">
        <v>0.222</v>
      </c>
      <c r="S257" s="14">
        <f>IF(Table1[[#This Row],[Team]]="David",Table1[[#This Row],[Difference Vs. S&amp;P Return]],"")</f>
        <v>0.222</v>
      </c>
      <c r="T257" s="14" t="str">
        <f>IF(Table1[[#This Row],[Team]]="Tom",Table1[[#This Row],[Difference Vs. S&amp;P Return]],"")</f>
        <v/>
      </c>
      <c r="U257" s="14">
        <f>ROUND((1+Table1[[#This Row],[Return (keep sorted by this column!)]])/(1+Table1[[#This Row],[S&amp;P Return, same period]])-1,1)</f>
        <v>0.2</v>
      </c>
      <c r="V257" s="15">
        <f>IF(Table1[[#This Row],[Team]]="David",Table1[[#This Row],[Improvement Vs. S&amp;P Return]],"")</f>
        <v>0.2</v>
      </c>
      <c r="W257" s="15" t="str">
        <f>IF(Table1[[#This Row],[Team]]="Tom",Table1[[#This Row],[Improvement Vs. S&amp;P Return]],"")</f>
        <v/>
      </c>
    </row>
    <row r="258" spans="1:23" ht="17" x14ac:dyDescent="0.2">
      <c r="A258" s="18">
        <v>39066</v>
      </c>
      <c r="B258" s="2" t="s">
        <v>597</v>
      </c>
      <c r="C258" s="2">
        <f>SUBTOTAL(103,Table1[[#This Row],[Recommendation Date]])</f>
        <v>1</v>
      </c>
      <c r="D258" s="2">
        <f>1</f>
        <v>1</v>
      </c>
      <c r="E258" s="16" t="s">
        <v>598</v>
      </c>
      <c r="F258" s="3" t="s">
        <v>288</v>
      </c>
      <c r="G258" s="3" t="s">
        <v>12</v>
      </c>
      <c r="H258" s="16">
        <v>10</v>
      </c>
      <c r="I258" s="4">
        <v>104.1</v>
      </c>
      <c r="J258" s="5">
        <v>0.111</v>
      </c>
      <c r="K258" s="48">
        <f>ROUND(LOG10(Table1[[#This Row],[Return (keep sorted by this column!)]]+1),2)</f>
        <v>0.05</v>
      </c>
      <c r="L258" s="48">
        <f>COUNTIF(Table1[Return (keep sorted by this column!)],"&lt;"&amp;Table1[[#This Row],[Return (keep sorted by this column!)]])</f>
        <v>177</v>
      </c>
      <c r="M258" s="14">
        <f>IF(Table1[[#This Row],[Team]]="David",Table1[[#This Row],[Return (keep sorted by this column!)]],"")</f>
        <v>0.111</v>
      </c>
      <c r="N258" s="14" t="str">
        <f>IF(Table1[[#This Row],[Team]]="Tom",Table1[[#This Row],[Return (keep sorted by this column!)]],"")</f>
        <v/>
      </c>
      <c r="O258" s="5">
        <v>1.544</v>
      </c>
      <c r="P258" s="23">
        <f>IF(Table1[[#This Row],[Team]]="David",Table1[[#This Row],[S&amp;P Return, same period]],"")</f>
        <v>1.544</v>
      </c>
      <c r="Q258" s="23" t="str">
        <f>IF(Table1[[#This Row],[Team]]="Tom",Table1[[#This Row],[S&amp;P Return, same period]],"")</f>
        <v/>
      </c>
      <c r="R258" s="5">
        <v>-1.4319999999999999</v>
      </c>
      <c r="S258" s="14">
        <f>IF(Table1[[#This Row],[Team]]="David",Table1[[#This Row],[Difference Vs. S&amp;P Return]],"")</f>
        <v>-1.4319999999999999</v>
      </c>
      <c r="T258" s="14" t="str">
        <f>IF(Table1[[#This Row],[Team]]="Tom",Table1[[#This Row],[Difference Vs. S&amp;P Return]],"")</f>
        <v/>
      </c>
      <c r="U258" s="14">
        <f>ROUND((1+Table1[[#This Row],[Return (keep sorted by this column!)]])/(1+Table1[[#This Row],[S&amp;P Return, same period]])-1,1)</f>
        <v>-0.6</v>
      </c>
      <c r="V258" s="15">
        <f>IF(Table1[[#This Row],[Team]]="David",Table1[[#This Row],[Improvement Vs. S&amp;P Return]],"")</f>
        <v>-0.6</v>
      </c>
      <c r="W258" s="15" t="str">
        <f>IF(Table1[[#This Row],[Team]]="Tom",Table1[[#This Row],[Improvement Vs. S&amp;P Return]],"")</f>
        <v/>
      </c>
    </row>
    <row r="259" spans="1:23" ht="30" x14ac:dyDescent="0.2">
      <c r="A259" s="1">
        <v>38065</v>
      </c>
      <c r="B259" s="2" t="s">
        <v>687</v>
      </c>
      <c r="C259" s="2">
        <f>SUBTOTAL(103,Table1[[#This Row],[Recommendation Date]])</f>
        <v>1</v>
      </c>
      <c r="D259" s="2">
        <f>1</f>
        <v>1</v>
      </c>
      <c r="E259" s="16" t="s">
        <v>688</v>
      </c>
      <c r="F259" s="3" t="s">
        <v>689</v>
      </c>
      <c r="G259" s="3" t="s">
        <v>12</v>
      </c>
      <c r="H259" s="17"/>
      <c r="I259" s="4">
        <v>22.5</v>
      </c>
      <c r="J259" s="5">
        <v>0.11</v>
      </c>
      <c r="K259" s="48">
        <f>ROUND(LOG10(Table1[[#This Row],[Return (keep sorted by this column!)]]+1),2)</f>
        <v>0.05</v>
      </c>
      <c r="L259" s="48">
        <f>COUNTIF(Table1[Return (keep sorted by this column!)],"&lt;"&amp;Table1[[#This Row],[Return (keep sorted by this column!)]])</f>
        <v>176</v>
      </c>
      <c r="M259" s="14">
        <f>IF(Table1[[#This Row],[Team]]="David",Table1[[#This Row],[Return (keep sorted by this column!)]],"")</f>
        <v>0.11</v>
      </c>
      <c r="N259" s="14" t="str">
        <f>IF(Table1[[#This Row],[Team]]="Tom",Table1[[#This Row],[Return (keep sorted by this column!)]],"")</f>
        <v/>
      </c>
      <c r="O259" s="5">
        <v>0.17799999999999999</v>
      </c>
      <c r="P259" s="23">
        <f>IF(Table1[[#This Row],[Team]]="David",Table1[[#This Row],[S&amp;P Return, same period]],"")</f>
        <v>0.17799999999999999</v>
      </c>
      <c r="Q259" s="23" t="str">
        <f>IF(Table1[[#This Row],[Team]]="Tom",Table1[[#This Row],[S&amp;P Return, same period]],"")</f>
        <v/>
      </c>
      <c r="R259" s="5">
        <v>-6.9000000000000006E-2</v>
      </c>
      <c r="S259" s="14">
        <f>IF(Table1[[#This Row],[Team]]="David",Table1[[#This Row],[Difference Vs. S&amp;P Return]],"")</f>
        <v>-6.9000000000000006E-2</v>
      </c>
      <c r="T259" s="14" t="str">
        <f>IF(Table1[[#This Row],[Team]]="Tom",Table1[[#This Row],[Difference Vs. S&amp;P Return]],"")</f>
        <v/>
      </c>
      <c r="U259" s="14">
        <f>ROUND((1+Table1[[#This Row],[Return (keep sorted by this column!)]])/(1+Table1[[#This Row],[S&amp;P Return, same period]])-1,1)</f>
        <v>-0.1</v>
      </c>
      <c r="V259" s="15">
        <f>IF(Table1[[#This Row],[Team]]="David",Table1[[#This Row],[Improvement Vs. S&amp;P Return]],"")</f>
        <v>-0.1</v>
      </c>
      <c r="W259" s="15" t="str">
        <f>IF(Table1[[#This Row],[Team]]="Tom",Table1[[#This Row],[Improvement Vs. S&amp;P Return]],"")</f>
        <v/>
      </c>
    </row>
    <row r="260" spans="1:23" ht="45" x14ac:dyDescent="0.2">
      <c r="A260" s="1">
        <v>38793</v>
      </c>
      <c r="B260" s="2" t="s">
        <v>620</v>
      </c>
      <c r="C260" s="2">
        <f>SUBTOTAL(103,Table1[[#This Row],[Recommendation Date]])</f>
        <v>1</v>
      </c>
      <c r="D260" s="2">
        <f>1</f>
        <v>1</v>
      </c>
      <c r="E260" s="16" t="s">
        <v>621</v>
      </c>
      <c r="F260" s="3" t="s">
        <v>150</v>
      </c>
      <c r="G260" s="3" t="s">
        <v>12</v>
      </c>
      <c r="H260" s="17"/>
      <c r="I260" s="4">
        <v>24.86</v>
      </c>
      <c r="J260" s="5">
        <v>0.108</v>
      </c>
      <c r="K260" s="48">
        <f>ROUND(LOG10(Table1[[#This Row],[Return (keep sorted by this column!)]]+1),2)</f>
        <v>0.04</v>
      </c>
      <c r="L260" s="48">
        <f>COUNTIF(Table1[Return (keep sorted by this column!)],"&lt;"&amp;Table1[[#This Row],[Return (keep sorted by this column!)]])</f>
        <v>175</v>
      </c>
      <c r="M260" s="14">
        <f>IF(Table1[[#This Row],[Team]]="David",Table1[[#This Row],[Return (keep sorted by this column!)]],"")</f>
        <v>0.108</v>
      </c>
      <c r="N260" s="14" t="str">
        <f>IF(Table1[[#This Row],[Team]]="Tom",Table1[[#This Row],[Return (keep sorted by this column!)]],"")</f>
        <v/>
      </c>
      <c r="O260" s="5">
        <v>0.192</v>
      </c>
      <c r="P260" s="23">
        <f>IF(Table1[[#This Row],[Team]]="David",Table1[[#This Row],[S&amp;P Return, same period]],"")</f>
        <v>0.192</v>
      </c>
      <c r="Q260" s="23" t="str">
        <f>IF(Table1[[#This Row],[Team]]="Tom",Table1[[#This Row],[S&amp;P Return, same period]],"")</f>
        <v/>
      </c>
      <c r="R260" s="5">
        <v>-8.4000000000000005E-2</v>
      </c>
      <c r="S260" s="14">
        <f>IF(Table1[[#This Row],[Team]]="David",Table1[[#This Row],[Difference Vs. S&amp;P Return]],"")</f>
        <v>-8.4000000000000005E-2</v>
      </c>
      <c r="T260" s="14" t="str">
        <f>IF(Table1[[#This Row],[Team]]="Tom",Table1[[#This Row],[Difference Vs. S&amp;P Return]],"")</f>
        <v/>
      </c>
      <c r="U260" s="14">
        <f>ROUND((1+Table1[[#This Row],[Return (keep sorted by this column!)]])/(1+Table1[[#This Row],[S&amp;P Return, same period]])-1,1)</f>
        <v>-0.1</v>
      </c>
      <c r="V260" s="15">
        <f>IF(Table1[[#This Row],[Team]]="David",Table1[[#This Row],[Improvement Vs. S&amp;P Return]],"")</f>
        <v>-0.1</v>
      </c>
      <c r="W260" s="15" t="str">
        <f>IF(Table1[[#This Row],[Team]]="Tom",Table1[[#This Row],[Improvement Vs. S&amp;P Return]],"")</f>
        <v/>
      </c>
    </row>
    <row r="261" spans="1:23" ht="45" x14ac:dyDescent="0.2">
      <c r="A261" s="1">
        <v>38919</v>
      </c>
      <c r="B261" s="2" t="s">
        <v>610</v>
      </c>
      <c r="C261" s="2">
        <f>SUBTOTAL(103,Table1[[#This Row],[Recommendation Date]])</f>
        <v>1</v>
      </c>
      <c r="D261" s="2">
        <f>1</f>
        <v>1</v>
      </c>
      <c r="E261" s="16" t="s">
        <v>611</v>
      </c>
      <c r="F261" s="3" t="s">
        <v>252</v>
      </c>
      <c r="G261" s="3" t="s">
        <v>8</v>
      </c>
      <c r="H261" s="17"/>
      <c r="I261" s="3" t="s">
        <v>268</v>
      </c>
      <c r="J261" s="5">
        <v>9.6000000000000002E-2</v>
      </c>
      <c r="K261" s="48">
        <f>ROUND(LOG10(Table1[[#This Row],[Return (keep sorted by this column!)]]+1),2)</f>
        <v>0.04</v>
      </c>
      <c r="L261" s="48">
        <f>COUNTIF(Table1[Return (keep sorted by this column!)],"&lt;"&amp;Table1[[#This Row],[Return (keep sorted by this column!)]])</f>
        <v>174</v>
      </c>
      <c r="M261" s="14" t="str">
        <f>IF(Table1[[#This Row],[Team]]="David",Table1[[#This Row],[Return (keep sorted by this column!)]],"")</f>
        <v/>
      </c>
      <c r="N261" s="14">
        <f>IF(Table1[[#This Row],[Team]]="Tom",Table1[[#This Row],[Return (keep sorted by this column!)]],"")</f>
        <v>9.6000000000000002E-2</v>
      </c>
      <c r="O261" s="5">
        <v>0.158</v>
      </c>
      <c r="P261" s="23" t="str">
        <f>IF(Table1[[#This Row],[Team]]="David",Table1[[#This Row],[S&amp;P Return, same period]],"")</f>
        <v/>
      </c>
      <c r="Q261" s="23">
        <f>IF(Table1[[#This Row],[Team]]="Tom",Table1[[#This Row],[S&amp;P Return, same period]],"")</f>
        <v>0.158</v>
      </c>
      <c r="R261" s="5">
        <v>-6.2E-2</v>
      </c>
      <c r="S261" s="14" t="str">
        <f>IF(Table1[[#This Row],[Team]]="David",Table1[[#This Row],[Difference Vs. S&amp;P Return]],"")</f>
        <v/>
      </c>
      <c r="T261" s="14">
        <f>IF(Table1[[#This Row],[Team]]="Tom",Table1[[#This Row],[Difference Vs. S&amp;P Return]],"")</f>
        <v>-6.2E-2</v>
      </c>
      <c r="U261" s="14">
        <f>ROUND((1+Table1[[#This Row],[Return (keep sorted by this column!)]])/(1+Table1[[#This Row],[S&amp;P Return, same period]])-1,1)</f>
        <v>-0.1</v>
      </c>
      <c r="V261" s="15" t="str">
        <f>IF(Table1[[#This Row],[Team]]="David",Table1[[#This Row],[Improvement Vs. S&amp;P Return]],"")</f>
        <v/>
      </c>
      <c r="W261" s="15">
        <f>IF(Table1[[#This Row],[Team]]="Tom",Table1[[#This Row],[Improvement Vs. S&amp;P Return]],"")</f>
        <v>-0.1</v>
      </c>
    </row>
    <row r="262" spans="1:23" ht="17" x14ac:dyDescent="0.2">
      <c r="A262" s="18">
        <v>40620</v>
      </c>
      <c r="B262" s="2" t="s">
        <v>427</v>
      </c>
      <c r="C262" s="2">
        <f>SUBTOTAL(103,Table1[[#This Row],[Recommendation Date]])</f>
        <v>1</v>
      </c>
      <c r="D262" s="2">
        <f>1</f>
        <v>1</v>
      </c>
      <c r="E262" s="16" t="s">
        <v>428</v>
      </c>
      <c r="F262" s="3" t="s">
        <v>15</v>
      </c>
      <c r="G262" s="3" t="s">
        <v>12</v>
      </c>
      <c r="H262" s="16">
        <v>12</v>
      </c>
      <c r="I262" s="4">
        <v>23.16</v>
      </c>
      <c r="J262" s="5">
        <v>9.1999999999999998E-2</v>
      </c>
      <c r="K262" s="48">
        <f>ROUND(LOG10(Table1[[#This Row],[Return (keep sorted by this column!)]]+1),2)</f>
        <v>0.04</v>
      </c>
      <c r="L262" s="48">
        <f>COUNTIF(Table1[Return (keep sorted by this column!)],"&lt;"&amp;Table1[[#This Row],[Return (keep sorted by this column!)]])</f>
        <v>173</v>
      </c>
      <c r="M262" s="76">
        <f>IF(Table1[[#This Row],[Team]]="David",Table1[[#This Row],[Return (keep sorted by this column!)]],"")</f>
        <v>9.1999999999999998E-2</v>
      </c>
      <c r="N262" s="76" t="str">
        <f>IF(Table1[[#This Row],[Team]]="Tom",Table1[[#This Row],[Return (keep sorted by this column!)]],"")</f>
        <v/>
      </c>
      <c r="O262" s="5">
        <v>1.589</v>
      </c>
      <c r="P262" s="68">
        <f>IF(Table1[[#This Row],[Team]]="David",Table1[[#This Row],[S&amp;P Return, same period]],"")</f>
        <v>1.589</v>
      </c>
      <c r="Q262" s="68" t="str">
        <f>IF(Table1[[#This Row],[Team]]="Tom",Table1[[#This Row],[S&amp;P Return, same period]],"")</f>
        <v/>
      </c>
      <c r="R262" s="5">
        <v>-1.4970000000000001</v>
      </c>
      <c r="S262" s="14">
        <f>IF(Table1[[#This Row],[Team]]="David",Table1[[#This Row],[Difference Vs. S&amp;P Return]],"")</f>
        <v>-1.4970000000000001</v>
      </c>
      <c r="T262" s="14" t="str">
        <f>IF(Table1[[#This Row],[Team]]="Tom",Table1[[#This Row],[Difference Vs. S&amp;P Return]],"")</f>
        <v/>
      </c>
      <c r="U262" s="14">
        <f>ROUND((1+Table1[[#This Row],[Return (keep sorted by this column!)]])/(1+Table1[[#This Row],[S&amp;P Return, same period]])-1,1)</f>
        <v>-0.6</v>
      </c>
      <c r="V262" s="15">
        <f>IF(Table1[[#This Row],[Team]]="David",Table1[[#This Row],[Improvement Vs. S&amp;P Return]],"")</f>
        <v>-0.6</v>
      </c>
      <c r="W262" s="15" t="str">
        <f>IF(Table1[[#This Row],[Team]]="Tom",Table1[[#This Row],[Improvement Vs. S&amp;P Return]],"")</f>
        <v/>
      </c>
    </row>
    <row r="263" spans="1:23" ht="75" x14ac:dyDescent="0.2">
      <c r="A263" s="1">
        <v>40529</v>
      </c>
      <c r="B263" s="2" t="s">
        <v>438</v>
      </c>
      <c r="C263" s="2">
        <f>SUBTOTAL(103,Table1[[#This Row],[Recommendation Date]])</f>
        <v>1</v>
      </c>
      <c r="D263" s="2">
        <f>1</f>
        <v>1</v>
      </c>
      <c r="E263" s="16" t="s">
        <v>439</v>
      </c>
      <c r="F263" s="3" t="s">
        <v>262</v>
      </c>
      <c r="G263" s="3" t="s">
        <v>8</v>
      </c>
      <c r="H263" s="17"/>
      <c r="I263" s="4">
        <v>88.92</v>
      </c>
      <c r="J263" s="5">
        <v>9.0999999999999998E-2</v>
      </c>
      <c r="K263" s="48">
        <f>ROUND(LOG10(Table1[[#This Row],[Return (keep sorted by this column!)]]+1),2)</f>
        <v>0.04</v>
      </c>
      <c r="L263" s="48">
        <f>COUNTIF(Table1[Return (keep sorted by this column!)],"&lt;"&amp;Table1[[#This Row],[Return (keep sorted by this column!)]])</f>
        <v>172</v>
      </c>
      <c r="M263" s="76" t="str">
        <f>IF(Table1[[#This Row],[Team]]="David",Table1[[#This Row],[Return (keep sorted by this column!)]],"")</f>
        <v/>
      </c>
      <c r="N263" s="76">
        <f>IF(Table1[[#This Row],[Team]]="Tom",Table1[[#This Row],[Return (keep sorted by this column!)]],"")</f>
        <v>9.0999999999999998E-2</v>
      </c>
      <c r="O263" s="5">
        <v>0.61</v>
      </c>
      <c r="P263" s="68" t="str">
        <f>IF(Table1[[#This Row],[Team]]="David",Table1[[#This Row],[S&amp;P Return, same period]],"")</f>
        <v/>
      </c>
      <c r="Q263" s="68">
        <f>IF(Table1[[#This Row],[Team]]="Tom",Table1[[#This Row],[S&amp;P Return, same period]],"")</f>
        <v>0.61</v>
      </c>
      <c r="R263" s="5">
        <v>-0.51800000000000002</v>
      </c>
      <c r="S263" s="14" t="str">
        <f>IF(Table1[[#This Row],[Team]]="David",Table1[[#This Row],[Difference Vs. S&amp;P Return]],"")</f>
        <v/>
      </c>
      <c r="T263" s="14">
        <f>IF(Table1[[#This Row],[Team]]="Tom",Table1[[#This Row],[Difference Vs. S&amp;P Return]],"")</f>
        <v>-0.51800000000000002</v>
      </c>
      <c r="U263" s="14">
        <f>ROUND((1+Table1[[#This Row],[Return (keep sorted by this column!)]])/(1+Table1[[#This Row],[S&amp;P Return, same period]])-1,1)</f>
        <v>-0.3</v>
      </c>
      <c r="V263" s="15" t="str">
        <f>IF(Table1[[#This Row],[Team]]="David",Table1[[#This Row],[Improvement Vs. S&amp;P Return]],"")</f>
        <v/>
      </c>
      <c r="W263" s="15">
        <f>IF(Table1[[#This Row],[Team]]="Tom",Table1[[#This Row],[Improvement Vs. S&amp;P Return]],"")</f>
        <v>-0.3</v>
      </c>
    </row>
    <row r="264" spans="1:23" ht="45" x14ac:dyDescent="0.2">
      <c r="A264" s="1">
        <v>39584</v>
      </c>
      <c r="B264" s="2" t="s">
        <v>545</v>
      </c>
      <c r="C264" s="2">
        <f>SUBTOTAL(103,Table1[[#This Row],[Recommendation Date]])</f>
        <v>1</v>
      </c>
      <c r="D264" s="2">
        <f>1</f>
        <v>1</v>
      </c>
      <c r="E264" s="16" t="s">
        <v>546</v>
      </c>
      <c r="F264" s="3" t="s">
        <v>27</v>
      </c>
      <c r="G264" s="3" t="s">
        <v>8</v>
      </c>
      <c r="H264" s="17"/>
      <c r="I264" s="4">
        <v>71.38</v>
      </c>
      <c r="J264" s="5">
        <v>8.4000000000000005E-2</v>
      </c>
      <c r="K264" s="48">
        <f>ROUND(LOG10(Table1[[#This Row],[Return (keep sorted by this column!)]]+1),2)</f>
        <v>0.04</v>
      </c>
      <c r="L264" s="48">
        <f>COUNTIF(Table1[Return (keep sorted by this column!)],"&lt;"&amp;Table1[[#This Row],[Return (keep sorted by this column!)]])</f>
        <v>171</v>
      </c>
      <c r="M264" s="14" t="str">
        <f>IF(Table1[[#This Row],[Team]]="David",Table1[[#This Row],[Return (keep sorted by this column!)]],"")</f>
        <v/>
      </c>
      <c r="N264" s="14">
        <f>IF(Table1[[#This Row],[Team]]="Tom",Table1[[#This Row],[Return (keep sorted by this column!)]],"")</f>
        <v>8.4000000000000005E-2</v>
      </c>
      <c r="O264" s="5">
        <v>0.70899999999999996</v>
      </c>
      <c r="P264" s="23" t="str">
        <f>IF(Table1[[#This Row],[Team]]="David",Table1[[#This Row],[S&amp;P Return, same period]],"")</f>
        <v/>
      </c>
      <c r="Q264" s="23">
        <f>IF(Table1[[#This Row],[Team]]="Tom",Table1[[#This Row],[S&amp;P Return, same period]],"")</f>
        <v>0.70899999999999996</v>
      </c>
      <c r="R264" s="5">
        <v>-0.625</v>
      </c>
      <c r="S264" s="14" t="str">
        <f>IF(Table1[[#This Row],[Team]]="David",Table1[[#This Row],[Difference Vs. S&amp;P Return]],"")</f>
        <v/>
      </c>
      <c r="T264" s="14">
        <f>IF(Table1[[#This Row],[Team]]="Tom",Table1[[#This Row],[Difference Vs. S&amp;P Return]],"")</f>
        <v>-0.625</v>
      </c>
      <c r="U264" s="14">
        <f>ROUND((1+Table1[[#This Row],[Return (keep sorted by this column!)]])/(1+Table1[[#This Row],[S&amp;P Return, same period]])-1,1)</f>
        <v>-0.4</v>
      </c>
      <c r="V264" s="15" t="str">
        <f>IF(Table1[[#This Row],[Team]]="David",Table1[[#This Row],[Improvement Vs. S&amp;P Return]],"")</f>
        <v/>
      </c>
      <c r="W264" s="15">
        <f>IF(Table1[[#This Row],[Team]]="Tom",Table1[[#This Row],[Improvement Vs. S&amp;P Return]],"")</f>
        <v>-0.4</v>
      </c>
    </row>
    <row r="265" spans="1:23" ht="30" x14ac:dyDescent="0.2">
      <c r="A265" s="18">
        <v>43692</v>
      </c>
      <c r="B265" s="2" t="s">
        <v>45</v>
      </c>
      <c r="C265" s="2">
        <f>SUBTOTAL(103,Table1[[#This Row],[Recommendation Date]])</f>
        <v>1</v>
      </c>
      <c r="D265" s="2">
        <f>1</f>
        <v>1</v>
      </c>
      <c r="E265" s="16" t="s">
        <v>46</v>
      </c>
      <c r="F265" s="3" t="s">
        <v>47</v>
      </c>
      <c r="G265" s="3" t="s">
        <v>12</v>
      </c>
      <c r="H265" s="16">
        <v>9</v>
      </c>
      <c r="I265" s="4">
        <v>140.79</v>
      </c>
      <c r="J265" s="5">
        <v>7.6999999999999999E-2</v>
      </c>
      <c r="K265" s="48">
        <f>ROUND(LOG10(Table1[[#This Row],[Return (keep sorted by this column!)]]+1),2)</f>
        <v>0.03</v>
      </c>
      <c r="L265" s="48">
        <f>COUNTIF(Table1[Return (keep sorted by this column!)],"&lt;"&amp;Table1[[#This Row],[Return (keep sorted by this column!)]])</f>
        <v>170</v>
      </c>
      <c r="M265" s="76">
        <f>IF(Table1[[#This Row],[Team]]="David",Table1[[#This Row],[Return (keep sorted by this column!)]],"")</f>
        <v>7.6999999999999999E-2</v>
      </c>
      <c r="N265" s="76" t="str">
        <f>IF(Table1[[#This Row],[Team]]="Tom",Table1[[#This Row],[Return (keep sorted by this column!)]],"")</f>
        <v/>
      </c>
      <c r="O265" s="5">
        <v>-2.5000000000000001E-2</v>
      </c>
      <c r="P265" s="68">
        <f>IF(Table1[[#This Row],[Team]]="David",Table1[[#This Row],[S&amp;P Return, same period]],"")</f>
        <v>-2.5000000000000001E-2</v>
      </c>
      <c r="Q265" s="68" t="str">
        <f>IF(Table1[[#This Row],[Team]]="Tom",Table1[[#This Row],[S&amp;P Return, same period]],"")</f>
        <v/>
      </c>
      <c r="R265" s="5">
        <v>0.10199999999999999</v>
      </c>
      <c r="S265" s="14">
        <f>IF(Table1[[#This Row],[Team]]="David",Table1[[#This Row],[Difference Vs. S&amp;P Return]],"")</f>
        <v>0.10199999999999999</v>
      </c>
      <c r="T265" s="14" t="str">
        <f>IF(Table1[[#This Row],[Team]]="Tom",Table1[[#This Row],[Difference Vs. S&amp;P Return]],"")</f>
        <v/>
      </c>
      <c r="U265" s="14">
        <f>ROUND((1+Table1[[#This Row],[Return (keep sorted by this column!)]])/(1+Table1[[#This Row],[S&amp;P Return, same period]])-1,1)</f>
        <v>0.1</v>
      </c>
      <c r="V265" s="15">
        <f>IF(Table1[[#This Row],[Team]]="David",Table1[[#This Row],[Improvement Vs. S&amp;P Return]],"")</f>
        <v>0.1</v>
      </c>
      <c r="W265" s="15" t="str">
        <f>IF(Table1[[#This Row],[Team]]="Tom",Table1[[#This Row],[Improvement Vs. S&amp;P Return]],"")</f>
        <v/>
      </c>
    </row>
    <row r="266" spans="1:23" ht="45" x14ac:dyDescent="0.2">
      <c r="A266" s="1">
        <v>37904</v>
      </c>
      <c r="B266" s="2" t="s">
        <v>696</v>
      </c>
      <c r="C266" s="2">
        <f>SUBTOTAL(103,Table1[[#This Row],[Recommendation Date]])</f>
        <v>1</v>
      </c>
      <c r="D266" s="2">
        <f>1</f>
        <v>1</v>
      </c>
      <c r="E266" s="16" t="s">
        <v>697</v>
      </c>
      <c r="F266" s="3" t="s">
        <v>252</v>
      </c>
      <c r="G266" s="3" t="s">
        <v>12</v>
      </c>
      <c r="H266" s="17"/>
      <c r="I266" s="4">
        <v>5.25</v>
      </c>
      <c r="J266" s="5">
        <v>7.3999999999999996E-2</v>
      </c>
      <c r="K266" s="48">
        <f>ROUND(LOG10(Table1[[#This Row],[Return (keep sorted by this column!)]]+1),2)</f>
        <v>0.03</v>
      </c>
      <c r="L266" s="48">
        <f>COUNTIF(Table1[Return (keep sorted by this column!)],"&lt;"&amp;Table1[[#This Row],[Return (keep sorted by this column!)]])</f>
        <v>169</v>
      </c>
      <c r="M266" s="14">
        <f>IF(Table1[[#This Row],[Team]]="David",Table1[[#This Row],[Return (keep sorted by this column!)]],"")</f>
        <v>7.3999999999999996E-2</v>
      </c>
      <c r="N266" s="14" t="str">
        <f>IF(Table1[[#This Row],[Team]]="Tom",Table1[[#This Row],[Return (keep sorted by this column!)]],"")</f>
        <v/>
      </c>
      <c r="O266" s="5">
        <v>-5.0000000000000001E-3</v>
      </c>
      <c r="P266" s="23">
        <f>IF(Table1[[#This Row],[Team]]="David",Table1[[#This Row],[S&amp;P Return, same period]],"")</f>
        <v>-5.0000000000000001E-3</v>
      </c>
      <c r="Q266" s="23" t="str">
        <f>IF(Table1[[#This Row],[Team]]="Tom",Table1[[#This Row],[S&amp;P Return, same period]],"")</f>
        <v/>
      </c>
      <c r="R266" s="5">
        <v>7.9000000000000001E-2</v>
      </c>
      <c r="S266" s="14">
        <f>IF(Table1[[#This Row],[Team]]="David",Table1[[#This Row],[Difference Vs. S&amp;P Return]],"")</f>
        <v>7.9000000000000001E-2</v>
      </c>
      <c r="T266" s="14" t="str">
        <f>IF(Table1[[#This Row],[Team]]="Tom",Table1[[#This Row],[Difference Vs. S&amp;P Return]],"")</f>
        <v/>
      </c>
      <c r="U266" s="14">
        <f>ROUND((1+Table1[[#This Row],[Return (keep sorted by this column!)]])/(1+Table1[[#This Row],[S&amp;P Return, same period]])-1,1)</f>
        <v>0.1</v>
      </c>
      <c r="V266" s="15">
        <f>IF(Table1[[#This Row],[Team]]="David",Table1[[#This Row],[Improvement Vs. S&amp;P Return]],"")</f>
        <v>0.1</v>
      </c>
      <c r="W266" s="15" t="str">
        <f>IF(Table1[[#This Row],[Team]]="Tom",Table1[[#This Row],[Improvement Vs. S&amp;P Return]],"")</f>
        <v/>
      </c>
    </row>
    <row r="267" spans="1:23" ht="17" x14ac:dyDescent="0.2">
      <c r="A267" s="18">
        <v>40256</v>
      </c>
      <c r="B267" s="2" t="s">
        <v>470</v>
      </c>
      <c r="C267" s="2">
        <f>SUBTOTAL(103,Table1[[#This Row],[Recommendation Date]])</f>
        <v>1</v>
      </c>
      <c r="D267" s="2">
        <f>1</f>
        <v>1</v>
      </c>
      <c r="E267" s="16" t="s">
        <v>471</v>
      </c>
      <c r="F267" s="3" t="s">
        <v>33</v>
      </c>
      <c r="G267" s="3" t="s">
        <v>12</v>
      </c>
      <c r="H267" s="16">
        <v>10</v>
      </c>
      <c r="I267" s="4">
        <v>32.450000000000003</v>
      </c>
      <c r="J267" s="5">
        <v>7.0000000000000007E-2</v>
      </c>
      <c r="K267" s="48">
        <f>ROUND(LOG10(Table1[[#This Row],[Return (keep sorted by this column!)]]+1),2)</f>
        <v>0.03</v>
      </c>
      <c r="L267" s="48">
        <f>COUNTIF(Table1[Return (keep sorted by this column!)],"&lt;"&amp;Table1[[#This Row],[Return (keep sorted by this column!)]])</f>
        <v>168</v>
      </c>
      <c r="M267" s="76">
        <f>IF(Table1[[#This Row],[Team]]="David",Table1[[#This Row],[Return (keep sorted by this column!)]],"")</f>
        <v>7.0000000000000007E-2</v>
      </c>
      <c r="N267" s="76" t="str">
        <f>IF(Table1[[#This Row],[Team]]="Tom",Table1[[#This Row],[Return (keep sorted by this column!)]],"")</f>
        <v/>
      </c>
      <c r="O267" s="5">
        <v>1.913</v>
      </c>
      <c r="P267" s="68">
        <f>IF(Table1[[#This Row],[Team]]="David",Table1[[#This Row],[S&amp;P Return, same period]],"")</f>
        <v>1.913</v>
      </c>
      <c r="Q267" s="68" t="str">
        <f>IF(Table1[[#This Row],[Team]]="Tom",Table1[[#This Row],[S&amp;P Return, same period]],"")</f>
        <v/>
      </c>
      <c r="R267" s="5">
        <v>-1.8420000000000001</v>
      </c>
      <c r="S267" s="14">
        <f>IF(Table1[[#This Row],[Team]]="David",Table1[[#This Row],[Difference Vs. S&amp;P Return]],"")</f>
        <v>-1.8420000000000001</v>
      </c>
      <c r="T267" s="14" t="str">
        <f>IF(Table1[[#This Row],[Team]]="Tom",Table1[[#This Row],[Difference Vs. S&amp;P Return]],"")</f>
        <v/>
      </c>
      <c r="U267" s="14">
        <f>ROUND((1+Table1[[#This Row],[Return (keep sorted by this column!)]])/(1+Table1[[#This Row],[S&amp;P Return, same period]])-1,1)</f>
        <v>-0.6</v>
      </c>
      <c r="V267" s="15">
        <f>IF(Table1[[#This Row],[Team]]="David",Table1[[#This Row],[Improvement Vs. S&amp;P Return]],"")</f>
        <v>-0.6</v>
      </c>
      <c r="W267" s="15" t="str">
        <f>IF(Table1[[#This Row],[Team]]="Tom",Table1[[#This Row],[Improvement Vs. S&amp;P Return]],"")</f>
        <v/>
      </c>
    </row>
    <row r="268" spans="1:23" ht="30" x14ac:dyDescent="0.2">
      <c r="A268" s="18">
        <v>42174</v>
      </c>
      <c r="B268" s="2" t="s">
        <v>155</v>
      </c>
      <c r="C268" s="2">
        <f>SUBTOTAL(103,Table1[[#This Row],[Recommendation Date]])</f>
        <v>1</v>
      </c>
      <c r="D268" s="2">
        <f>1</f>
        <v>1</v>
      </c>
      <c r="E268" s="16" t="s">
        <v>156</v>
      </c>
      <c r="F268" s="3" t="s">
        <v>157</v>
      </c>
      <c r="G268" s="3" t="s">
        <v>8</v>
      </c>
      <c r="H268" s="17"/>
      <c r="I268" s="4">
        <v>615.30999999999995</v>
      </c>
      <c r="J268" s="5">
        <v>6.9000000000000006E-2</v>
      </c>
      <c r="K268" s="48">
        <f>ROUND(LOG10(Table1[[#This Row],[Return (keep sorted by this column!)]]+1),2)</f>
        <v>0.03</v>
      </c>
      <c r="L268" s="48">
        <f>COUNTIF(Table1[Return (keep sorted by this column!)],"&lt;"&amp;Table1[[#This Row],[Return (keep sorted by this column!)]])</f>
        <v>167</v>
      </c>
      <c r="M268" s="76" t="str">
        <f>IF(Table1[[#This Row],[Team]]="David",Table1[[#This Row],[Return (keep sorted by this column!)]],"")</f>
        <v/>
      </c>
      <c r="N268" s="76">
        <f>IF(Table1[[#This Row],[Team]]="Tom",Table1[[#This Row],[Return (keep sorted by this column!)]],"")</f>
        <v>6.9000000000000006E-2</v>
      </c>
      <c r="O268" s="5">
        <v>0.434</v>
      </c>
      <c r="P268" s="68" t="str">
        <f>IF(Table1[[#This Row],[Team]]="David",Table1[[#This Row],[S&amp;P Return, same period]],"")</f>
        <v/>
      </c>
      <c r="Q268" s="68">
        <f>IF(Table1[[#This Row],[Team]]="Tom",Table1[[#This Row],[S&amp;P Return, same period]],"")</f>
        <v>0.434</v>
      </c>
      <c r="R268" s="5">
        <v>-0.36399999999999999</v>
      </c>
      <c r="S268" s="14" t="str">
        <f>IF(Table1[[#This Row],[Team]]="David",Table1[[#This Row],[Difference Vs. S&amp;P Return]],"")</f>
        <v/>
      </c>
      <c r="T268" s="14">
        <f>IF(Table1[[#This Row],[Team]]="Tom",Table1[[#This Row],[Difference Vs. S&amp;P Return]],"")</f>
        <v>-0.36399999999999999</v>
      </c>
      <c r="U268" s="14">
        <f>ROUND((1+Table1[[#This Row],[Return (keep sorted by this column!)]])/(1+Table1[[#This Row],[S&amp;P Return, same period]])-1,1)</f>
        <v>-0.3</v>
      </c>
      <c r="V268" s="15" t="str">
        <f>IF(Table1[[#This Row],[Team]]="David",Table1[[#This Row],[Improvement Vs. S&amp;P Return]],"")</f>
        <v/>
      </c>
      <c r="W268" s="15">
        <f>IF(Table1[[#This Row],[Team]]="Tom",Table1[[#This Row],[Improvement Vs. S&amp;P Return]],"")</f>
        <v>-0.3</v>
      </c>
    </row>
    <row r="269" spans="1:23" ht="60" x14ac:dyDescent="0.2">
      <c r="A269" s="1">
        <v>39556</v>
      </c>
      <c r="B269" s="2" t="s">
        <v>549</v>
      </c>
      <c r="C269" s="2">
        <f>SUBTOTAL(103,Table1[[#This Row],[Recommendation Date]])</f>
        <v>1</v>
      </c>
      <c r="D269" s="2">
        <f>1</f>
        <v>1</v>
      </c>
      <c r="E269" s="16" t="s">
        <v>550</v>
      </c>
      <c r="F269" s="3" t="s">
        <v>252</v>
      </c>
      <c r="G269" s="3" t="s">
        <v>12</v>
      </c>
      <c r="H269" s="17"/>
      <c r="I269" s="4">
        <v>50.15</v>
      </c>
      <c r="J269" s="5">
        <v>6.6000000000000003E-2</v>
      </c>
      <c r="K269" s="48">
        <f>ROUND(LOG10(Table1[[#This Row],[Return (keep sorted by this column!)]]+1),2)</f>
        <v>0.03</v>
      </c>
      <c r="L269" s="48">
        <f>COUNTIF(Table1[Return (keep sorted by this column!)],"&lt;"&amp;Table1[[#This Row],[Return (keep sorted by this column!)]])</f>
        <v>166</v>
      </c>
      <c r="M269" s="14">
        <f>IF(Table1[[#This Row],[Team]]="David",Table1[[#This Row],[Return (keep sorted by this column!)]],"")</f>
        <v>6.6000000000000003E-2</v>
      </c>
      <c r="N269" s="14" t="str">
        <f>IF(Table1[[#This Row],[Team]]="Tom",Table1[[#This Row],[Return (keep sorted by this column!)]],"")</f>
        <v/>
      </c>
      <c r="O269" s="5">
        <v>-0.317</v>
      </c>
      <c r="P269" s="23">
        <f>IF(Table1[[#This Row],[Team]]="David",Table1[[#This Row],[S&amp;P Return, same period]],"")</f>
        <v>-0.317</v>
      </c>
      <c r="Q269" s="23" t="str">
        <f>IF(Table1[[#This Row],[Team]]="Tom",Table1[[#This Row],[S&amp;P Return, same period]],"")</f>
        <v/>
      </c>
      <c r="R269" s="5">
        <v>0.38300000000000001</v>
      </c>
      <c r="S269" s="14">
        <f>IF(Table1[[#This Row],[Team]]="David",Table1[[#This Row],[Difference Vs. S&amp;P Return]],"")</f>
        <v>0.38300000000000001</v>
      </c>
      <c r="T269" s="14" t="str">
        <f>IF(Table1[[#This Row],[Team]]="Tom",Table1[[#This Row],[Difference Vs. S&amp;P Return]],"")</f>
        <v/>
      </c>
      <c r="U269" s="14">
        <f>ROUND((1+Table1[[#This Row],[Return (keep sorted by this column!)]])/(1+Table1[[#This Row],[S&amp;P Return, same period]])-1,1)</f>
        <v>0.6</v>
      </c>
      <c r="V269" s="15">
        <f>IF(Table1[[#This Row],[Team]]="David",Table1[[#This Row],[Improvement Vs. S&amp;P Return]],"")</f>
        <v>0.6</v>
      </c>
      <c r="W269" s="15" t="str">
        <f>IF(Table1[[#This Row],[Team]]="Tom",Table1[[#This Row],[Improvement Vs. S&amp;P Return]],"")</f>
        <v/>
      </c>
    </row>
    <row r="270" spans="1:23" ht="45" x14ac:dyDescent="0.2">
      <c r="A270" s="18">
        <v>42664</v>
      </c>
      <c r="B270" s="2" t="s">
        <v>186</v>
      </c>
      <c r="C270" s="2">
        <f>SUBTOTAL(103,Table1[[#This Row],[Recommendation Date]])</f>
        <v>1</v>
      </c>
      <c r="D270" s="2">
        <f>1</f>
        <v>1</v>
      </c>
      <c r="E270" s="16" t="s">
        <v>187</v>
      </c>
      <c r="F270" s="3" t="s">
        <v>188</v>
      </c>
      <c r="G270" s="3" t="s">
        <v>12</v>
      </c>
      <c r="H270" s="16">
        <v>7</v>
      </c>
      <c r="I270" s="4">
        <v>89.01</v>
      </c>
      <c r="J270" s="5">
        <v>0.06</v>
      </c>
      <c r="K270" s="48">
        <f>ROUND(LOG10(Table1[[#This Row],[Return (keep sorted by this column!)]]+1),2)</f>
        <v>0.03</v>
      </c>
      <c r="L270" s="48">
        <f>COUNTIF(Table1[Return (keep sorted by this column!)],"&lt;"&amp;Table1[[#This Row],[Return (keep sorted by this column!)]])</f>
        <v>165</v>
      </c>
      <c r="M270" s="76">
        <f>IF(Table1[[#This Row],[Team]]="David",Table1[[#This Row],[Return (keep sorted by this column!)]],"")</f>
        <v>0.06</v>
      </c>
      <c r="N270" s="76" t="str">
        <f>IF(Table1[[#This Row],[Team]]="Tom",Table1[[#This Row],[Return (keep sorted by this column!)]],"")</f>
        <v/>
      </c>
      <c r="O270" s="5">
        <v>0.373</v>
      </c>
      <c r="P270" s="68">
        <f>IF(Table1[[#This Row],[Team]]="David",Table1[[#This Row],[S&amp;P Return, same period]],"")</f>
        <v>0.373</v>
      </c>
      <c r="Q270" s="68" t="str">
        <f>IF(Table1[[#This Row],[Team]]="Tom",Table1[[#This Row],[S&amp;P Return, same period]],"")</f>
        <v/>
      </c>
      <c r="R270" s="5">
        <v>-0.313</v>
      </c>
      <c r="S270" s="14">
        <f>IF(Table1[[#This Row],[Team]]="David",Table1[[#This Row],[Difference Vs. S&amp;P Return]],"")</f>
        <v>-0.313</v>
      </c>
      <c r="T270" s="14" t="str">
        <f>IF(Table1[[#This Row],[Team]]="Tom",Table1[[#This Row],[Difference Vs. S&amp;P Return]],"")</f>
        <v/>
      </c>
      <c r="U270" s="14">
        <f>ROUND((1+Table1[[#This Row],[Return (keep sorted by this column!)]])/(1+Table1[[#This Row],[S&amp;P Return, same period]])-1,1)</f>
        <v>-0.2</v>
      </c>
      <c r="V270" s="15">
        <f>IF(Table1[[#This Row],[Team]]="David",Table1[[#This Row],[Improvement Vs. S&amp;P Return]],"")</f>
        <v>-0.2</v>
      </c>
      <c r="W270" s="15" t="str">
        <f>IF(Table1[[#This Row],[Team]]="Tom",Table1[[#This Row],[Improvement Vs. S&amp;P Return]],"")</f>
        <v/>
      </c>
    </row>
    <row r="271" spans="1:23" ht="30" x14ac:dyDescent="0.2">
      <c r="A271" s="18">
        <v>42993</v>
      </c>
      <c r="B271" s="2" t="s">
        <v>103</v>
      </c>
      <c r="C271" s="2">
        <f>SUBTOTAL(103,Table1[[#This Row],[Recommendation Date]])</f>
        <v>1</v>
      </c>
      <c r="D271" s="2">
        <f>1</f>
        <v>1</v>
      </c>
      <c r="E271" s="16" t="s">
        <v>104</v>
      </c>
      <c r="F271" s="3" t="s">
        <v>44</v>
      </c>
      <c r="G271" s="3" t="s">
        <v>8</v>
      </c>
      <c r="H271" s="17"/>
      <c r="I271" s="4">
        <v>176.96</v>
      </c>
      <c r="J271" s="5">
        <v>4.9000000000000002E-2</v>
      </c>
      <c r="K271" s="48">
        <f>ROUND(LOG10(Table1[[#This Row],[Return (keep sorted by this column!)]]+1),2)</f>
        <v>0.02</v>
      </c>
      <c r="L271" s="48">
        <f>COUNTIF(Table1[Return (keep sorted by this column!)],"&lt;"&amp;Table1[[#This Row],[Return (keep sorted by this column!)]])</f>
        <v>163</v>
      </c>
      <c r="M271" s="76" t="str">
        <f>IF(Table1[[#This Row],[Team]]="David",Table1[[#This Row],[Return (keep sorted by this column!)]],"")</f>
        <v/>
      </c>
      <c r="N271" s="76">
        <f>IF(Table1[[#This Row],[Team]]="Tom",Table1[[#This Row],[Return (keep sorted by this column!)]],"")</f>
        <v>4.9000000000000002E-2</v>
      </c>
      <c r="O271" s="5">
        <v>0.153</v>
      </c>
      <c r="P271" s="68" t="str">
        <f>IF(Table1[[#This Row],[Team]]="David",Table1[[#This Row],[S&amp;P Return, same period]],"")</f>
        <v/>
      </c>
      <c r="Q271" s="68">
        <f>IF(Table1[[#This Row],[Team]]="Tom",Table1[[#This Row],[S&amp;P Return, same period]],"")</f>
        <v>0.153</v>
      </c>
      <c r="R271" s="5">
        <v>-0.104</v>
      </c>
      <c r="S271" s="14" t="str">
        <f>IF(Table1[[#This Row],[Team]]="David",Table1[[#This Row],[Difference Vs. S&amp;P Return]],"")</f>
        <v/>
      </c>
      <c r="T271" s="14">
        <f>IF(Table1[[#This Row],[Team]]="Tom",Table1[[#This Row],[Difference Vs. S&amp;P Return]],"")</f>
        <v>-0.104</v>
      </c>
      <c r="U271" s="14">
        <f>ROUND((1+Table1[[#This Row],[Return (keep sorted by this column!)]])/(1+Table1[[#This Row],[S&amp;P Return, same period]])-1,1)</f>
        <v>-0.1</v>
      </c>
      <c r="V271" s="15" t="str">
        <f>IF(Table1[[#This Row],[Team]]="David",Table1[[#This Row],[Improvement Vs. S&amp;P Return]],"")</f>
        <v/>
      </c>
      <c r="W271" s="15">
        <f>IF(Table1[[#This Row],[Team]]="Tom",Table1[[#This Row],[Improvement Vs. S&amp;P Return]],"")</f>
        <v>-0.1</v>
      </c>
    </row>
    <row r="272" spans="1:23" ht="45" x14ac:dyDescent="0.2">
      <c r="A272" s="1">
        <v>41411</v>
      </c>
      <c r="B272" s="2" t="s">
        <v>342</v>
      </c>
      <c r="C272" s="2">
        <f>SUBTOTAL(103,Table1[[#This Row],[Recommendation Date]])</f>
        <v>1</v>
      </c>
      <c r="D272" s="2">
        <f>1</f>
        <v>1</v>
      </c>
      <c r="E272" s="16" t="s">
        <v>343</v>
      </c>
      <c r="F272" s="3" t="s">
        <v>252</v>
      </c>
      <c r="G272" s="3" t="s">
        <v>8</v>
      </c>
      <c r="H272" s="17"/>
      <c r="I272" s="4">
        <v>182.35</v>
      </c>
      <c r="J272" s="5">
        <v>4.9000000000000002E-2</v>
      </c>
      <c r="K272" s="48">
        <f>ROUND(LOG10(Table1[[#This Row],[Return (keep sorted by this column!)]]+1),2)</f>
        <v>0.02</v>
      </c>
      <c r="L272" s="48">
        <f>COUNTIF(Table1[Return (keep sorted by this column!)],"&lt;"&amp;Table1[[#This Row],[Return (keep sorted by this column!)]])</f>
        <v>163</v>
      </c>
      <c r="M272" s="76" t="str">
        <f>IF(Table1[[#This Row],[Team]]="David",Table1[[#This Row],[Return (keep sorted by this column!)]],"")</f>
        <v/>
      </c>
      <c r="N272" s="76">
        <f>IF(Table1[[#This Row],[Team]]="Tom",Table1[[#This Row],[Return (keep sorted by this column!)]],"")</f>
        <v>4.9000000000000002E-2</v>
      </c>
      <c r="O272" s="5">
        <v>0.32600000000000001</v>
      </c>
      <c r="P272" s="68" t="str">
        <f>IF(Table1[[#This Row],[Team]]="David",Table1[[#This Row],[S&amp;P Return, same period]],"")</f>
        <v/>
      </c>
      <c r="Q272" s="68">
        <f>IF(Table1[[#This Row],[Team]]="Tom",Table1[[#This Row],[S&amp;P Return, same period]],"")</f>
        <v>0.32600000000000001</v>
      </c>
      <c r="R272" s="5">
        <v>-0.27700000000000002</v>
      </c>
      <c r="S272" s="14" t="str">
        <f>IF(Table1[[#This Row],[Team]]="David",Table1[[#This Row],[Difference Vs. S&amp;P Return]],"")</f>
        <v/>
      </c>
      <c r="T272" s="14">
        <f>IF(Table1[[#This Row],[Team]]="Tom",Table1[[#This Row],[Difference Vs. S&amp;P Return]],"")</f>
        <v>-0.27700000000000002</v>
      </c>
      <c r="U272" s="14">
        <f>ROUND((1+Table1[[#This Row],[Return (keep sorted by this column!)]])/(1+Table1[[#This Row],[S&amp;P Return, same period]])-1,1)</f>
        <v>-0.2</v>
      </c>
      <c r="V272" s="15" t="str">
        <f>IF(Table1[[#This Row],[Team]]="David",Table1[[#This Row],[Improvement Vs. S&amp;P Return]],"")</f>
        <v/>
      </c>
      <c r="W272" s="15">
        <f>IF(Table1[[#This Row],[Team]]="Tom",Table1[[#This Row],[Improvement Vs. S&amp;P Return]],"")</f>
        <v>-0.2</v>
      </c>
    </row>
    <row r="273" spans="1:23" ht="17" x14ac:dyDescent="0.2">
      <c r="A273" s="18">
        <v>43601</v>
      </c>
      <c r="B273" s="2" t="s">
        <v>59</v>
      </c>
      <c r="C273" s="2">
        <f>SUBTOTAL(103,Table1[[#This Row],[Recommendation Date]])</f>
        <v>1</v>
      </c>
      <c r="D273" s="2">
        <f>1</f>
        <v>1</v>
      </c>
      <c r="E273" s="16" t="s">
        <v>60</v>
      </c>
      <c r="F273" s="3" t="s">
        <v>61</v>
      </c>
      <c r="G273" s="3" t="s">
        <v>12</v>
      </c>
      <c r="H273" s="16">
        <v>6</v>
      </c>
      <c r="I273" s="4">
        <v>123.17</v>
      </c>
      <c r="J273" s="5">
        <v>3.6999999999999998E-2</v>
      </c>
      <c r="K273" s="48">
        <f>ROUND(LOG10(Table1[[#This Row],[Return (keep sorted by this column!)]]+1),2)</f>
        <v>0.02</v>
      </c>
      <c r="L273" s="48">
        <f>COUNTIF(Table1[Return (keep sorted by this column!)],"&lt;"&amp;Table1[[#This Row],[Return (keep sorted by this column!)]])</f>
        <v>162</v>
      </c>
      <c r="M273" s="76">
        <f>IF(Table1[[#This Row],[Team]]="David",Table1[[#This Row],[Return (keep sorted by this column!)]],"")</f>
        <v>3.6999999999999998E-2</v>
      </c>
      <c r="N273" s="76" t="str">
        <f>IF(Table1[[#This Row],[Team]]="Tom",Table1[[#This Row],[Return (keep sorted by this column!)]],"")</f>
        <v/>
      </c>
      <c r="O273" s="5">
        <v>-0.03</v>
      </c>
      <c r="P273" s="68">
        <f>IF(Table1[[#This Row],[Team]]="David",Table1[[#This Row],[S&amp;P Return, same period]],"")</f>
        <v>-0.03</v>
      </c>
      <c r="Q273" s="68" t="str">
        <f>IF(Table1[[#This Row],[Team]]="Tom",Table1[[#This Row],[S&amp;P Return, same period]],"")</f>
        <v/>
      </c>
      <c r="R273" s="5">
        <v>6.7000000000000004E-2</v>
      </c>
      <c r="S273" s="14">
        <f>IF(Table1[[#This Row],[Team]]="David",Table1[[#This Row],[Difference Vs. S&amp;P Return]],"")</f>
        <v>6.7000000000000004E-2</v>
      </c>
      <c r="T273" s="14" t="str">
        <f>IF(Table1[[#This Row],[Team]]="Tom",Table1[[#This Row],[Difference Vs. S&amp;P Return]],"")</f>
        <v/>
      </c>
      <c r="U273" s="14">
        <f>ROUND((1+Table1[[#This Row],[Return (keep sorted by this column!)]])/(1+Table1[[#This Row],[S&amp;P Return, same period]])-1,1)</f>
        <v>0.1</v>
      </c>
      <c r="V273" s="15">
        <f>IF(Table1[[#This Row],[Team]]="David",Table1[[#This Row],[Improvement Vs. S&amp;P Return]],"")</f>
        <v>0.1</v>
      </c>
      <c r="W273" s="15" t="str">
        <f>IF(Table1[[#This Row],[Team]]="Tom",Table1[[#This Row],[Improvement Vs. S&amp;P Return]],"")</f>
        <v/>
      </c>
    </row>
    <row r="274" spans="1:23" ht="17" x14ac:dyDescent="0.2">
      <c r="A274" s="18">
        <v>43664</v>
      </c>
      <c r="B274" s="2" t="s">
        <v>51</v>
      </c>
      <c r="C274" s="2">
        <f>SUBTOTAL(103,Table1[[#This Row],[Recommendation Date]])</f>
        <v>1</v>
      </c>
      <c r="D274" s="2">
        <f>1</f>
        <v>1</v>
      </c>
      <c r="E274" s="16" t="s">
        <v>52</v>
      </c>
      <c r="F274" s="3" t="s">
        <v>27</v>
      </c>
      <c r="G274" s="3" t="s">
        <v>12</v>
      </c>
      <c r="H274" s="16">
        <v>13</v>
      </c>
      <c r="I274" s="4">
        <v>6.3</v>
      </c>
      <c r="J274" s="5">
        <v>3.5999999999999997E-2</v>
      </c>
      <c r="K274" s="48">
        <f>ROUND(LOG10(Table1[[#This Row],[Return (keep sorted by this column!)]]+1),2)</f>
        <v>0.02</v>
      </c>
      <c r="L274" s="48">
        <f>COUNTIF(Table1[Return (keep sorted by this column!)],"&lt;"&amp;Table1[[#This Row],[Return (keep sorted by this column!)]])</f>
        <v>160</v>
      </c>
      <c r="M274" s="76">
        <f>IF(Table1[[#This Row],[Team]]="David",Table1[[#This Row],[Return (keep sorted by this column!)]],"")</f>
        <v>3.5999999999999997E-2</v>
      </c>
      <c r="N274" s="76" t="str">
        <f>IF(Table1[[#This Row],[Team]]="Tom",Table1[[#This Row],[Return (keep sorted by this column!)]],"")</f>
        <v/>
      </c>
      <c r="O274" s="5">
        <v>-7.0999999999999994E-2</v>
      </c>
      <c r="P274" s="68">
        <f>IF(Table1[[#This Row],[Team]]="David",Table1[[#This Row],[S&amp;P Return, same period]],"")</f>
        <v>-7.0999999999999994E-2</v>
      </c>
      <c r="Q274" s="68" t="str">
        <f>IF(Table1[[#This Row],[Team]]="Tom",Table1[[#This Row],[S&amp;P Return, same period]],"")</f>
        <v/>
      </c>
      <c r="R274" s="5">
        <v>0.108</v>
      </c>
      <c r="S274" s="14">
        <f>IF(Table1[[#This Row],[Team]]="David",Table1[[#This Row],[Difference Vs. S&amp;P Return]],"")</f>
        <v>0.108</v>
      </c>
      <c r="T274" s="14" t="str">
        <f>IF(Table1[[#This Row],[Team]]="Tom",Table1[[#This Row],[Difference Vs. S&amp;P Return]],"")</f>
        <v/>
      </c>
      <c r="U274" s="14">
        <f>ROUND((1+Table1[[#This Row],[Return (keep sorted by this column!)]])/(1+Table1[[#This Row],[S&amp;P Return, same period]])-1,1)</f>
        <v>0.1</v>
      </c>
      <c r="V274" s="15">
        <f>IF(Table1[[#This Row],[Team]]="David",Table1[[#This Row],[Improvement Vs. S&amp;P Return]],"")</f>
        <v>0.1</v>
      </c>
      <c r="W274" s="15" t="str">
        <f>IF(Table1[[#This Row],[Team]]="Tom",Table1[[#This Row],[Improvement Vs. S&amp;P Return]],"")</f>
        <v/>
      </c>
    </row>
    <row r="275" spans="1:23" ht="30" x14ac:dyDescent="0.2">
      <c r="A275" s="18">
        <v>43419</v>
      </c>
      <c r="B275" s="2" t="s">
        <v>86</v>
      </c>
      <c r="C275" s="2">
        <f>SUBTOTAL(103,Table1[[#This Row],[Recommendation Date]])</f>
        <v>1</v>
      </c>
      <c r="D275" s="2">
        <f>1</f>
        <v>1</v>
      </c>
      <c r="E275" s="16" t="s">
        <v>87</v>
      </c>
      <c r="F275" s="3" t="s">
        <v>33</v>
      </c>
      <c r="G275" s="3" t="s">
        <v>12</v>
      </c>
      <c r="H275" s="16">
        <v>12</v>
      </c>
      <c r="I275" s="4">
        <v>178.91</v>
      </c>
      <c r="J275" s="5">
        <v>3.5999999999999997E-2</v>
      </c>
      <c r="K275" s="48">
        <f>ROUND(LOG10(Table1[[#This Row],[Return (keep sorted by this column!)]]+1),2)</f>
        <v>0.02</v>
      </c>
      <c r="L275" s="48">
        <f>COUNTIF(Table1[Return (keep sorted by this column!)],"&lt;"&amp;Table1[[#This Row],[Return (keep sorted by this column!)]])</f>
        <v>160</v>
      </c>
      <c r="M275" s="76">
        <f>IF(Table1[[#This Row],[Team]]="David",Table1[[#This Row],[Return (keep sorted by this column!)]],"")</f>
        <v>3.5999999999999997E-2</v>
      </c>
      <c r="N275" s="76" t="str">
        <f>IF(Table1[[#This Row],[Team]]="Tom",Table1[[#This Row],[Return (keep sorted by this column!)]],"")</f>
        <v/>
      </c>
      <c r="O275" s="5">
        <v>3.3000000000000002E-2</v>
      </c>
      <c r="P275" s="68">
        <f>IF(Table1[[#This Row],[Team]]="David",Table1[[#This Row],[S&amp;P Return, same period]],"")</f>
        <v>3.3000000000000002E-2</v>
      </c>
      <c r="Q275" s="68" t="str">
        <f>IF(Table1[[#This Row],[Team]]="Tom",Table1[[#This Row],[S&amp;P Return, same period]],"")</f>
        <v/>
      </c>
      <c r="R275" s="5">
        <v>3.0000000000000001E-3</v>
      </c>
      <c r="S275" s="14">
        <f>IF(Table1[[#This Row],[Team]]="David",Table1[[#This Row],[Difference Vs. S&amp;P Return]],"")</f>
        <v>3.0000000000000001E-3</v>
      </c>
      <c r="T275" s="14" t="str">
        <f>IF(Table1[[#This Row],[Team]]="Tom",Table1[[#This Row],[Difference Vs. S&amp;P Return]],"")</f>
        <v/>
      </c>
      <c r="U275" s="14">
        <f>ROUND((1+Table1[[#This Row],[Return (keep sorted by this column!)]])/(1+Table1[[#This Row],[S&amp;P Return, same period]])-1,1)</f>
        <v>0</v>
      </c>
      <c r="V275" s="15">
        <f>IF(Table1[[#This Row],[Team]]="David",Table1[[#This Row],[Improvement Vs. S&amp;P Return]],"")</f>
        <v>0</v>
      </c>
      <c r="W275" s="15" t="str">
        <f>IF(Table1[[#This Row],[Team]]="Tom",Table1[[#This Row],[Improvement Vs. S&amp;P Return]],"")</f>
        <v/>
      </c>
    </row>
    <row r="276" spans="1:23" ht="60" x14ac:dyDescent="0.2">
      <c r="A276" s="1">
        <v>40193</v>
      </c>
      <c r="B276" s="2" t="s">
        <v>479</v>
      </c>
      <c r="C276" s="2">
        <f>SUBTOTAL(103,Table1[[#This Row],[Recommendation Date]])</f>
        <v>1</v>
      </c>
      <c r="D276" s="2">
        <f>1</f>
        <v>1</v>
      </c>
      <c r="E276" s="16" t="s">
        <v>480</v>
      </c>
      <c r="F276" s="3" t="s">
        <v>15</v>
      </c>
      <c r="G276" s="3" t="s">
        <v>8</v>
      </c>
      <c r="H276" s="17"/>
      <c r="I276" s="4">
        <v>8.65</v>
      </c>
      <c r="J276" s="5">
        <v>2.9000000000000001E-2</v>
      </c>
      <c r="K276" s="48">
        <f>ROUND(LOG10(Table1[[#This Row],[Return (keep sorted by this column!)]]+1),2)</f>
        <v>0.01</v>
      </c>
      <c r="L276" s="48">
        <f>COUNTIF(Table1[Return (keep sorted by this column!)],"&lt;"&amp;Table1[[#This Row],[Return (keep sorted by this column!)]])</f>
        <v>159</v>
      </c>
      <c r="M276" s="76" t="str">
        <f>IF(Table1[[#This Row],[Team]]="David",Table1[[#This Row],[Return (keep sorted by this column!)]],"")</f>
        <v/>
      </c>
      <c r="N276" s="76">
        <f>IF(Table1[[#This Row],[Team]]="Tom",Table1[[#This Row],[Return (keep sorted by this column!)]],"")</f>
        <v>2.9000000000000001E-2</v>
      </c>
      <c r="O276" s="5">
        <v>5.0000000000000001E-3</v>
      </c>
      <c r="P276" s="68" t="str">
        <f>IF(Table1[[#This Row],[Team]]="David",Table1[[#This Row],[S&amp;P Return, same period]],"")</f>
        <v/>
      </c>
      <c r="Q276" s="68">
        <f>IF(Table1[[#This Row],[Team]]="Tom",Table1[[#This Row],[S&amp;P Return, same period]],"")</f>
        <v>5.0000000000000001E-3</v>
      </c>
      <c r="R276" s="5">
        <v>2.5000000000000001E-2</v>
      </c>
      <c r="S276" s="14" t="str">
        <f>IF(Table1[[#This Row],[Team]]="David",Table1[[#This Row],[Difference Vs. S&amp;P Return]],"")</f>
        <v/>
      </c>
      <c r="T276" s="14">
        <f>IF(Table1[[#This Row],[Team]]="Tom",Table1[[#This Row],[Difference Vs. S&amp;P Return]],"")</f>
        <v>2.5000000000000001E-2</v>
      </c>
      <c r="U276" s="14">
        <f>ROUND((1+Table1[[#This Row],[Return (keep sorted by this column!)]])/(1+Table1[[#This Row],[S&amp;P Return, same period]])-1,1)</f>
        <v>0</v>
      </c>
      <c r="V276" s="15" t="str">
        <f>IF(Table1[[#This Row],[Team]]="David",Table1[[#This Row],[Improvement Vs. S&amp;P Return]],"")</f>
        <v/>
      </c>
      <c r="W276" s="15">
        <f>IF(Table1[[#This Row],[Team]]="Tom",Table1[[#This Row],[Improvement Vs. S&amp;P Return]],"")</f>
        <v>0</v>
      </c>
    </row>
    <row r="277" spans="1:23" ht="60" x14ac:dyDescent="0.2">
      <c r="A277" s="1">
        <v>37323</v>
      </c>
      <c r="B277" s="2" t="s">
        <v>534</v>
      </c>
      <c r="C277" s="2">
        <f>SUBTOTAL(103,Table1[[#This Row],[Recommendation Date]])</f>
        <v>1</v>
      </c>
      <c r="D277" s="2">
        <f>1</f>
        <v>1</v>
      </c>
      <c r="E277" s="16" t="s">
        <v>535</v>
      </c>
      <c r="F277" s="3" t="s">
        <v>536</v>
      </c>
      <c r="G277" s="3" t="s">
        <v>12</v>
      </c>
      <c r="H277" s="17"/>
      <c r="I277" s="4">
        <v>13.27</v>
      </c>
      <c r="J277" s="5">
        <v>2.3E-2</v>
      </c>
      <c r="K277" s="48">
        <f>ROUND(LOG10(Table1[[#This Row],[Return (keep sorted by this column!)]]+1),2)</f>
        <v>0.01</v>
      </c>
      <c r="L277" s="48">
        <f>COUNTIF(Table1[Return (keep sorted by this column!)],"&lt;"&amp;Table1[[#This Row],[Return (keep sorted by this column!)]])</f>
        <v>158</v>
      </c>
      <c r="M277" s="14">
        <f>IF(Table1[[#This Row],[Team]]="David",Table1[[#This Row],[Return (keep sorted by this column!)]],"")</f>
        <v>2.3E-2</v>
      </c>
      <c r="N277" s="14" t="str">
        <f>IF(Table1[[#This Row],[Team]]="Tom",Table1[[#This Row],[Return (keep sorted by this column!)]],"")</f>
        <v/>
      </c>
      <c r="O277" s="5">
        <v>0.54700000000000004</v>
      </c>
      <c r="P277" s="23">
        <f>IF(Table1[[#This Row],[Team]]="David",Table1[[#This Row],[S&amp;P Return, same period]],"")</f>
        <v>0.54700000000000004</v>
      </c>
      <c r="Q277" s="23" t="str">
        <f>IF(Table1[[#This Row],[Team]]="Tom",Table1[[#This Row],[S&amp;P Return, same period]],"")</f>
        <v/>
      </c>
      <c r="R277" s="5">
        <v>-0.52400000000000002</v>
      </c>
      <c r="S277" s="14">
        <f>IF(Table1[[#This Row],[Team]]="David",Table1[[#This Row],[Difference Vs. S&amp;P Return]],"")</f>
        <v>-0.52400000000000002</v>
      </c>
      <c r="T277" s="14" t="str">
        <f>IF(Table1[[#This Row],[Team]]="Tom",Table1[[#This Row],[Difference Vs. S&amp;P Return]],"")</f>
        <v/>
      </c>
      <c r="U277" s="14">
        <f>ROUND((1+Table1[[#This Row],[Return (keep sorted by this column!)]])/(1+Table1[[#This Row],[S&amp;P Return, same period]])-1,1)</f>
        <v>-0.3</v>
      </c>
      <c r="V277" s="15">
        <f>IF(Table1[[#This Row],[Team]]="David",Table1[[#This Row],[Improvement Vs. S&amp;P Return]],"")</f>
        <v>-0.3</v>
      </c>
      <c r="W277" s="15" t="str">
        <f>IF(Table1[[#This Row],[Team]]="Tom",Table1[[#This Row],[Improvement Vs. S&amp;P Return]],"")</f>
        <v/>
      </c>
    </row>
    <row r="278" spans="1:23" ht="60" x14ac:dyDescent="0.2">
      <c r="A278" s="1">
        <v>39773</v>
      </c>
      <c r="B278" s="2" t="s">
        <v>532</v>
      </c>
      <c r="C278" s="2">
        <f>SUBTOTAL(103,Table1[[#This Row],[Recommendation Date]])</f>
        <v>1</v>
      </c>
      <c r="D278" s="2">
        <f>1</f>
        <v>1</v>
      </c>
      <c r="E278" s="16" t="s">
        <v>533</v>
      </c>
      <c r="F278" s="3" t="s">
        <v>66</v>
      </c>
      <c r="G278" s="3" t="s">
        <v>12</v>
      </c>
      <c r="H278" s="17"/>
      <c r="I278" s="4">
        <v>214.91</v>
      </c>
      <c r="J278" s="5">
        <v>2.1000000000000001E-2</v>
      </c>
      <c r="K278" s="48">
        <f>ROUND(LOG10(Table1[[#This Row],[Return (keep sorted by this column!)]]+1),2)</f>
        <v>0.01</v>
      </c>
      <c r="L278" s="48">
        <f>COUNTIF(Table1[Return (keep sorted by this column!)],"&lt;"&amp;Table1[[#This Row],[Return (keep sorted by this column!)]])</f>
        <v>157</v>
      </c>
      <c r="M278" s="14">
        <f>IF(Table1[[#This Row],[Team]]="David",Table1[[#This Row],[Return (keep sorted by this column!)]],"")</f>
        <v>2.1000000000000001E-2</v>
      </c>
      <c r="N278" s="14" t="str">
        <f>IF(Table1[[#This Row],[Team]]="Tom",Table1[[#This Row],[Return (keep sorted by this column!)]],"")</f>
        <v/>
      </c>
      <c r="O278" s="5">
        <v>6.7000000000000004E-2</v>
      </c>
      <c r="P278" s="23">
        <f>IF(Table1[[#This Row],[Team]]="David",Table1[[#This Row],[S&amp;P Return, same period]],"")</f>
        <v>6.7000000000000004E-2</v>
      </c>
      <c r="Q278" s="23" t="str">
        <f>IF(Table1[[#This Row],[Team]]="Tom",Table1[[#This Row],[S&amp;P Return, same period]],"")</f>
        <v/>
      </c>
      <c r="R278" s="5">
        <v>-4.5999999999999999E-2</v>
      </c>
      <c r="S278" s="14">
        <f>IF(Table1[[#This Row],[Team]]="David",Table1[[#This Row],[Difference Vs. S&amp;P Return]],"")</f>
        <v>-4.5999999999999999E-2</v>
      </c>
      <c r="T278" s="14" t="str">
        <f>IF(Table1[[#This Row],[Team]]="Tom",Table1[[#This Row],[Difference Vs. S&amp;P Return]],"")</f>
        <v/>
      </c>
      <c r="U278" s="14">
        <f>ROUND((1+Table1[[#This Row],[Return (keep sorted by this column!)]])/(1+Table1[[#This Row],[S&amp;P Return, same period]])-1,1)</f>
        <v>0</v>
      </c>
      <c r="V278" s="15">
        <f>IF(Table1[[#This Row],[Team]]="David",Table1[[#This Row],[Improvement Vs. S&amp;P Return]],"")</f>
        <v>0</v>
      </c>
      <c r="W278" s="15" t="str">
        <f>IF(Table1[[#This Row],[Team]]="Tom",Table1[[#This Row],[Improvement Vs. S&amp;P Return]],"")</f>
        <v/>
      </c>
    </row>
    <row r="279" spans="1:23" ht="45" x14ac:dyDescent="0.2">
      <c r="A279" s="1">
        <v>37568</v>
      </c>
      <c r="B279" s="2" t="s">
        <v>724</v>
      </c>
      <c r="C279" s="2">
        <f>SUBTOTAL(103,Table1[[#This Row],[Recommendation Date]])</f>
        <v>1</v>
      </c>
      <c r="D279" s="2">
        <f>1</f>
        <v>1</v>
      </c>
      <c r="E279" s="16" t="s">
        <v>725</v>
      </c>
      <c r="F279" s="3" t="s">
        <v>252</v>
      </c>
      <c r="G279" s="3" t="s">
        <v>8</v>
      </c>
      <c r="H279" s="17"/>
      <c r="I279" s="4">
        <v>9.68</v>
      </c>
      <c r="J279" s="5">
        <v>1.7999999999999999E-2</v>
      </c>
      <c r="K279" s="48">
        <f>ROUND(LOG10(Table1[[#This Row],[Return (keep sorted by this column!)]]+1),2)</f>
        <v>0.01</v>
      </c>
      <c r="L279" s="48">
        <f>COUNTIF(Table1[Return (keep sorted by this column!)],"&lt;"&amp;Table1[[#This Row],[Return (keep sorted by this column!)]])</f>
        <v>156</v>
      </c>
      <c r="M279" s="14" t="str">
        <f>IF(Table1[[#This Row],[Team]]="David",Table1[[#This Row],[Return (keep sorted by this column!)]],"")</f>
        <v/>
      </c>
      <c r="N279" s="14">
        <f>IF(Table1[[#This Row],[Team]]="Tom",Table1[[#This Row],[Return (keep sorted by this column!)]],"")</f>
        <v>1.7999999999999999E-2</v>
      </c>
      <c r="O279" s="5">
        <v>0.108</v>
      </c>
      <c r="P279" s="23" t="str">
        <f>IF(Table1[[#This Row],[Team]]="David",Table1[[#This Row],[S&amp;P Return, same period]],"")</f>
        <v/>
      </c>
      <c r="Q279" s="23">
        <f>IF(Table1[[#This Row],[Team]]="Tom",Table1[[#This Row],[S&amp;P Return, same period]],"")</f>
        <v>0.108</v>
      </c>
      <c r="R279" s="5">
        <v>-0.09</v>
      </c>
      <c r="S279" s="14" t="str">
        <f>IF(Table1[[#This Row],[Team]]="David",Table1[[#This Row],[Difference Vs. S&amp;P Return]],"")</f>
        <v/>
      </c>
      <c r="T279" s="14">
        <f>IF(Table1[[#This Row],[Team]]="Tom",Table1[[#This Row],[Difference Vs. S&amp;P Return]],"")</f>
        <v>-0.09</v>
      </c>
      <c r="U279" s="14">
        <f>ROUND((1+Table1[[#This Row],[Return (keep sorted by this column!)]])/(1+Table1[[#This Row],[S&amp;P Return, same period]])-1,1)</f>
        <v>-0.1</v>
      </c>
      <c r="V279" s="15" t="str">
        <f>IF(Table1[[#This Row],[Team]]="David",Table1[[#This Row],[Improvement Vs. S&amp;P Return]],"")</f>
        <v/>
      </c>
      <c r="W279" s="15">
        <f>IF(Table1[[#This Row],[Team]]="Tom",Table1[[#This Row],[Improvement Vs. S&amp;P Return]],"")</f>
        <v>-0.1</v>
      </c>
    </row>
    <row r="280" spans="1:23" ht="17" x14ac:dyDescent="0.2">
      <c r="A280" s="18">
        <v>43391</v>
      </c>
      <c r="B280" s="2" t="s">
        <v>90</v>
      </c>
      <c r="C280" s="2">
        <f>SUBTOTAL(103,Table1[[#This Row],[Recommendation Date]])</f>
        <v>1</v>
      </c>
      <c r="D280" s="2">
        <f>1</f>
        <v>1</v>
      </c>
      <c r="E280" s="16" t="s">
        <v>91</v>
      </c>
      <c r="F280" s="3" t="s">
        <v>92</v>
      </c>
      <c r="G280" s="3" t="s">
        <v>12</v>
      </c>
      <c r="H280" s="16">
        <v>9</v>
      </c>
      <c r="I280" s="4">
        <v>1770.72</v>
      </c>
      <c r="J280" s="5">
        <v>1.7000000000000001E-2</v>
      </c>
      <c r="K280" s="48">
        <f>ROUND(LOG10(Table1[[#This Row],[Return (keep sorted by this column!)]]+1),2)</f>
        <v>0.01</v>
      </c>
      <c r="L280" s="48">
        <f>COUNTIF(Table1[Return (keep sorted by this column!)],"&lt;"&amp;Table1[[#This Row],[Return (keep sorted by this column!)]])</f>
        <v>155</v>
      </c>
      <c r="M280" s="76">
        <f>IF(Table1[[#This Row],[Team]]="David",Table1[[#This Row],[Return (keep sorted by this column!)]],"")</f>
        <v>1.7000000000000001E-2</v>
      </c>
      <c r="N280" s="76" t="str">
        <f>IF(Table1[[#This Row],[Team]]="Tom",Table1[[#This Row],[Return (keep sorted by this column!)]],"")</f>
        <v/>
      </c>
      <c r="O280" s="5">
        <v>0.02</v>
      </c>
      <c r="P280" s="68">
        <f>IF(Table1[[#This Row],[Team]]="David",Table1[[#This Row],[S&amp;P Return, same period]],"")</f>
        <v>0.02</v>
      </c>
      <c r="Q280" s="68" t="str">
        <f>IF(Table1[[#This Row],[Team]]="Tom",Table1[[#This Row],[S&amp;P Return, same period]],"")</f>
        <v/>
      </c>
      <c r="R280" s="5">
        <v>-3.0000000000000001E-3</v>
      </c>
      <c r="S280" s="14">
        <f>IF(Table1[[#This Row],[Team]]="David",Table1[[#This Row],[Difference Vs. S&amp;P Return]],"")</f>
        <v>-3.0000000000000001E-3</v>
      </c>
      <c r="T280" s="14" t="str">
        <f>IF(Table1[[#This Row],[Team]]="Tom",Table1[[#This Row],[Difference Vs. S&amp;P Return]],"")</f>
        <v/>
      </c>
      <c r="U280" s="14">
        <f>ROUND((1+Table1[[#This Row],[Return (keep sorted by this column!)]])/(1+Table1[[#This Row],[S&amp;P Return, same period]])-1,1)</f>
        <v>0</v>
      </c>
      <c r="V280" s="15">
        <f>IF(Table1[[#This Row],[Team]]="David",Table1[[#This Row],[Improvement Vs. S&amp;P Return]],"")</f>
        <v>0</v>
      </c>
      <c r="W280" s="15" t="str">
        <f>IF(Table1[[#This Row],[Team]]="Tom",Table1[[#This Row],[Improvement Vs. S&amp;P Return]],"")</f>
        <v/>
      </c>
    </row>
    <row r="281" spans="1:23" ht="30" x14ac:dyDescent="0.2">
      <c r="A281" s="1">
        <v>38002</v>
      </c>
      <c r="B281" s="2" t="s">
        <v>694</v>
      </c>
      <c r="C281" s="2">
        <f>SUBTOTAL(103,Table1[[#This Row],[Recommendation Date]])</f>
        <v>1</v>
      </c>
      <c r="D281" s="2">
        <f>1</f>
        <v>1</v>
      </c>
      <c r="E281" s="16" t="s">
        <v>695</v>
      </c>
      <c r="F281" s="3" t="s">
        <v>389</v>
      </c>
      <c r="G281" s="3" t="s">
        <v>8</v>
      </c>
      <c r="H281" s="17"/>
      <c r="I281" s="4">
        <v>39.9</v>
      </c>
      <c r="J281" s="5">
        <v>1.0999999999999999E-2</v>
      </c>
      <c r="K281" s="48">
        <f>ROUND(LOG10(Table1[[#This Row],[Return (keep sorted by this column!)]]+1),2)</f>
        <v>0</v>
      </c>
      <c r="L281" s="48">
        <f>COUNTIF(Table1[Return (keep sorted by this column!)],"&lt;"&amp;Table1[[#This Row],[Return (keep sorted by this column!)]])</f>
        <v>154</v>
      </c>
      <c r="M281" s="14" t="str">
        <f>IF(Table1[[#This Row],[Team]]="David",Table1[[#This Row],[Return (keep sorted by this column!)]],"")</f>
        <v/>
      </c>
      <c r="N281" s="14">
        <f>IF(Table1[[#This Row],[Team]]="Tom",Table1[[#This Row],[Return (keep sorted by this column!)]],"")</f>
        <v>1.0999999999999999E-2</v>
      </c>
      <c r="O281" s="5">
        <v>0.13200000000000001</v>
      </c>
      <c r="P281" s="23" t="str">
        <f>IF(Table1[[#This Row],[Team]]="David",Table1[[#This Row],[S&amp;P Return, same period]],"")</f>
        <v/>
      </c>
      <c r="Q281" s="23">
        <f>IF(Table1[[#This Row],[Team]]="Tom",Table1[[#This Row],[S&amp;P Return, same period]],"")</f>
        <v>0.13200000000000001</v>
      </c>
      <c r="R281" s="5">
        <v>-0.121</v>
      </c>
      <c r="S281" s="14" t="str">
        <f>IF(Table1[[#This Row],[Team]]="David",Table1[[#This Row],[Difference Vs. S&amp;P Return]],"")</f>
        <v/>
      </c>
      <c r="T281" s="14">
        <f>IF(Table1[[#This Row],[Team]]="Tom",Table1[[#This Row],[Difference Vs. S&amp;P Return]],"")</f>
        <v>-0.121</v>
      </c>
      <c r="U281" s="14">
        <f>ROUND((1+Table1[[#This Row],[Return (keep sorted by this column!)]])/(1+Table1[[#This Row],[S&amp;P Return, same period]])-1,1)</f>
        <v>-0.1</v>
      </c>
      <c r="V281" s="15" t="str">
        <f>IF(Table1[[#This Row],[Team]]="David",Table1[[#This Row],[Improvement Vs. S&amp;P Return]],"")</f>
        <v/>
      </c>
      <c r="W281" s="15">
        <f>IF(Table1[[#This Row],[Team]]="Tom",Table1[[#This Row],[Improvement Vs. S&amp;P Return]],"")</f>
        <v>-0.1</v>
      </c>
    </row>
    <row r="282" spans="1:23" ht="60" x14ac:dyDescent="0.2">
      <c r="A282" s="1">
        <v>41320</v>
      </c>
      <c r="B282" s="2" t="s">
        <v>350</v>
      </c>
      <c r="C282" s="2">
        <f>SUBTOTAL(103,Table1[[#This Row],[Recommendation Date]])</f>
        <v>1</v>
      </c>
      <c r="D282" s="2">
        <f>1</f>
        <v>1</v>
      </c>
      <c r="E282" s="16" t="s">
        <v>351</v>
      </c>
      <c r="F282" s="3" t="s">
        <v>252</v>
      </c>
      <c r="G282" s="3" t="s">
        <v>12</v>
      </c>
      <c r="H282" s="17"/>
      <c r="I282" s="4">
        <v>41.47</v>
      </c>
      <c r="J282" s="5">
        <v>7.0000000000000001E-3</v>
      </c>
      <c r="K282" s="48">
        <f>ROUND(LOG10(Table1[[#This Row],[Return (keep sorted by this column!)]]+1),2)</f>
        <v>0</v>
      </c>
      <c r="L282" s="48">
        <f>COUNTIF(Table1[Return (keep sorted by this column!)],"&lt;"&amp;Table1[[#This Row],[Return (keep sorted by this column!)]])</f>
        <v>153</v>
      </c>
      <c r="M282" s="76">
        <f>IF(Table1[[#This Row],[Team]]="David",Table1[[#This Row],[Return (keep sorted by this column!)]],"")</f>
        <v>7.0000000000000001E-3</v>
      </c>
      <c r="N282" s="76" t="str">
        <f>IF(Table1[[#This Row],[Team]]="Tom",Table1[[#This Row],[Return (keep sorted by this column!)]],"")</f>
        <v/>
      </c>
      <c r="O282" s="5">
        <v>0.78900000000000003</v>
      </c>
      <c r="P282" s="68">
        <f>IF(Table1[[#This Row],[Team]]="David",Table1[[#This Row],[S&amp;P Return, same period]],"")</f>
        <v>0.78900000000000003</v>
      </c>
      <c r="Q282" s="68" t="str">
        <f>IF(Table1[[#This Row],[Team]]="Tom",Table1[[#This Row],[S&amp;P Return, same period]],"")</f>
        <v/>
      </c>
      <c r="R282" s="5">
        <v>-0.78200000000000003</v>
      </c>
      <c r="S282" s="14">
        <f>IF(Table1[[#This Row],[Team]]="David",Table1[[#This Row],[Difference Vs. S&amp;P Return]],"")</f>
        <v>-0.78200000000000003</v>
      </c>
      <c r="T282" s="14" t="str">
        <f>IF(Table1[[#This Row],[Team]]="Tom",Table1[[#This Row],[Difference Vs. S&amp;P Return]],"")</f>
        <v/>
      </c>
      <c r="U282" s="14">
        <f>ROUND((1+Table1[[#This Row],[Return (keep sorted by this column!)]])/(1+Table1[[#This Row],[S&amp;P Return, same period]])-1,1)</f>
        <v>-0.4</v>
      </c>
      <c r="V282" s="15">
        <f>IF(Table1[[#This Row],[Team]]="David",Table1[[#This Row],[Improvement Vs. S&amp;P Return]],"")</f>
        <v>-0.4</v>
      </c>
      <c r="W282" s="15" t="str">
        <f>IF(Table1[[#This Row],[Team]]="Tom",Table1[[#This Row],[Improvement Vs. S&amp;P Return]],"")</f>
        <v/>
      </c>
    </row>
    <row r="283" spans="1:23" ht="17" x14ac:dyDescent="0.2">
      <c r="A283" s="18">
        <v>42965</v>
      </c>
      <c r="B283" s="2" t="s">
        <v>145</v>
      </c>
      <c r="C283" s="2">
        <f>SUBTOTAL(103,Table1[[#This Row],[Recommendation Date]])</f>
        <v>1</v>
      </c>
      <c r="D283" s="2">
        <f>1</f>
        <v>1</v>
      </c>
      <c r="E283" s="16" t="s">
        <v>146</v>
      </c>
      <c r="F283" s="3" t="s">
        <v>147</v>
      </c>
      <c r="G283" s="3" t="s">
        <v>12</v>
      </c>
      <c r="H283" s="16">
        <v>10</v>
      </c>
      <c r="I283" s="4">
        <v>40.130000000000003</v>
      </c>
      <c r="J283" s="5">
        <v>-6.0000000000000001E-3</v>
      </c>
      <c r="K283" s="48">
        <f>ROUND(LOG10(Table1[[#This Row],[Return (keep sorted by this column!)]]+1),2)</f>
        <v>0</v>
      </c>
      <c r="L283" s="48">
        <f>COUNTIF(Table1[Return (keep sorted by this column!)],"&lt;"&amp;Table1[[#This Row],[Return (keep sorted by this column!)]])</f>
        <v>151</v>
      </c>
      <c r="M283" s="76">
        <f>IF(Table1[[#This Row],[Team]]="David",Table1[[#This Row],[Return (keep sorted by this column!)]],"")</f>
        <v>-6.0000000000000001E-3</v>
      </c>
      <c r="N283" s="76" t="str">
        <f>IF(Table1[[#This Row],[Team]]="Tom",Table1[[#This Row],[Return (keep sorted by this column!)]],"")</f>
        <v/>
      </c>
      <c r="O283" s="5">
        <v>0.191</v>
      </c>
      <c r="P283" s="68">
        <f>IF(Table1[[#This Row],[Team]]="David",Table1[[#This Row],[S&amp;P Return, same period]],"")</f>
        <v>0.191</v>
      </c>
      <c r="Q283" s="68" t="str">
        <f>IF(Table1[[#This Row],[Team]]="Tom",Table1[[#This Row],[S&amp;P Return, same period]],"")</f>
        <v/>
      </c>
      <c r="R283" s="5">
        <v>-0.19600000000000001</v>
      </c>
      <c r="S283" s="14">
        <f>IF(Table1[[#This Row],[Team]]="David",Table1[[#This Row],[Difference Vs. S&amp;P Return]],"")</f>
        <v>-0.19600000000000001</v>
      </c>
      <c r="T283" s="14" t="str">
        <f>IF(Table1[[#This Row],[Team]]="Tom",Table1[[#This Row],[Difference Vs. S&amp;P Return]],"")</f>
        <v/>
      </c>
      <c r="U283" s="14">
        <f>ROUND((1+Table1[[#This Row],[Return (keep sorted by this column!)]])/(1+Table1[[#This Row],[S&amp;P Return, same period]])-1,1)</f>
        <v>-0.2</v>
      </c>
      <c r="V283" s="15">
        <f>IF(Table1[[#This Row],[Team]]="David",Table1[[#This Row],[Improvement Vs. S&amp;P Return]],"")</f>
        <v>-0.2</v>
      </c>
      <c r="W283" s="15" t="str">
        <f>IF(Table1[[#This Row],[Team]]="Tom",Table1[[#This Row],[Improvement Vs. S&amp;P Return]],"")</f>
        <v/>
      </c>
    </row>
    <row r="284" spans="1:23" ht="75" x14ac:dyDescent="0.2">
      <c r="A284" s="1">
        <v>38310</v>
      </c>
      <c r="B284" s="2" t="s">
        <v>668</v>
      </c>
      <c r="C284" s="2">
        <f>SUBTOTAL(103,Table1[[#This Row],[Recommendation Date]])</f>
        <v>1</v>
      </c>
      <c r="D284" s="2">
        <f>1</f>
        <v>1</v>
      </c>
      <c r="E284" s="16" t="s">
        <v>669</v>
      </c>
      <c r="F284" s="3" t="s">
        <v>670</v>
      </c>
      <c r="G284" s="3" t="s">
        <v>12</v>
      </c>
      <c r="H284" s="16">
        <v>18</v>
      </c>
      <c r="I284" s="4">
        <v>21.7</v>
      </c>
      <c r="J284" s="5">
        <v>-6.0000000000000001E-3</v>
      </c>
      <c r="K284" s="48">
        <f>ROUND(LOG10(Table1[[#This Row],[Return (keep sorted by this column!)]]+1),2)</f>
        <v>0</v>
      </c>
      <c r="L284" s="48">
        <f>COUNTIF(Table1[Return (keep sorted by this column!)],"&lt;"&amp;Table1[[#This Row],[Return (keep sorted by this column!)]])</f>
        <v>151</v>
      </c>
      <c r="M284" s="14">
        <f>IF(Table1[[#This Row],[Team]]="David",Table1[[#This Row],[Return (keep sorted by this column!)]],"")</f>
        <v>-6.0000000000000001E-3</v>
      </c>
      <c r="N284" s="14" t="str">
        <f>IF(Table1[[#This Row],[Team]]="Tom",Table1[[#This Row],[Return (keep sorted by this column!)]],"")</f>
        <v/>
      </c>
      <c r="O284" s="5">
        <v>1.7689999999999999</v>
      </c>
      <c r="P284" s="23">
        <f>IF(Table1[[#This Row],[Team]]="David",Table1[[#This Row],[S&amp;P Return, same period]],"")</f>
        <v>1.7689999999999999</v>
      </c>
      <c r="Q284" s="23" t="str">
        <f>IF(Table1[[#This Row],[Team]]="Tom",Table1[[#This Row],[S&amp;P Return, same period]],"")</f>
        <v/>
      </c>
      <c r="R284" s="5">
        <v>-1.7749999999999999</v>
      </c>
      <c r="S284" s="14">
        <f>IF(Table1[[#This Row],[Team]]="David",Table1[[#This Row],[Difference Vs. S&amp;P Return]],"")</f>
        <v>-1.7749999999999999</v>
      </c>
      <c r="T284" s="14" t="str">
        <f>IF(Table1[[#This Row],[Team]]="Tom",Table1[[#This Row],[Difference Vs. S&amp;P Return]],"")</f>
        <v/>
      </c>
      <c r="U284" s="14">
        <f>ROUND((1+Table1[[#This Row],[Return (keep sorted by this column!)]])/(1+Table1[[#This Row],[S&amp;P Return, same period]])-1,1)</f>
        <v>-0.6</v>
      </c>
      <c r="V284" s="15">
        <f>IF(Table1[[#This Row],[Team]]="David",Table1[[#This Row],[Improvement Vs. S&amp;P Return]],"")</f>
        <v>-0.6</v>
      </c>
      <c r="W284" s="15" t="str">
        <f>IF(Table1[[#This Row],[Team]]="Tom",Table1[[#This Row],[Improvement Vs. S&amp;P Return]],"")</f>
        <v/>
      </c>
    </row>
    <row r="285" spans="1:23" ht="17" x14ac:dyDescent="0.2">
      <c r="A285" s="18">
        <v>41691</v>
      </c>
      <c r="B285" s="2" t="s">
        <v>315</v>
      </c>
      <c r="C285" s="2">
        <f>SUBTOTAL(103,Table1[[#This Row],[Recommendation Date]])</f>
        <v>1</v>
      </c>
      <c r="D285" s="2">
        <f>1</f>
        <v>1</v>
      </c>
      <c r="E285" s="16" t="s">
        <v>316</v>
      </c>
      <c r="F285" s="3" t="s">
        <v>317</v>
      </c>
      <c r="G285" s="3" t="s">
        <v>12</v>
      </c>
      <c r="H285" s="16">
        <v>10</v>
      </c>
      <c r="I285" s="4">
        <v>62.13</v>
      </c>
      <c r="J285" s="5">
        <v>-1.2999999999999999E-2</v>
      </c>
      <c r="K285" s="48">
        <f>ROUND(LOG10(Table1[[#This Row],[Return (keep sorted by this column!)]]+1),2)</f>
        <v>-0.01</v>
      </c>
      <c r="L285" s="48">
        <f>COUNTIF(Table1[Return (keep sorted by this column!)],"&lt;"&amp;Table1[[#This Row],[Return (keep sorted by this column!)]])</f>
        <v>150</v>
      </c>
      <c r="M285" s="76">
        <f>IF(Table1[[#This Row],[Team]]="David",Table1[[#This Row],[Return (keep sorted by this column!)]],"")</f>
        <v>-1.2999999999999999E-2</v>
      </c>
      <c r="N285" s="76" t="str">
        <f>IF(Table1[[#This Row],[Team]]="Tom",Table1[[#This Row],[Return (keep sorted by this column!)]],"")</f>
        <v/>
      </c>
      <c r="O285" s="5">
        <v>0.69199999999999995</v>
      </c>
      <c r="P285" s="68">
        <f>IF(Table1[[#This Row],[Team]]="David",Table1[[#This Row],[S&amp;P Return, same period]],"")</f>
        <v>0.69199999999999995</v>
      </c>
      <c r="Q285" s="68" t="str">
        <f>IF(Table1[[#This Row],[Team]]="Tom",Table1[[#This Row],[S&amp;P Return, same period]],"")</f>
        <v/>
      </c>
      <c r="R285" s="5">
        <v>-0.70599999999999996</v>
      </c>
      <c r="S285" s="14">
        <f>IF(Table1[[#This Row],[Team]]="David",Table1[[#This Row],[Difference Vs. S&amp;P Return]],"")</f>
        <v>-0.70599999999999996</v>
      </c>
      <c r="T285" s="14" t="str">
        <f>IF(Table1[[#This Row],[Team]]="Tom",Table1[[#This Row],[Difference Vs. S&amp;P Return]],"")</f>
        <v/>
      </c>
      <c r="U285" s="14">
        <f>ROUND((1+Table1[[#This Row],[Return (keep sorted by this column!)]])/(1+Table1[[#This Row],[S&amp;P Return, same period]])-1,1)</f>
        <v>-0.4</v>
      </c>
      <c r="V285" s="15">
        <f>IF(Table1[[#This Row],[Team]]="David",Table1[[#This Row],[Improvement Vs. S&amp;P Return]],"")</f>
        <v>-0.4</v>
      </c>
      <c r="W285" s="15" t="str">
        <f>IF(Table1[[#This Row],[Team]]="Tom",Table1[[#This Row],[Improvement Vs. S&amp;P Return]],"")</f>
        <v/>
      </c>
    </row>
    <row r="286" spans="1:23" ht="30" x14ac:dyDescent="0.2">
      <c r="A286" s="18">
        <v>43636</v>
      </c>
      <c r="B286" s="2" t="s">
        <v>53</v>
      </c>
      <c r="C286" s="2">
        <f>SUBTOTAL(103,Table1[[#This Row],[Recommendation Date]])</f>
        <v>1</v>
      </c>
      <c r="D286" s="2">
        <f>1</f>
        <v>1</v>
      </c>
      <c r="E286" s="16" t="s">
        <v>54</v>
      </c>
      <c r="F286" s="3" t="s">
        <v>55</v>
      </c>
      <c r="G286" s="3" t="s">
        <v>12</v>
      </c>
      <c r="H286" s="16">
        <v>10</v>
      </c>
      <c r="I286" s="4">
        <v>114.52</v>
      </c>
      <c r="J286" s="5">
        <v>-2.1000000000000001E-2</v>
      </c>
      <c r="K286" s="48">
        <f>ROUND(LOG10(Table1[[#This Row],[Return (keep sorted by this column!)]]+1),2)</f>
        <v>-0.01</v>
      </c>
      <c r="L286" s="48">
        <f>COUNTIF(Table1[Return (keep sorted by this column!)],"&lt;"&amp;Table1[[#This Row],[Return (keep sorted by this column!)]])</f>
        <v>149</v>
      </c>
      <c r="M286" s="76">
        <f>IF(Table1[[#This Row],[Team]]="David",Table1[[#This Row],[Return (keep sorted by this column!)]],"")</f>
        <v>-2.1000000000000001E-2</v>
      </c>
      <c r="N286" s="76" t="str">
        <f>IF(Table1[[#This Row],[Team]]="Tom",Table1[[#This Row],[Return (keep sorted by this column!)]],"")</f>
        <v/>
      </c>
      <c r="O286" s="5">
        <v>-5.7000000000000002E-2</v>
      </c>
      <c r="P286" s="68">
        <f>IF(Table1[[#This Row],[Team]]="David",Table1[[#This Row],[S&amp;P Return, same period]],"")</f>
        <v>-5.7000000000000002E-2</v>
      </c>
      <c r="Q286" s="68" t="str">
        <f>IF(Table1[[#This Row],[Team]]="Tom",Table1[[#This Row],[S&amp;P Return, same period]],"")</f>
        <v/>
      </c>
      <c r="R286" s="5">
        <v>3.5999999999999997E-2</v>
      </c>
      <c r="S286" s="14">
        <f>IF(Table1[[#This Row],[Team]]="David",Table1[[#This Row],[Difference Vs. S&amp;P Return]],"")</f>
        <v>3.5999999999999997E-2</v>
      </c>
      <c r="T286" s="14" t="str">
        <f>IF(Table1[[#This Row],[Team]]="Tom",Table1[[#This Row],[Difference Vs. S&amp;P Return]],"")</f>
        <v/>
      </c>
      <c r="U286" s="14">
        <f>ROUND((1+Table1[[#This Row],[Return (keep sorted by this column!)]])/(1+Table1[[#This Row],[S&amp;P Return, same period]])-1,1)</f>
        <v>0</v>
      </c>
      <c r="V286" s="15">
        <f>IF(Table1[[#This Row],[Team]]="David",Table1[[#This Row],[Improvement Vs. S&amp;P Return]],"")</f>
        <v>0</v>
      </c>
      <c r="W286" s="15" t="str">
        <f>IF(Table1[[#This Row],[Team]]="Tom",Table1[[#This Row],[Improvement Vs. S&amp;P Return]],"")</f>
        <v/>
      </c>
    </row>
    <row r="287" spans="1:23" ht="60" x14ac:dyDescent="0.2">
      <c r="A287" s="1">
        <v>40375</v>
      </c>
      <c r="B287" s="2" t="s">
        <v>358</v>
      </c>
      <c r="C287" s="2">
        <f>SUBTOTAL(103,Table1[[#This Row],[Recommendation Date]])</f>
        <v>1</v>
      </c>
      <c r="D287" s="2">
        <f>1</f>
        <v>1</v>
      </c>
      <c r="E287" s="16" t="s">
        <v>359</v>
      </c>
      <c r="F287" s="3" t="s">
        <v>41</v>
      </c>
      <c r="G287" s="3" t="s">
        <v>12</v>
      </c>
      <c r="H287" s="16">
        <v>19</v>
      </c>
      <c r="I287" s="4">
        <v>16.02</v>
      </c>
      <c r="J287" s="5">
        <v>-2.4E-2</v>
      </c>
      <c r="K287" s="48">
        <f>ROUND(LOG10(Table1[[#This Row],[Return (keep sorted by this column!)]]+1),2)</f>
        <v>-0.01</v>
      </c>
      <c r="L287" s="48">
        <f>COUNTIF(Table1[Return (keep sorted by this column!)],"&lt;"&amp;Table1[[#This Row],[Return (keep sorted by this column!)]])</f>
        <v>148</v>
      </c>
      <c r="M287" s="76">
        <f>IF(Table1[[#This Row],[Team]]="David",Table1[[#This Row],[Return (keep sorted by this column!)]],"")</f>
        <v>-2.4E-2</v>
      </c>
      <c r="N287" s="76" t="str">
        <f>IF(Table1[[#This Row],[Team]]="Tom",Table1[[#This Row],[Return (keep sorted by this column!)]],"")</f>
        <v/>
      </c>
      <c r="O287" s="5">
        <v>2.2989999999999999</v>
      </c>
      <c r="P287" s="68">
        <f>IF(Table1[[#This Row],[Team]]="David",Table1[[#This Row],[S&amp;P Return, same period]],"")</f>
        <v>2.2989999999999999</v>
      </c>
      <c r="Q287" s="68" t="str">
        <f>IF(Table1[[#This Row],[Team]]="Tom",Table1[[#This Row],[S&amp;P Return, same period]],"")</f>
        <v/>
      </c>
      <c r="R287" s="5">
        <v>-2.323</v>
      </c>
      <c r="S287" s="14">
        <f>IF(Table1[[#This Row],[Team]]="David",Table1[[#This Row],[Difference Vs. S&amp;P Return]],"")</f>
        <v>-2.323</v>
      </c>
      <c r="T287" s="14" t="str">
        <f>IF(Table1[[#This Row],[Team]]="Tom",Table1[[#This Row],[Difference Vs. S&amp;P Return]],"")</f>
        <v/>
      </c>
      <c r="U287" s="14">
        <f>ROUND((1+Table1[[#This Row],[Return (keep sorted by this column!)]])/(1+Table1[[#This Row],[S&amp;P Return, same period]])-1,1)</f>
        <v>-0.7</v>
      </c>
      <c r="V287" s="15">
        <f>IF(Table1[[#This Row],[Team]]="David",Table1[[#This Row],[Improvement Vs. S&amp;P Return]],"")</f>
        <v>-0.7</v>
      </c>
      <c r="W287" s="15" t="str">
        <f>IF(Table1[[#This Row],[Team]]="Tom",Table1[[#This Row],[Improvement Vs. S&amp;P Return]],"")</f>
        <v/>
      </c>
    </row>
    <row r="288" spans="1:23" ht="30" x14ac:dyDescent="0.2">
      <c r="A288" s="18">
        <v>42965</v>
      </c>
      <c r="B288" s="2" t="s">
        <v>143</v>
      </c>
      <c r="C288" s="2">
        <f>SUBTOTAL(103,Table1[[#This Row],[Recommendation Date]])</f>
        <v>1</v>
      </c>
      <c r="D288" s="2">
        <f>1</f>
        <v>1</v>
      </c>
      <c r="E288" s="16" t="s">
        <v>144</v>
      </c>
      <c r="F288" s="3" t="s">
        <v>58</v>
      </c>
      <c r="G288" s="3" t="s">
        <v>8</v>
      </c>
      <c r="H288" s="17"/>
      <c r="I288" s="4">
        <v>80.010000000000005</v>
      </c>
      <c r="J288" s="5">
        <v>-2.5999999999999999E-2</v>
      </c>
      <c r="K288" s="48">
        <f>ROUND(LOG10(Table1[[#This Row],[Return (keep sorted by this column!)]]+1),2)</f>
        <v>-0.01</v>
      </c>
      <c r="L288" s="48">
        <f>COUNTIF(Table1[Return (keep sorted by this column!)],"&lt;"&amp;Table1[[#This Row],[Return (keep sorted by this column!)]])</f>
        <v>147</v>
      </c>
      <c r="M288" s="76" t="str">
        <f>IF(Table1[[#This Row],[Team]]="David",Table1[[#This Row],[Return (keep sorted by this column!)]],"")</f>
        <v/>
      </c>
      <c r="N288" s="76">
        <f>IF(Table1[[#This Row],[Team]]="Tom",Table1[[#This Row],[Return (keep sorted by this column!)]],"")</f>
        <v>-2.5999999999999999E-2</v>
      </c>
      <c r="O288" s="5">
        <v>0.191</v>
      </c>
      <c r="P288" s="68" t="str">
        <f>IF(Table1[[#This Row],[Team]]="David",Table1[[#This Row],[S&amp;P Return, same period]],"")</f>
        <v/>
      </c>
      <c r="Q288" s="68">
        <f>IF(Table1[[#This Row],[Team]]="Tom",Table1[[#This Row],[S&amp;P Return, same period]],"")</f>
        <v>0.191</v>
      </c>
      <c r="R288" s="5">
        <v>-0.217</v>
      </c>
      <c r="S288" s="14" t="str">
        <f>IF(Table1[[#This Row],[Team]]="David",Table1[[#This Row],[Difference Vs. S&amp;P Return]],"")</f>
        <v/>
      </c>
      <c r="T288" s="14">
        <f>IF(Table1[[#This Row],[Team]]="Tom",Table1[[#This Row],[Difference Vs. S&amp;P Return]],"")</f>
        <v>-0.217</v>
      </c>
      <c r="U288" s="14">
        <f>ROUND((1+Table1[[#This Row],[Return (keep sorted by this column!)]])/(1+Table1[[#This Row],[S&amp;P Return, same period]])-1,1)</f>
        <v>-0.2</v>
      </c>
      <c r="V288" s="15" t="str">
        <f>IF(Table1[[#This Row],[Team]]="David",Table1[[#This Row],[Improvement Vs. S&amp;P Return]],"")</f>
        <v/>
      </c>
      <c r="W288" s="15">
        <f>IF(Table1[[#This Row],[Team]]="Tom",Table1[[#This Row],[Improvement Vs. S&amp;P Return]],"")</f>
        <v>-0.2</v>
      </c>
    </row>
    <row r="289" spans="1:23" ht="60" x14ac:dyDescent="0.2">
      <c r="A289" s="1">
        <v>41593</v>
      </c>
      <c r="B289" s="2" t="s">
        <v>327</v>
      </c>
      <c r="C289" s="2">
        <f>SUBTOTAL(103,Table1[[#This Row],[Recommendation Date]])</f>
        <v>1</v>
      </c>
      <c r="D289" s="2">
        <f>1</f>
        <v>1</v>
      </c>
      <c r="E289" s="16" t="s">
        <v>328</v>
      </c>
      <c r="F289" s="3" t="s">
        <v>27</v>
      </c>
      <c r="G289" s="3" t="s">
        <v>8</v>
      </c>
      <c r="H289" s="17"/>
      <c r="I289" s="4">
        <v>50.11</v>
      </c>
      <c r="J289" s="5">
        <v>-2.8000000000000001E-2</v>
      </c>
      <c r="K289" s="48">
        <f>ROUND(LOG10(Table1[[#This Row],[Return (keep sorted by this column!)]]+1),2)</f>
        <v>-0.01</v>
      </c>
      <c r="L289" s="48">
        <f>COUNTIF(Table1[Return (keep sorted by this column!)],"&lt;"&amp;Table1[[#This Row],[Return (keep sorted by this column!)]])</f>
        <v>146</v>
      </c>
      <c r="M289" s="76" t="str">
        <f>IF(Table1[[#This Row],[Team]]="David",Table1[[#This Row],[Return (keep sorted by this column!)]],"")</f>
        <v/>
      </c>
      <c r="N289" s="76">
        <f>IF(Table1[[#This Row],[Team]]="Tom",Table1[[#This Row],[Return (keep sorted by this column!)]],"")</f>
        <v>-2.8000000000000001E-2</v>
      </c>
      <c r="O289" s="5">
        <v>0.59899999999999998</v>
      </c>
      <c r="P289" s="68" t="str">
        <f>IF(Table1[[#This Row],[Team]]="David",Table1[[#This Row],[S&amp;P Return, same period]],"")</f>
        <v/>
      </c>
      <c r="Q289" s="68">
        <f>IF(Table1[[#This Row],[Team]]="Tom",Table1[[#This Row],[S&amp;P Return, same period]],"")</f>
        <v>0.59899999999999998</v>
      </c>
      <c r="R289" s="5">
        <v>-0.627</v>
      </c>
      <c r="S289" s="14" t="str">
        <f>IF(Table1[[#This Row],[Team]]="David",Table1[[#This Row],[Difference Vs. S&amp;P Return]],"")</f>
        <v/>
      </c>
      <c r="T289" s="14">
        <f>IF(Table1[[#This Row],[Team]]="Tom",Table1[[#This Row],[Difference Vs. S&amp;P Return]],"")</f>
        <v>-0.627</v>
      </c>
      <c r="U289" s="14">
        <f>ROUND((1+Table1[[#This Row],[Return (keep sorted by this column!)]])/(1+Table1[[#This Row],[S&amp;P Return, same period]])-1,1)</f>
        <v>-0.4</v>
      </c>
      <c r="V289" s="15" t="str">
        <f>IF(Table1[[#This Row],[Team]]="David",Table1[[#This Row],[Improvement Vs. S&amp;P Return]],"")</f>
        <v/>
      </c>
      <c r="W289" s="15">
        <f>IF(Table1[[#This Row],[Team]]="Tom",Table1[[#This Row],[Improvement Vs. S&amp;P Return]],"")</f>
        <v>-0.4</v>
      </c>
    </row>
    <row r="290" spans="1:23" ht="17" x14ac:dyDescent="0.2">
      <c r="A290" s="18">
        <v>43174</v>
      </c>
      <c r="B290" s="2" t="s">
        <v>117</v>
      </c>
      <c r="C290" s="2">
        <f>SUBTOTAL(103,Table1[[#This Row],[Recommendation Date]])</f>
        <v>1</v>
      </c>
      <c r="D290" s="2">
        <f>1</f>
        <v>1</v>
      </c>
      <c r="E290" s="16" t="s">
        <v>118</v>
      </c>
      <c r="F290" s="3" t="s">
        <v>119</v>
      </c>
      <c r="G290" s="3" t="s">
        <v>8</v>
      </c>
      <c r="H290" s="17"/>
      <c r="I290" s="4">
        <v>1139.3599999999999</v>
      </c>
      <c r="J290" s="5">
        <v>-0.04</v>
      </c>
      <c r="K290" s="48">
        <f>ROUND(LOG10(Table1[[#This Row],[Return (keep sorted by this column!)]]+1),2)</f>
        <v>-0.02</v>
      </c>
      <c r="L290" s="48">
        <f>COUNTIF(Table1[Return (keep sorted by this column!)],"&lt;"&amp;Table1[[#This Row],[Return (keep sorted by this column!)]])</f>
        <v>145</v>
      </c>
      <c r="M290" s="76" t="str">
        <f>IF(Table1[[#This Row],[Team]]="David",Table1[[#This Row],[Return (keep sorted by this column!)]],"")</f>
        <v/>
      </c>
      <c r="N290" s="76">
        <f>IF(Table1[[#This Row],[Team]]="Tom",Table1[[#This Row],[Return (keep sorted by this column!)]],"")</f>
        <v>-0.04</v>
      </c>
      <c r="O290" s="5">
        <v>0.04</v>
      </c>
      <c r="P290" s="68" t="str">
        <f>IF(Table1[[#This Row],[Team]]="David",Table1[[#This Row],[S&amp;P Return, same period]],"")</f>
        <v/>
      </c>
      <c r="Q290" s="68">
        <f>IF(Table1[[#This Row],[Team]]="Tom",Table1[[#This Row],[S&amp;P Return, same period]],"")</f>
        <v>0.04</v>
      </c>
      <c r="R290" s="5">
        <v>-7.9000000000000001E-2</v>
      </c>
      <c r="S290" s="14" t="str">
        <f>IF(Table1[[#This Row],[Team]]="David",Table1[[#This Row],[Difference Vs. S&amp;P Return]],"")</f>
        <v/>
      </c>
      <c r="T290" s="14">
        <f>IF(Table1[[#This Row],[Team]]="Tom",Table1[[#This Row],[Difference Vs. S&amp;P Return]],"")</f>
        <v>-7.9000000000000001E-2</v>
      </c>
      <c r="U290" s="14">
        <f>ROUND((1+Table1[[#This Row],[Return (keep sorted by this column!)]])/(1+Table1[[#This Row],[S&amp;P Return, same period]])-1,1)</f>
        <v>-0.1</v>
      </c>
      <c r="V290" s="15" t="str">
        <f>IF(Table1[[#This Row],[Team]]="David",Table1[[#This Row],[Improvement Vs. S&amp;P Return]],"")</f>
        <v/>
      </c>
      <c r="W290" s="15">
        <f>IF(Table1[[#This Row],[Team]]="Tom",Table1[[#This Row],[Improvement Vs. S&amp;P Return]],"")</f>
        <v>-0.1</v>
      </c>
    </row>
    <row r="291" spans="1:23" ht="45" x14ac:dyDescent="0.2">
      <c r="A291" s="1">
        <v>40893</v>
      </c>
      <c r="B291" s="2" t="s">
        <v>378</v>
      </c>
      <c r="C291" s="2">
        <f>SUBTOTAL(103,Table1[[#This Row],[Recommendation Date]])</f>
        <v>1</v>
      </c>
      <c r="D291" s="2">
        <f>1</f>
        <v>1</v>
      </c>
      <c r="E291" s="16" t="s">
        <v>379</v>
      </c>
      <c r="F291" s="3" t="s">
        <v>41</v>
      </c>
      <c r="G291" s="3" t="s">
        <v>8</v>
      </c>
      <c r="H291" s="17"/>
      <c r="I291" s="4">
        <v>47.95</v>
      </c>
      <c r="J291" s="5">
        <v>-4.4999999999999998E-2</v>
      </c>
      <c r="K291" s="48">
        <f>ROUND(LOG10(Table1[[#This Row],[Return (keep sorted by this column!)]]+1),2)</f>
        <v>-0.02</v>
      </c>
      <c r="L291" s="48">
        <f>COUNTIF(Table1[Return (keep sorted by this column!)],"&lt;"&amp;Table1[[#This Row],[Return (keep sorted by this column!)]])</f>
        <v>144</v>
      </c>
      <c r="M291" s="76" t="str">
        <f>IF(Table1[[#This Row],[Team]]="David",Table1[[#This Row],[Return (keep sorted by this column!)]],"")</f>
        <v/>
      </c>
      <c r="N291" s="76">
        <f>IF(Table1[[#This Row],[Team]]="Tom",Table1[[#This Row],[Return (keep sorted by this column!)]],"")</f>
        <v>-4.4999999999999998E-2</v>
      </c>
      <c r="O291" s="5">
        <v>1.5980000000000001</v>
      </c>
      <c r="P291" s="68" t="str">
        <f>IF(Table1[[#This Row],[Team]]="David",Table1[[#This Row],[S&amp;P Return, same period]],"")</f>
        <v/>
      </c>
      <c r="Q291" s="68">
        <f>IF(Table1[[#This Row],[Team]]="Tom",Table1[[#This Row],[S&amp;P Return, same period]],"")</f>
        <v>1.5980000000000001</v>
      </c>
      <c r="R291" s="5">
        <v>-1.643</v>
      </c>
      <c r="S291" s="14" t="str">
        <f>IF(Table1[[#This Row],[Team]]="David",Table1[[#This Row],[Difference Vs. S&amp;P Return]],"")</f>
        <v/>
      </c>
      <c r="T291" s="14">
        <f>IF(Table1[[#This Row],[Team]]="Tom",Table1[[#This Row],[Difference Vs. S&amp;P Return]],"")</f>
        <v>-1.643</v>
      </c>
      <c r="U291" s="14">
        <f>ROUND((1+Table1[[#This Row],[Return (keep sorted by this column!)]])/(1+Table1[[#This Row],[S&amp;P Return, same period]])-1,1)</f>
        <v>-0.6</v>
      </c>
      <c r="V291" s="15" t="str">
        <f>IF(Table1[[#This Row],[Team]]="David",Table1[[#This Row],[Improvement Vs. S&amp;P Return]],"")</f>
        <v/>
      </c>
      <c r="W291" s="15">
        <f>IF(Table1[[#This Row],[Team]]="Tom",Table1[[#This Row],[Improvement Vs. S&amp;P Return]],"")</f>
        <v>-0.6</v>
      </c>
    </row>
    <row r="292" spans="1:23" ht="17" x14ac:dyDescent="0.2">
      <c r="A292" s="18">
        <v>42202</v>
      </c>
      <c r="B292" s="2" t="s">
        <v>253</v>
      </c>
      <c r="C292" s="2">
        <f>SUBTOTAL(103,Table1[[#This Row],[Recommendation Date]])</f>
        <v>1</v>
      </c>
      <c r="D292" s="2">
        <f>1</f>
        <v>1</v>
      </c>
      <c r="E292" s="16" t="s">
        <v>254</v>
      </c>
      <c r="F292" s="3" t="s">
        <v>27</v>
      </c>
      <c r="G292" s="3" t="s">
        <v>12</v>
      </c>
      <c r="H292" s="16">
        <v>12</v>
      </c>
      <c r="I292" s="4">
        <v>326.42</v>
      </c>
      <c r="J292" s="5">
        <v>-4.8000000000000001E-2</v>
      </c>
      <c r="K292" s="48">
        <f>ROUND(LOG10(Table1[[#This Row],[Return (keep sorted by this column!)]]+1),2)</f>
        <v>-0.02</v>
      </c>
      <c r="L292" s="48">
        <f>COUNTIF(Table1[Return (keep sorted by this column!)],"&lt;"&amp;Table1[[#This Row],[Return (keep sorted by this column!)]])</f>
        <v>143</v>
      </c>
      <c r="M292" s="76">
        <f>IF(Table1[[#This Row],[Team]]="David",Table1[[#This Row],[Return (keep sorted by this column!)]],"")</f>
        <v>-4.8000000000000001E-2</v>
      </c>
      <c r="N292" s="76" t="str">
        <f>IF(Table1[[#This Row],[Team]]="Tom",Table1[[#This Row],[Return (keep sorted by this column!)]],"")</f>
        <v/>
      </c>
      <c r="O292" s="5">
        <v>0.42099999999999999</v>
      </c>
      <c r="P292" s="68">
        <f>IF(Table1[[#This Row],[Team]]="David",Table1[[#This Row],[S&amp;P Return, same period]],"")</f>
        <v>0.42099999999999999</v>
      </c>
      <c r="Q292" s="68" t="str">
        <f>IF(Table1[[#This Row],[Team]]="Tom",Table1[[#This Row],[S&amp;P Return, same period]],"")</f>
        <v/>
      </c>
      <c r="R292" s="5">
        <v>-0.46899999999999997</v>
      </c>
      <c r="S292" s="14">
        <f>IF(Table1[[#This Row],[Team]]="David",Table1[[#This Row],[Difference Vs. S&amp;P Return]],"")</f>
        <v>-0.46899999999999997</v>
      </c>
      <c r="T292" s="14" t="str">
        <f>IF(Table1[[#This Row],[Team]]="Tom",Table1[[#This Row],[Difference Vs. S&amp;P Return]],"")</f>
        <v/>
      </c>
      <c r="U292" s="14">
        <f>ROUND((1+Table1[[#This Row],[Return (keep sorted by this column!)]])/(1+Table1[[#This Row],[S&amp;P Return, same period]])-1,1)</f>
        <v>-0.3</v>
      </c>
      <c r="V292" s="15">
        <f>IF(Table1[[#This Row],[Team]]="David",Table1[[#This Row],[Improvement Vs. S&amp;P Return]],"")</f>
        <v>-0.3</v>
      </c>
      <c r="W292" s="15" t="str">
        <f>IF(Table1[[#This Row],[Team]]="Tom",Table1[[#This Row],[Improvement Vs. S&amp;P Return]],"")</f>
        <v/>
      </c>
    </row>
    <row r="293" spans="1:23" ht="60" x14ac:dyDescent="0.2">
      <c r="A293" s="1">
        <v>38156</v>
      </c>
      <c r="B293" s="2" t="s">
        <v>677</v>
      </c>
      <c r="C293" s="2">
        <f>SUBTOTAL(103,Table1[[#This Row],[Recommendation Date]])</f>
        <v>1</v>
      </c>
      <c r="D293" s="2">
        <f>1</f>
        <v>1</v>
      </c>
      <c r="E293" s="16" t="s">
        <v>678</v>
      </c>
      <c r="F293" s="3" t="s">
        <v>58</v>
      </c>
      <c r="G293" s="3" t="s">
        <v>8</v>
      </c>
      <c r="H293" s="17"/>
      <c r="I293" s="4">
        <v>16.86</v>
      </c>
      <c r="J293" s="5">
        <v>-5.0999999999999997E-2</v>
      </c>
      <c r="K293" s="48">
        <f>ROUND(LOG10(Table1[[#This Row],[Return (keep sorted by this column!)]]+1),2)</f>
        <v>-0.02</v>
      </c>
      <c r="L293" s="48">
        <f>COUNTIF(Table1[Return (keep sorted by this column!)],"&lt;"&amp;Table1[[#This Row],[Return (keep sorted by this column!)]])</f>
        <v>142</v>
      </c>
      <c r="M293" s="14" t="str">
        <f>IF(Table1[[#This Row],[Team]]="David",Table1[[#This Row],[Return (keep sorted by this column!)]],"")</f>
        <v/>
      </c>
      <c r="N293" s="14">
        <f>IF(Table1[[#This Row],[Team]]="Tom",Table1[[#This Row],[Return (keep sorted by this column!)]],"")</f>
        <v>-5.0999999999999997E-2</v>
      </c>
      <c r="O293" s="5">
        <v>7.4999999999999997E-2</v>
      </c>
      <c r="P293" s="23" t="str">
        <f>IF(Table1[[#This Row],[Team]]="David",Table1[[#This Row],[S&amp;P Return, same period]],"")</f>
        <v/>
      </c>
      <c r="Q293" s="23">
        <f>IF(Table1[[#This Row],[Team]]="Tom",Table1[[#This Row],[S&amp;P Return, same period]],"")</f>
        <v>7.4999999999999997E-2</v>
      </c>
      <c r="R293" s="5">
        <v>-0.126</v>
      </c>
      <c r="S293" s="14" t="str">
        <f>IF(Table1[[#This Row],[Team]]="David",Table1[[#This Row],[Difference Vs. S&amp;P Return]],"")</f>
        <v/>
      </c>
      <c r="T293" s="14">
        <f>IF(Table1[[#This Row],[Team]]="Tom",Table1[[#This Row],[Difference Vs. S&amp;P Return]],"")</f>
        <v>-0.126</v>
      </c>
      <c r="U293" s="14">
        <f>ROUND((1+Table1[[#This Row],[Return (keep sorted by this column!)]])/(1+Table1[[#This Row],[S&amp;P Return, same period]])-1,1)</f>
        <v>-0.1</v>
      </c>
      <c r="V293" s="15" t="str">
        <f>IF(Table1[[#This Row],[Team]]="David",Table1[[#This Row],[Improvement Vs. S&amp;P Return]],"")</f>
        <v/>
      </c>
      <c r="W293" s="15">
        <f>IF(Table1[[#This Row],[Team]]="Tom",Table1[[#This Row],[Improvement Vs. S&amp;P Return]],"")</f>
        <v>-0.1</v>
      </c>
    </row>
    <row r="294" spans="1:23" ht="30" x14ac:dyDescent="0.2">
      <c r="A294" s="1">
        <v>38429</v>
      </c>
      <c r="B294" s="2" t="s">
        <v>657</v>
      </c>
      <c r="C294" s="2">
        <f>SUBTOTAL(103,Table1[[#This Row],[Recommendation Date]])</f>
        <v>1</v>
      </c>
      <c r="D294" s="2">
        <f>1</f>
        <v>1</v>
      </c>
      <c r="E294" s="16" t="s">
        <v>658</v>
      </c>
      <c r="F294" s="3" t="s">
        <v>252</v>
      </c>
      <c r="G294" s="3" t="s">
        <v>12</v>
      </c>
      <c r="H294" s="17"/>
      <c r="I294" s="4">
        <v>5.88</v>
      </c>
      <c r="J294" s="5">
        <v>-5.6000000000000001E-2</v>
      </c>
      <c r="K294" s="48">
        <f>ROUND(LOG10(Table1[[#This Row],[Return (keep sorted by this column!)]]+1),2)</f>
        <v>-0.03</v>
      </c>
      <c r="L294" s="48">
        <f>COUNTIF(Table1[Return (keep sorted by this column!)],"&lt;"&amp;Table1[[#This Row],[Return (keep sorted by this column!)]])</f>
        <v>141</v>
      </c>
      <c r="M294" s="14">
        <f>IF(Table1[[#This Row],[Team]]="David",Table1[[#This Row],[Return (keep sorted by this column!)]],"")</f>
        <v>-5.6000000000000001E-2</v>
      </c>
      <c r="N294" s="14" t="str">
        <f>IF(Table1[[#This Row],[Team]]="Tom",Table1[[#This Row],[Return (keep sorted by this column!)]],"")</f>
        <v/>
      </c>
      <c r="O294" s="5">
        <v>0.23899999999999999</v>
      </c>
      <c r="P294" s="23">
        <f>IF(Table1[[#This Row],[Team]]="David",Table1[[#This Row],[S&amp;P Return, same period]],"")</f>
        <v>0.23899999999999999</v>
      </c>
      <c r="Q294" s="23" t="str">
        <f>IF(Table1[[#This Row],[Team]]="Tom",Table1[[#This Row],[S&amp;P Return, same period]],"")</f>
        <v/>
      </c>
      <c r="R294" s="5">
        <v>-0.29499999999999998</v>
      </c>
      <c r="S294" s="14">
        <f>IF(Table1[[#This Row],[Team]]="David",Table1[[#This Row],[Difference Vs. S&amp;P Return]],"")</f>
        <v>-0.29499999999999998</v>
      </c>
      <c r="T294" s="14" t="str">
        <f>IF(Table1[[#This Row],[Team]]="Tom",Table1[[#This Row],[Difference Vs. S&amp;P Return]],"")</f>
        <v/>
      </c>
      <c r="U294" s="14">
        <f>ROUND((1+Table1[[#This Row],[Return (keep sorted by this column!)]])/(1+Table1[[#This Row],[S&amp;P Return, same period]])-1,1)</f>
        <v>-0.2</v>
      </c>
      <c r="V294" s="15">
        <f>IF(Table1[[#This Row],[Team]]="David",Table1[[#This Row],[Improvement Vs. S&amp;P Return]],"")</f>
        <v>-0.2</v>
      </c>
      <c r="W294" s="15" t="str">
        <f>IF(Table1[[#This Row],[Team]]="Tom",Table1[[#This Row],[Improvement Vs. S&amp;P Return]],"")</f>
        <v/>
      </c>
    </row>
    <row r="295" spans="1:23" ht="45" x14ac:dyDescent="0.2">
      <c r="A295" s="1">
        <v>40592</v>
      </c>
      <c r="B295" s="2" t="s">
        <v>434</v>
      </c>
      <c r="C295" s="2">
        <f>SUBTOTAL(103,Table1[[#This Row],[Recommendation Date]])</f>
        <v>1</v>
      </c>
      <c r="D295" s="2">
        <f>1</f>
        <v>1</v>
      </c>
      <c r="E295" s="16" t="s">
        <v>435</v>
      </c>
      <c r="F295" s="3" t="s">
        <v>130</v>
      </c>
      <c r="G295" s="3" t="s">
        <v>8</v>
      </c>
      <c r="H295" s="17"/>
      <c r="I295" s="4">
        <v>69.150000000000006</v>
      </c>
      <c r="J295" s="5">
        <v>-6.2E-2</v>
      </c>
      <c r="K295" s="48">
        <f>ROUND(LOG10(Table1[[#This Row],[Return (keep sorted by this column!)]]+1),2)</f>
        <v>-0.03</v>
      </c>
      <c r="L295" s="48">
        <f>COUNTIF(Table1[Return (keep sorted by this column!)],"&lt;"&amp;Table1[[#This Row],[Return (keep sorted by this column!)]])</f>
        <v>140</v>
      </c>
      <c r="M295" s="76" t="str">
        <f>IF(Table1[[#This Row],[Team]]="David",Table1[[#This Row],[Return (keep sorted by this column!)]],"")</f>
        <v/>
      </c>
      <c r="N295" s="76">
        <f>IF(Table1[[#This Row],[Team]]="Tom",Table1[[#This Row],[Return (keep sorted by this column!)]],"")</f>
        <v>-6.2E-2</v>
      </c>
      <c r="O295" s="5">
        <v>0.214</v>
      </c>
      <c r="P295" s="68" t="str">
        <f>IF(Table1[[#This Row],[Team]]="David",Table1[[#This Row],[S&amp;P Return, same period]],"")</f>
        <v/>
      </c>
      <c r="Q295" s="68">
        <f>IF(Table1[[#This Row],[Team]]="Tom",Table1[[#This Row],[S&amp;P Return, same period]],"")</f>
        <v>0.214</v>
      </c>
      <c r="R295" s="5">
        <v>-0.27600000000000002</v>
      </c>
      <c r="S295" s="14" t="str">
        <f>IF(Table1[[#This Row],[Team]]="David",Table1[[#This Row],[Difference Vs. S&amp;P Return]],"")</f>
        <v/>
      </c>
      <c r="T295" s="14">
        <f>IF(Table1[[#This Row],[Team]]="Tom",Table1[[#This Row],[Difference Vs. S&amp;P Return]],"")</f>
        <v>-0.27600000000000002</v>
      </c>
      <c r="U295" s="14">
        <f>ROUND((1+Table1[[#This Row],[Return (keep sorted by this column!)]])/(1+Table1[[#This Row],[S&amp;P Return, same period]])-1,1)</f>
        <v>-0.2</v>
      </c>
      <c r="V295" s="15" t="str">
        <f>IF(Table1[[#This Row],[Team]]="David",Table1[[#This Row],[Improvement Vs. S&amp;P Return]],"")</f>
        <v/>
      </c>
      <c r="W295" s="15">
        <f>IF(Table1[[#This Row],[Team]]="Tom",Table1[[#This Row],[Improvement Vs. S&amp;P Return]],"")</f>
        <v>-0.2</v>
      </c>
    </row>
    <row r="296" spans="1:23" ht="17" x14ac:dyDescent="0.2">
      <c r="A296" s="18">
        <v>43804</v>
      </c>
      <c r="B296" s="2" t="s">
        <v>25</v>
      </c>
      <c r="C296" s="2">
        <f>SUBTOTAL(103,Table1[[#This Row],[Recommendation Date]])</f>
        <v>1</v>
      </c>
      <c r="D296" s="2">
        <f>1</f>
        <v>1</v>
      </c>
      <c r="E296" s="16" t="s">
        <v>26</v>
      </c>
      <c r="F296" s="3" t="s">
        <v>27</v>
      </c>
      <c r="G296" s="3" t="s">
        <v>8</v>
      </c>
      <c r="H296" s="17"/>
      <c r="I296" s="4">
        <v>153.55000000000001</v>
      </c>
      <c r="J296" s="5">
        <v>-7.0999999999999994E-2</v>
      </c>
      <c r="K296" s="48">
        <f>ROUND(LOG10(Table1[[#This Row],[Return (keep sorted by this column!)]]+1),2)</f>
        <v>-0.03</v>
      </c>
      <c r="L296" s="48">
        <f>COUNTIF(Table1[Return (keep sorted by this column!)],"&lt;"&amp;Table1[[#This Row],[Return (keep sorted by this column!)]])</f>
        <v>139</v>
      </c>
      <c r="M296" s="76" t="str">
        <f>IF(Table1[[#This Row],[Team]]="David",Table1[[#This Row],[Return (keep sorted by this column!)]],"")</f>
        <v/>
      </c>
      <c r="N296" s="76">
        <f>IF(Table1[[#This Row],[Team]]="Tom",Table1[[#This Row],[Return (keep sorted by this column!)]],"")</f>
        <v>-7.0999999999999994E-2</v>
      </c>
      <c r="O296" s="5">
        <v>-0.115</v>
      </c>
      <c r="P296" s="68" t="str">
        <f>IF(Table1[[#This Row],[Team]]="David",Table1[[#This Row],[S&amp;P Return, same period]],"")</f>
        <v/>
      </c>
      <c r="Q296" s="68">
        <f>IF(Table1[[#This Row],[Team]]="Tom",Table1[[#This Row],[S&amp;P Return, same period]],"")</f>
        <v>-0.115</v>
      </c>
      <c r="R296" s="5">
        <v>4.3999999999999997E-2</v>
      </c>
      <c r="S296" s="14" t="str">
        <f>IF(Table1[[#This Row],[Team]]="David",Table1[[#This Row],[Difference Vs. S&amp;P Return]],"")</f>
        <v/>
      </c>
      <c r="T296" s="14">
        <f>IF(Table1[[#This Row],[Team]]="Tom",Table1[[#This Row],[Difference Vs. S&amp;P Return]],"")</f>
        <v>4.3999999999999997E-2</v>
      </c>
      <c r="U296" s="14">
        <f>ROUND((1+Table1[[#This Row],[Return (keep sorted by this column!)]])/(1+Table1[[#This Row],[S&amp;P Return, same period]])-1,1)</f>
        <v>0</v>
      </c>
      <c r="V296" s="15" t="str">
        <f>IF(Table1[[#This Row],[Team]]="David",Table1[[#This Row],[Improvement Vs. S&amp;P Return]],"")</f>
        <v/>
      </c>
      <c r="W296" s="15">
        <f>IF(Table1[[#This Row],[Team]]="Tom",Table1[[#This Row],[Improvement Vs. S&amp;P Return]],"")</f>
        <v>0</v>
      </c>
    </row>
    <row r="297" spans="1:23" ht="30" x14ac:dyDescent="0.2">
      <c r="A297" s="18">
        <v>43755</v>
      </c>
      <c r="B297" s="2" t="s">
        <v>34</v>
      </c>
      <c r="C297" s="2">
        <f>SUBTOTAL(103,Table1[[#This Row],[Recommendation Date]])</f>
        <v>1</v>
      </c>
      <c r="D297" s="2">
        <f>1</f>
        <v>1</v>
      </c>
      <c r="E297" s="16" t="s">
        <v>35</v>
      </c>
      <c r="F297" s="3" t="s">
        <v>36</v>
      </c>
      <c r="G297" s="3" t="s">
        <v>12</v>
      </c>
      <c r="H297" s="16">
        <v>11</v>
      </c>
      <c r="I297" s="4">
        <v>96.85</v>
      </c>
      <c r="J297" s="5">
        <v>-8.6999999999999994E-2</v>
      </c>
      <c r="K297" s="48">
        <f>ROUND(LOG10(Table1[[#This Row],[Return (keep sorted by this column!)]]+1),2)</f>
        <v>-0.04</v>
      </c>
      <c r="L297" s="48">
        <f>COUNTIF(Table1[Return (keep sorted by this column!)],"&lt;"&amp;Table1[[#This Row],[Return (keep sorted by this column!)]])</f>
        <v>138</v>
      </c>
      <c r="M297" s="76">
        <f>IF(Table1[[#This Row],[Team]]="David",Table1[[#This Row],[Return (keep sorted by this column!)]],"")</f>
        <v>-8.6999999999999994E-2</v>
      </c>
      <c r="N297" s="76" t="str">
        <f>IF(Table1[[#This Row],[Team]]="Tom",Table1[[#This Row],[Return (keep sorted by this column!)]],"")</f>
        <v/>
      </c>
      <c r="O297" s="5">
        <v>-7.6999999999999999E-2</v>
      </c>
      <c r="P297" s="68">
        <f>IF(Table1[[#This Row],[Team]]="David",Table1[[#This Row],[S&amp;P Return, same period]],"")</f>
        <v>-7.6999999999999999E-2</v>
      </c>
      <c r="Q297" s="68" t="str">
        <f>IF(Table1[[#This Row],[Team]]="Tom",Table1[[#This Row],[S&amp;P Return, same period]],"")</f>
        <v/>
      </c>
      <c r="R297" s="5">
        <v>-0.01</v>
      </c>
      <c r="S297" s="14">
        <f>IF(Table1[[#This Row],[Team]]="David",Table1[[#This Row],[Difference Vs. S&amp;P Return]],"")</f>
        <v>-0.01</v>
      </c>
      <c r="T297" s="14" t="str">
        <f>IF(Table1[[#This Row],[Team]]="Tom",Table1[[#This Row],[Difference Vs. S&amp;P Return]],"")</f>
        <v/>
      </c>
      <c r="U297" s="14">
        <f>ROUND((1+Table1[[#This Row],[Return (keep sorted by this column!)]])/(1+Table1[[#This Row],[S&amp;P Return, same period]])-1,1)</f>
        <v>0</v>
      </c>
      <c r="V297" s="15">
        <f>IF(Table1[[#This Row],[Team]]="David",Table1[[#This Row],[Improvement Vs. S&amp;P Return]],"")</f>
        <v>0</v>
      </c>
      <c r="W297" s="15" t="str">
        <f>IF(Table1[[#This Row],[Team]]="Tom",Table1[[#This Row],[Improvement Vs. S&amp;P Return]],"")</f>
        <v/>
      </c>
    </row>
    <row r="298" spans="1:23" ht="45" x14ac:dyDescent="0.2">
      <c r="A298" s="1">
        <v>40193</v>
      </c>
      <c r="B298" s="2" t="s">
        <v>477</v>
      </c>
      <c r="C298" s="2">
        <f>SUBTOTAL(103,Table1[[#This Row],[Recommendation Date]])</f>
        <v>1</v>
      </c>
      <c r="D298" s="2">
        <f>1</f>
        <v>1</v>
      </c>
      <c r="E298" s="16" t="s">
        <v>478</v>
      </c>
      <c r="F298" s="3" t="s">
        <v>252</v>
      </c>
      <c r="G298" s="3" t="s">
        <v>12</v>
      </c>
      <c r="H298" s="17"/>
      <c r="I298" s="4">
        <v>44.91</v>
      </c>
      <c r="J298" s="5">
        <v>-9.1999999999999998E-2</v>
      </c>
      <c r="K298" s="48">
        <f>ROUND(LOG10(Table1[[#This Row],[Return (keep sorted by this column!)]]+1),2)</f>
        <v>-0.04</v>
      </c>
      <c r="L298" s="48">
        <f>COUNTIF(Table1[Return (keep sorted by this column!)],"&lt;"&amp;Table1[[#This Row],[Return (keep sorted by this column!)]])</f>
        <v>137</v>
      </c>
      <c r="M298" s="76">
        <f>IF(Table1[[#This Row],[Team]]="David",Table1[[#This Row],[Return (keep sorted by this column!)]],"")</f>
        <v>-9.1999999999999998E-2</v>
      </c>
      <c r="N298" s="76" t="str">
        <f>IF(Table1[[#This Row],[Team]]="Tom",Table1[[#This Row],[Return (keep sorted by this column!)]],"")</f>
        <v/>
      </c>
      <c r="O298" s="5">
        <v>0.152</v>
      </c>
      <c r="P298" s="68">
        <f>IF(Table1[[#This Row],[Team]]="David",Table1[[#This Row],[S&amp;P Return, same period]],"")</f>
        <v>0.152</v>
      </c>
      <c r="Q298" s="68" t="str">
        <f>IF(Table1[[#This Row],[Team]]="Tom",Table1[[#This Row],[S&amp;P Return, same period]],"")</f>
        <v/>
      </c>
      <c r="R298" s="5">
        <v>-0.24399999999999999</v>
      </c>
      <c r="S298" s="14">
        <f>IF(Table1[[#This Row],[Team]]="David",Table1[[#This Row],[Difference Vs. S&amp;P Return]],"")</f>
        <v>-0.24399999999999999</v>
      </c>
      <c r="T298" s="14" t="str">
        <f>IF(Table1[[#This Row],[Team]]="Tom",Table1[[#This Row],[Difference Vs. S&amp;P Return]],"")</f>
        <v/>
      </c>
      <c r="U298" s="14">
        <f>ROUND((1+Table1[[#This Row],[Return (keep sorted by this column!)]])/(1+Table1[[#This Row],[S&amp;P Return, same period]])-1,1)</f>
        <v>-0.2</v>
      </c>
      <c r="V298" s="15">
        <f>IF(Table1[[#This Row],[Team]]="David",Table1[[#This Row],[Improvement Vs. S&amp;P Return]],"")</f>
        <v>-0.2</v>
      </c>
      <c r="W298" s="15" t="str">
        <f>IF(Table1[[#This Row],[Team]]="Tom",Table1[[#This Row],[Improvement Vs. S&amp;P Return]],"")</f>
        <v/>
      </c>
    </row>
    <row r="299" spans="1:23" ht="30" x14ac:dyDescent="0.2">
      <c r="A299" s="18">
        <v>43447</v>
      </c>
      <c r="B299" s="2" t="s">
        <v>80</v>
      </c>
      <c r="C299" s="2">
        <f>SUBTOTAL(103,Table1[[#This Row],[Recommendation Date]])</f>
        <v>1</v>
      </c>
      <c r="D299" s="2">
        <f>1</f>
        <v>1</v>
      </c>
      <c r="E299" s="16" t="s">
        <v>81</v>
      </c>
      <c r="F299" s="3" t="s">
        <v>82</v>
      </c>
      <c r="G299" s="3" t="s">
        <v>12</v>
      </c>
      <c r="H299" s="16">
        <v>8</v>
      </c>
      <c r="I299" s="4">
        <v>25.92</v>
      </c>
      <c r="J299" s="5">
        <v>-9.5000000000000001E-2</v>
      </c>
      <c r="K299" s="48">
        <f>ROUND(LOG10(Table1[[#This Row],[Return (keep sorted by this column!)]]+1),2)</f>
        <v>-0.04</v>
      </c>
      <c r="L299" s="48">
        <f>COUNTIF(Table1[Return (keep sorted by this column!)],"&lt;"&amp;Table1[[#This Row],[Return (keep sorted by this column!)]])</f>
        <v>136</v>
      </c>
      <c r="M299" s="76">
        <f>IF(Table1[[#This Row],[Team]]="David",Table1[[#This Row],[Return (keep sorted by this column!)]],"")</f>
        <v>-9.5000000000000001E-2</v>
      </c>
      <c r="N299" s="76" t="str">
        <f>IF(Table1[[#This Row],[Team]]="Tom",Table1[[#This Row],[Return (keep sorted by this column!)]],"")</f>
        <v/>
      </c>
      <c r="O299" s="5">
        <v>6.2E-2</v>
      </c>
      <c r="P299" s="68">
        <f>IF(Table1[[#This Row],[Team]]="David",Table1[[#This Row],[S&amp;P Return, same period]],"")</f>
        <v>6.2E-2</v>
      </c>
      <c r="Q299" s="68" t="str">
        <f>IF(Table1[[#This Row],[Team]]="Tom",Table1[[#This Row],[S&amp;P Return, same period]],"")</f>
        <v/>
      </c>
      <c r="R299" s="5">
        <v>-0.157</v>
      </c>
      <c r="S299" s="14">
        <f>IF(Table1[[#This Row],[Team]]="David",Table1[[#This Row],[Difference Vs. S&amp;P Return]],"")</f>
        <v>-0.157</v>
      </c>
      <c r="T299" s="14" t="str">
        <f>IF(Table1[[#This Row],[Team]]="Tom",Table1[[#This Row],[Difference Vs. S&amp;P Return]],"")</f>
        <v/>
      </c>
      <c r="U299" s="14">
        <f>ROUND((1+Table1[[#This Row],[Return (keep sorted by this column!)]])/(1+Table1[[#This Row],[S&amp;P Return, same period]])-1,1)</f>
        <v>-0.1</v>
      </c>
      <c r="V299" s="15">
        <f>IF(Table1[[#This Row],[Team]]="David",Table1[[#This Row],[Improvement Vs. S&amp;P Return]],"")</f>
        <v>-0.1</v>
      </c>
      <c r="W299" s="15" t="str">
        <f>IF(Table1[[#This Row],[Team]]="Tom",Table1[[#This Row],[Improvement Vs. S&amp;P Return]],"")</f>
        <v/>
      </c>
    </row>
    <row r="300" spans="1:23" ht="45" x14ac:dyDescent="0.2">
      <c r="A300" s="1">
        <v>41075</v>
      </c>
      <c r="B300" s="2" t="s">
        <v>378</v>
      </c>
      <c r="C300" s="2">
        <f>SUBTOTAL(103,Table1[[#This Row],[Recommendation Date]])</f>
        <v>1</v>
      </c>
      <c r="D300" s="2">
        <f>1</f>
        <v>1</v>
      </c>
      <c r="E300" s="16" t="s">
        <v>379</v>
      </c>
      <c r="F300" s="3" t="s">
        <v>41</v>
      </c>
      <c r="G300" s="3" t="s">
        <v>8</v>
      </c>
      <c r="H300" s="17"/>
      <c r="I300" s="4">
        <v>51.34</v>
      </c>
      <c r="J300" s="5">
        <v>-0.108</v>
      </c>
      <c r="K300" s="48">
        <f>ROUND(LOG10(Table1[[#This Row],[Return (keep sorted by this column!)]]+1),2)</f>
        <v>-0.05</v>
      </c>
      <c r="L300" s="48">
        <f>COUNTIF(Table1[Return (keep sorted by this column!)],"&lt;"&amp;Table1[[#This Row],[Return (keep sorted by this column!)]])</f>
        <v>135</v>
      </c>
      <c r="M300" s="76" t="str">
        <f>IF(Table1[[#This Row],[Team]]="David",Table1[[#This Row],[Return (keep sorted by this column!)]],"")</f>
        <v/>
      </c>
      <c r="N300" s="76">
        <f>IF(Table1[[#This Row],[Team]]="Tom",Table1[[#This Row],[Return (keep sorted by this column!)]],"")</f>
        <v>-0.108</v>
      </c>
      <c r="O300" s="5">
        <v>1.3340000000000001</v>
      </c>
      <c r="P300" s="68" t="str">
        <f>IF(Table1[[#This Row],[Team]]="David",Table1[[#This Row],[S&amp;P Return, same period]],"")</f>
        <v/>
      </c>
      <c r="Q300" s="68">
        <f>IF(Table1[[#This Row],[Team]]="Tom",Table1[[#This Row],[S&amp;P Return, same period]],"")</f>
        <v>1.3340000000000001</v>
      </c>
      <c r="R300" s="5">
        <v>-1.4430000000000001</v>
      </c>
      <c r="S300" s="14" t="str">
        <f>IF(Table1[[#This Row],[Team]]="David",Table1[[#This Row],[Difference Vs. S&amp;P Return]],"")</f>
        <v/>
      </c>
      <c r="T300" s="14">
        <f>IF(Table1[[#This Row],[Team]]="Tom",Table1[[#This Row],[Difference Vs. S&amp;P Return]],"")</f>
        <v>-1.4430000000000001</v>
      </c>
      <c r="U300" s="14">
        <f>ROUND((1+Table1[[#This Row],[Return (keep sorted by this column!)]])/(1+Table1[[#This Row],[S&amp;P Return, same period]])-1,1)</f>
        <v>-0.6</v>
      </c>
      <c r="V300" s="15" t="str">
        <f>IF(Table1[[#This Row],[Team]]="David",Table1[[#This Row],[Improvement Vs. S&amp;P Return]],"")</f>
        <v/>
      </c>
      <c r="W300" s="15">
        <f>IF(Table1[[#This Row],[Team]]="Tom",Table1[[#This Row],[Improvement Vs. S&amp;P Return]],"")</f>
        <v>-0.6</v>
      </c>
    </row>
    <row r="301" spans="1:23" ht="17" x14ac:dyDescent="0.2">
      <c r="A301" s="18">
        <v>43881</v>
      </c>
      <c r="B301" s="2" t="s">
        <v>9</v>
      </c>
      <c r="C301" s="2">
        <f>SUBTOTAL(103,Table1[[#This Row],[Recommendation Date]])</f>
        <v>1</v>
      </c>
      <c r="D301" s="2">
        <f>1</f>
        <v>1</v>
      </c>
      <c r="E301" s="16" t="s">
        <v>10</v>
      </c>
      <c r="F301" s="3" t="s">
        <v>11</v>
      </c>
      <c r="G301" s="3" t="s">
        <v>12</v>
      </c>
      <c r="H301" s="16">
        <v>12</v>
      </c>
      <c r="I301" s="4">
        <v>302.51</v>
      </c>
      <c r="J301" s="5">
        <v>-0.11899999999999999</v>
      </c>
      <c r="K301" s="48">
        <f>ROUND(LOG10(Table1[[#This Row],[Return (keep sorted by this column!)]]+1),2)</f>
        <v>-0.06</v>
      </c>
      <c r="L301" s="48">
        <f>COUNTIF(Table1[Return (keep sorted by this column!)],"&lt;"&amp;Table1[[#This Row],[Return (keep sorted by this column!)]])</f>
        <v>134</v>
      </c>
      <c r="M301" s="76">
        <f>IF(Table1[[#This Row],[Team]]="David",Table1[[#This Row],[Return (keep sorted by this column!)]],"")</f>
        <v>-0.11899999999999999</v>
      </c>
      <c r="N301" s="76" t="str">
        <f>IF(Table1[[#This Row],[Team]]="Tom",Table1[[#This Row],[Return (keep sorted by this column!)]],"")</f>
        <v/>
      </c>
      <c r="O301" s="5">
        <v>-0.185</v>
      </c>
      <c r="P301" s="68">
        <f>IF(Table1[[#This Row],[Team]]="David",Table1[[#This Row],[S&amp;P Return, same period]],"")</f>
        <v>-0.185</v>
      </c>
      <c r="Q301" s="68" t="str">
        <f>IF(Table1[[#This Row],[Team]]="Tom",Table1[[#This Row],[S&amp;P Return, same period]],"")</f>
        <v/>
      </c>
      <c r="R301" s="5">
        <v>6.6000000000000003E-2</v>
      </c>
      <c r="S301" s="14">
        <f>IF(Table1[[#This Row],[Team]]="David",Table1[[#This Row],[Difference Vs. S&amp;P Return]],"")</f>
        <v>6.6000000000000003E-2</v>
      </c>
      <c r="T301" s="14" t="str">
        <f>IF(Table1[[#This Row],[Team]]="Tom",Table1[[#This Row],[Difference Vs. S&amp;P Return]],"")</f>
        <v/>
      </c>
      <c r="U301" s="14">
        <f>ROUND((1+Table1[[#This Row],[Return (keep sorted by this column!)]])/(1+Table1[[#This Row],[S&amp;P Return, same period]])-1,1)</f>
        <v>0.1</v>
      </c>
      <c r="V301" s="15">
        <f>IF(Table1[[#This Row],[Team]]="David",Table1[[#This Row],[Improvement Vs. S&amp;P Return]],"")</f>
        <v>0.1</v>
      </c>
      <c r="W301" s="15" t="str">
        <f>IF(Table1[[#This Row],[Team]]="Tom",Table1[[#This Row],[Improvement Vs. S&amp;P Return]],"")</f>
        <v/>
      </c>
    </row>
    <row r="302" spans="1:23" ht="17" x14ac:dyDescent="0.2">
      <c r="A302" s="18">
        <v>43084</v>
      </c>
      <c r="B302" s="2" t="s">
        <v>128</v>
      </c>
      <c r="C302" s="2">
        <f>SUBTOTAL(103,Table1[[#This Row],[Recommendation Date]])</f>
        <v>1</v>
      </c>
      <c r="D302" s="2">
        <f>1</f>
        <v>1</v>
      </c>
      <c r="E302" s="16" t="s">
        <v>129</v>
      </c>
      <c r="F302" s="3" t="s">
        <v>130</v>
      </c>
      <c r="G302" s="3" t="s">
        <v>12</v>
      </c>
      <c r="H302" s="16">
        <v>10</v>
      </c>
      <c r="I302" s="4">
        <v>206.84</v>
      </c>
      <c r="J302" s="5">
        <v>-0.12</v>
      </c>
      <c r="K302" s="48">
        <f>ROUND(LOG10(Table1[[#This Row],[Return (keep sorted by this column!)]]+1),2)</f>
        <v>-0.06</v>
      </c>
      <c r="L302" s="48">
        <f>COUNTIF(Table1[Return (keep sorted by this column!)],"&lt;"&amp;Table1[[#This Row],[Return (keep sorted by this column!)]])</f>
        <v>133</v>
      </c>
      <c r="M302" s="76">
        <f>IF(Table1[[#This Row],[Team]]="David",Table1[[#This Row],[Return (keep sorted by this column!)]],"")</f>
        <v>-0.12</v>
      </c>
      <c r="N302" s="76" t="str">
        <f>IF(Table1[[#This Row],[Team]]="Tom",Table1[[#This Row],[Return (keep sorted by this column!)]],"")</f>
        <v/>
      </c>
      <c r="O302" s="5">
        <v>7.1999999999999995E-2</v>
      </c>
      <c r="P302" s="68">
        <f>IF(Table1[[#This Row],[Team]]="David",Table1[[#This Row],[S&amp;P Return, same period]],"")</f>
        <v>7.1999999999999995E-2</v>
      </c>
      <c r="Q302" s="68" t="str">
        <f>IF(Table1[[#This Row],[Team]]="Tom",Table1[[#This Row],[S&amp;P Return, same period]],"")</f>
        <v/>
      </c>
      <c r="R302" s="5">
        <v>-0.192</v>
      </c>
      <c r="S302" s="14">
        <f>IF(Table1[[#This Row],[Team]]="David",Table1[[#This Row],[Difference Vs. S&amp;P Return]],"")</f>
        <v>-0.192</v>
      </c>
      <c r="T302" s="14" t="str">
        <f>IF(Table1[[#This Row],[Team]]="Tom",Table1[[#This Row],[Difference Vs. S&amp;P Return]],"")</f>
        <v/>
      </c>
      <c r="U302" s="14">
        <f>ROUND((1+Table1[[#This Row],[Return (keep sorted by this column!)]])/(1+Table1[[#This Row],[S&amp;P Return, same period]])-1,1)</f>
        <v>-0.2</v>
      </c>
      <c r="V302" s="15">
        <f>IF(Table1[[#This Row],[Team]]="David",Table1[[#This Row],[Improvement Vs. S&amp;P Return]],"")</f>
        <v>-0.2</v>
      </c>
      <c r="W302" s="15" t="str">
        <f>IF(Table1[[#This Row],[Team]]="Tom",Table1[[#This Row],[Improvement Vs. S&amp;P Return]],"")</f>
        <v/>
      </c>
    </row>
    <row r="303" spans="1:23" ht="105" x14ac:dyDescent="0.2">
      <c r="A303" s="18">
        <v>42111</v>
      </c>
      <c r="B303" s="2" t="s">
        <v>265</v>
      </c>
      <c r="C303" s="2">
        <f>SUBTOTAL(103,Table1[[#This Row],[Recommendation Date]])</f>
        <v>1</v>
      </c>
      <c r="D303" s="2">
        <f>1</f>
        <v>1</v>
      </c>
      <c r="E303" s="3" t="s">
        <v>266</v>
      </c>
      <c r="F303" s="3" t="s">
        <v>267</v>
      </c>
      <c r="G303" s="3" t="s">
        <v>8</v>
      </c>
      <c r="H303" s="17"/>
      <c r="I303" s="3" t="s">
        <v>268</v>
      </c>
      <c r="J303" s="5">
        <v>-0.122</v>
      </c>
      <c r="K303" s="48">
        <f>ROUND(LOG10(Table1[[#This Row],[Return (keep sorted by this column!)]]+1),2)</f>
        <v>-0.06</v>
      </c>
      <c r="L303" s="48">
        <f>COUNTIF(Table1[Return (keep sorted by this column!)],"&lt;"&amp;Table1[[#This Row],[Return (keep sorted by this column!)]])</f>
        <v>132</v>
      </c>
      <c r="M303" s="76" t="str">
        <f>IF(Table1[[#This Row],[Team]]="David",Table1[[#This Row],[Return (keep sorted by this column!)]],"")</f>
        <v/>
      </c>
      <c r="N303" s="76">
        <f>IF(Table1[[#This Row],[Team]]="Tom",Table1[[#This Row],[Return (keep sorted by this column!)]],"")</f>
        <v>-0.122</v>
      </c>
      <c r="O303" s="5">
        <v>0.45900000000000002</v>
      </c>
      <c r="P303" s="68" t="str">
        <f>IF(Table1[[#This Row],[Team]]="David",Table1[[#This Row],[S&amp;P Return, same period]],"")</f>
        <v/>
      </c>
      <c r="Q303" s="68">
        <f>IF(Table1[[#This Row],[Team]]="Tom",Table1[[#This Row],[S&amp;P Return, same period]],"")</f>
        <v>0.45900000000000002</v>
      </c>
      <c r="R303" s="5">
        <v>-0.58099999999999996</v>
      </c>
      <c r="S303" s="14" t="str">
        <f>IF(Table1[[#This Row],[Team]]="David",Table1[[#This Row],[Difference Vs. S&amp;P Return]],"")</f>
        <v/>
      </c>
      <c r="T303" s="14">
        <f>IF(Table1[[#This Row],[Team]]="Tom",Table1[[#This Row],[Difference Vs. S&amp;P Return]],"")</f>
        <v>-0.58099999999999996</v>
      </c>
      <c r="U303" s="14">
        <f>ROUND((1+Table1[[#This Row],[Return (keep sorted by this column!)]])/(1+Table1[[#This Row],[S&amp;P Return, same period]])-1,1)</f>
        <v>-0.4</v>
      </c>
      <c r="V303" s="15" t="str">
        <f>IF(Table1[[#This Row],[Team]]="David",Table1[[#This Row],[Improvement Vs. S&amp;P Return]],"")</f>
        <v/>
      </c>
      <c r="W303" s="15">
        <f>IF(Table1[[#This Row],[Team]]="Tom",Table1[[#This Row],[Improvement Vs. S&amp;P Return]],"")</f>
        <v>-0.4</v>
      </c>
    </row>
    <row r="304" spans="1:23" ht="90" x14ac:dyDescent="0.2">
      <c r="A304" s="1">
        <v>37750</v>
      </c>
      <c r="B304" s="2" t="s">
        <v>714</v>
      </c>
      <c r="C304" s="2">
        <f>SUBTOTAL(103,Table1[[#This Row],[Recommendation Date]])</f>
        <v>1</v>
      </c>
      <c r="D304" s="2">
        <f>1</f>
        <v>1</v>
      </c>
      <c r="E304" s="16" t="s">
        <v>617</v>
      </c>
      <c r="F304" s="17"/>
      <c r="G304" s="3" t="s">
        <v>8</v>
      </c>
      <c r="H304" s="17"/>
      <c r="I304" s="4">
        <v>47.66</v>
      </c>
      <c r="J304" s="5">
        <v>-0.124</v>
      </c>
      <c r="K304" s="48">
        <f>ROUND(LOG10(Table1[[#This Row],[Return (keep sorted by this column!)]]+1),2)</f>
        <v>-0.06</v>
      </c>
      <c r="L304" s="48">
        <f>COUNTIF(Table1[Return (keep sorted by this column!)],"&lt;"&amp;Table1[[#This Row],[Return (keep sorted by this column!)]])</f>
        <v>131</v>
      </c>
      <c r="M304" s="14" t="str">
        <f>IF(Table1[[#This Row],[Team]]="David",Table1[[#This Row],[Return (keep sorted by this column!)]],"")</f>
        <v/>
      </c>
      <c r="N304" s="14">
        <f>IF(Table1[[#This Row],[Team]]="Tom",Table1[[#This Row],[Return (keep sorted by this column!)]],"")</f>
        <v>-0.124</v>
      </c>
      <c r="O304" s="5">
        <v>0.89100000000000001</v>
      </c>
      <c r="P304" s="23" t="str">
        <f>IF(Table1[[#This Row],[Team]]="David",Table1[[#This Row],[S&amp;P Return, same period]],"")</f>
        <v/>
      </c>
      <c r="Q304" s="23">
        <f>IF(Table1[[#This Row],[Team]]="Tom",Table1[[#This Row],[S&amp;P Return, same period]],"")</f>
        <v>0.89100000000000001</v>
      </c>
      <c r="R304" s="5">
        <v>-1.016</v>
      </c>
      <c r="S304" s="14" t="str">
        <f>IF(Table1[[#This Row],[Team]]="David",Table1[[#This Row],[Difference Vs. S&amp;P Return]],"")</f>
        <v/>
      </c>
      <c r="T304" s="14">
        <f>IF(Table1[[#This Row],[Team]]="Tom",Table1[[#This Row],[Difference Vs. S&amp;P Return]],"")</f>
        <v>-1.016</v>
      </c>
      <c r="U304" s="14">
        <f>ROUND((1+Table1[[#This Row],[Return (keep sorted by this column!)]])/(1+Table1[[#This Row],[S&amp;P Return, same period]])-1,1)</f>
        <v>-0.5</v>
      </c>
      <c r="V304" s="15" t="str">
        <f>IF(Table1[[#This Row],[Team]]="David",Table1[[#This Row],[Improvement Vs. S&amp;P Return]],"")</f>
        <v/>
      </c>
      <c r="W304" s="15">
        <f>IF(Table1[[#This Row],[Team]]="Tom",Table1[[#This Row],[Improvement Vs. S&amp;P Return]],"")</f>
        <v>-0.5</v>
      </c>
    </row>
    <row r="305" spans="1:23" ht="30" x14ac:dyDescent="0.2">
      <c r="A305" s="18">
        <v>43895</v>
      </c>
      <c r="B305" s="2" t="s">
        <v>5</v>
      </c>
      <c r="C305" s="2">
        <f>SUBTOTAL(103,Table1[[#This Row],[Recommendation Date]])</f>
        <v>1</v>
      </c>
      <c r="D305" s="2">
        <f>1</f>
        <v>1</v>
      </c>
      <c r="E305" s="16" t="s">
        <v>6</v>
      </c>
      <c r="F305" s="3" t="s">
        <v>7</v>
      </c>
      <c r="G305" s="3" t="s">
        <v>8</v>
      </c>
      <c r="H305" s="17"/>
      <c r="I305" s="4">
        <v>41.14</v>
      </c>
      <c r="J305" s="5">
        <v>-0.125</v>
      </c>
      <c r="K305" s="48">
        <f>ROUND(LOG10(Table1[[#This Row],[Return (keep sorted by this column!)]]+1),2)</f>
        <v>-0.06</v>
      </c>
      <c r="L305" s="48">
        <f>COUNTIF(Table1[Return (keep sorted by this column!)],"&lt;"&amp;Table1[[#This Row],[Return (keep sorted by this column!)]])</f>
        <v>129</v>
      </c>
      <c r="M305" s="76" t="str">
        <f>IF(Table1[[#This Row],[Team]]="David",Table1[[#This Row],[Return (keep sorted by this column!)]],"")</f>
        <v/>
      </c>
      <c r="N305" s="76">
        <f>IF(Table1[[#This Row],[Team]]="Tom",Table1[[#This Row],[Return (keep sorted by this column!)]],"")</f>
        <v>-0.125</v>
      </c>
      <c r="O305" s="5">
        <v>-9.1999999999999998E-2</v>
      </c>
      <c r="P305" s="68" t="str">
        <f>IF(Table1[[#This Row],[Team]]="David",Table1[[#This Row],[S&amp;P Return, same period]],"")</f>
        <v/>
      </c>
      <c r="Q305" s="68">
        <f>IF(Table1[[#This Row],[Team]]="Tom",Table1[[#This Row],[S&amp;P Return, same period]],"")</f>
        <v>-9.1999999999999998E-2</v>
      </c>
      <c r="R305" s="5">
        <v>-3.4000000000000002E-2</v>
      </c>
      <c r="S305" s="14" t="str">
        <f>IF(Table1[[#This Row],[Team]]="David",Table1[[#This Row],[Difference Vs. S&amp;P Return]],"")</f>
        <v/>
      </c>
      <c r="T305" s="14">
        <f>IF(Table1[[#This Row],[Team]]="Tom",Table1[[#This Row],[Difference Vs. S&amp;P Return]],"")</f>
        <v>-3.4000000000000002E-2</v>
      </c>
      <c r="U305" s="14">
        <f>ROUND((1+Table1[[#This Row],[Return (keep sorted by this column!)]])/(1+Table1[[#This Row],[S&amp;P Return, same period]])-1,1)</f>
        <v>0</v>
      </c>
      <c r="V305" s="15" t="str">
        <f>IF(Table1[[#This Row],[Team]]="David",Table1[[#This Row],[Improvement Vs. S&amp;P Return]],"")</f>
        <v/>
      </c>
      <c r="W305" s="15">
        <f>IF(Table1[[#This Row],[Team]]="Tom",Table1[[#This Row],[Improvement Vs. S&amp;P Return]],"")</f>
        <v>0</v>
      </c>
    </row>
    <row r="306" spans="1:23" ht="45" x14ac:dyDescent="0.2">
      <c r="A306" s="1">
        <v>37932</v>
      </c>
      <c r="B306" s="2" t="s">
        <v>703</v>
      </c>
      <c r="C306" s="2">
        <f>SUBTOTAL(103,Table1[[#This Row],[Recommendation Date]])</f>
        <v>1</v>
      </c>
      <c r="D306" s="2">
        <f>1</f>
        <v>1</v>
      </c>
      <c r="E306" s="16" t="s">
        <v>704</v>
      </c>
      <c r="F306" s="3" t="s">
        <v>262</v>
      </c>
      <c r="G306" s="3" t="s">
        <v>12</v>
      </c>
      <c r="H306" s="17"/>
      <c r="I306" s="4">
        <v>35.450000000000003</v>
      </c>
      <c r="J306" s="5">
        <v>-0.125</v>
      </c>
      <c r="K306" s="48">
        <f>ROUND(LOG10(Table1[[#This Row],[Return (keep sorted by this column!)]]+1),2)</f>
        <v>-0.06</v>
      </c>
      <c r="L306" s="48">
        <f>COUNTIF(Table1[Return (keep sorted by this column!)],"&lt;"&amp;Table1[[#This Row],[Return (keep sorted by this column!)]])</f>
        <v>129</v>
      </c>
      <c r="M306" s="14">
        <f>IF(Table1[[#This Row],[Team]]="David",Table1[[#This Row],[Return (keep sorted by this column!)]],"")</f>
        <v>-0.125</v>
      </c>
      <c r="N306" s="14" t="str">
        <f>IF(Table1[[#This Row],[Team]]="Tom",Table1[[#This Row],[Return (keep sorted by this column!)]],"")</f>
        <v/>
      </c>
      <c r="O306" s="5">
        <v>0.40699999999999997</v>
      </c>
      <c r="P306" s="23">
        <f>IF(Table1[[#This Row],[Team]]="David",Table1[[#This Row],[S&amp;P Return, same period]],"")</f>
        <v>0.40699999999999997</v>
      </c>
      <c r="Q306" s="23" t="str">
        <f>IF(Table1[[#This Row],[Team]]="Tom",Table1[[#This Row],[S&amp;P Return, same period]],"")</f>
        <v/>
      </c>
      <c r="R306" s="5">
        <v>-0.53200000000000003</v>
      </c>
      <c r="S306" s="14">
        <f>IF(Table1[[#This Row],[Team]]="David",Table1[[#This Row],[Difference Vs. S&amp;P Return]],"")</f>
        <v>-0.53200000000000003</v>
      </c>
      <c r="T306" s="14" t="str">
        <f>IF(Table1[[#This Row],[Team]]="Tom",Table1[[#This Row],[Difference Vs. S&amp;P Return]],"")</f>
        <v/>
      </c>
      <c r="U306" s="14">
        <f>ROUND((1+Table1[[#This Row],[Return (keep sorted by this column!)]])/(1+Table1[[#This Row],[S&amp;P Return, same period]])-1,1)</f>
        <v>-0.4</v>
      </c>
      <c r="V306" s="15">
        <f>IF(Table1[[#This Row],[Team]]="David",Table1[[#This Row],[Improvement Vs. S&amp;P Return]],"")</f>
        <v>-0.4</v>
      </c>
      <c r="W306" s="15" t="str">
        <f>IF(Table1[[#This Row],[Team]]="Tom",Table1[[#This Row],[Improvement Vs. S&amp;P Return]],"")</f>
        <v/>
      </c>
    </row>
    <row r="307" spans="1:23" ht="17" x14ac:dyDescent="0.2">
      <c r="A307" s="18">
        <v>42937</v>
      </c>
      <c r="B307" s="2" t="s">
        <v>151</v>
      </c>
      <c r="C307" s="2">
        <f>SUBTOTAL(103,Table1[[#This Row],[Recommendation Date]])</f>
        <v>1</v>
      </c>
      <c r="D307" s="2">
        <f>1</f>
        <v>1</v>
      </c>
      <c r="E307" s="16" t="s">
        <v>152</v>
      </c>
      <c r="F307" s="3" t="s">
        <v>130</v>
      </c>
      <c r="G307" s="3" t="s">
        <v>12</v>
      </c>
      <c r="H307" s="16">
        <v>9</v>
      </c>
      <c r="I307" s="4">
        <v>45.43</v>
      </c>
      <c r="J307" s="5">
        <v>-0.126</v>
      </c>
      <c r="K307" s="48">
        <f>ROUND(LOG10(Table1[[#This Row],[Return (keep sorted by this column!)]]+1),2)</f>
        <v>-0.06</v>
      </c>
      <c r="L307" s="48">
        <f>COUNTIF(Table1[Return (keep sorted by this column!)],"&lt;"&amp;Table1[[#This Row],[Return (keep sorted by this column!)]])</f>
        <v>128</v>
      </c>
      <c r="M307" s="76">
        <f>IF(Table1[[#This Row],[Team]]="David",Table1[[#This Row],[Return (keep sorted by this column!)]],"")</f>
        <v>-0.126</v>
      </c>
      <c r="N307" s="76" t="str">
        <f>IF(Table1[[#This Row],[Team]]="Tom",Table1[[#This Row],[Return (keep sorted by this column!)]],"")</f>
        <v/>
      </c>
      <c r="O307" s="5">
        <v>0.17</v>
      </c>
      <c r="P307" s="68">
        <f>IF(Table1[[#This Row],[Team]]="David",Table1[[#This Row],[S&amp;P Return, same period]],"")</f>
        <v>0.17</v>
      </c>
      <c r="Q307" s="68" t="str">
        <f>IF(Table1[[#This Row],[Team]]="Tom",Table1[[#This Row],[S&amp;P Return, same period]],"")</f>
        <v/>
      </c>
      <c r="R307" s="5">
        <v>-0.29599999999999999</v>
      </c>
      <c r="S307" s="14">
        <f>IF(Table1[[#This Row],[Team]]="David",Table1[[#This Row],[Difference Vs. S&amp;P Return]],"")</f>
        <v>-0.29599999999999999</v>
      </c>
      <c r="T307" s="14" t="str">
        <f>IF(Table1[[#This Row],[Team]]="Tom",Table1[[#This Row],[Difference Vs. S&amp;P Return]],"")</f>
        <v/>
      </c>
      <c r="U307" s="14">
        <f>ROUND((1+Table1[[#This Row],[Return (keep sorted by this column!)]])/(1+Table1[[#This Row],[S&amp;P Return, same period]])-1,1)</f>
        <v>-0.3</v>
      </c>
      <c r="V307" s="15">
        <f>IF(Table1[[#This Row],[Team]]="David",Table1[[#This Row],[Improvement Vs. S&amp;P Return]],"")</f>
        <v>-0.3</v>
      </c>
      <c r="W307" s="15" t="str">
        <f>IF(Table1[[#This Row],[Team]]="Tom",Table1[[#This Row],[Improvement Vs. S&amp;P Return]],"")</f>
        <v/>
      </c>
    </row>
    <row r="308" spans="1:23" ht="60" x14ac:dyDescent="0.2">
      <c r="A308" s="1">
        <v>40739</v>
      </c>
      <c r="B308" s="2" t="s">
        <v>411</v>
      </c>
      <c r="C308" s="2">
        <f>SUBTOTAL(103,Table1[[#This Row],[Recommendation Date]])</f>
        <v>1</v>
      </c>
      <c r="D308" s="2">
        <f>1</f>
        <v>1</v>
      </c>
      <c r="E308" s="16" t="s">
        <v>412</v>
      </c>
      <c r="F308" s="3" t="s">
        <v>252</v>
      </c>
      <c r="G308" s="3" t="s">
        <v>12</v>
      </c>
      <c r="H308" s="17"/>
      <c r="I308" s="4">
        <v>27.69</v>
      </c>
      <c r="J308" s="5">
        <v>-0.13200000000000001</v>
      </c>
      <c r="K308" s="48">
        <f>ROUND(LOG10(Table1[[#This Row],[Return (keep sorted by this column!)]]+1),2)</f>
        <v>-0.06</v>
      </c>
      <c r="L308" s="48">
        <f>COUNTIF(Table1[Return (keep sorted by this column!)],"&lt;"&amp;Table1[[#This Row],[Return (keep sorted by this column!)]])</f>
        <v>126</v>
      </c>
      <c r="M308" s="76">
        <f>IF(Table1[[#This Row],[Team]]="David",Table1[[#This Row],[Return (keep sorted by this column!)]],"")</f>
        <v>-0.13200000000000001</v>
      </c>
      <c r="N308" s="76" t="str">
        <f>IF(Table1[[#This Row],[Team]]="Tom",Table1[[#This Row],[Return (keep sorted by this column!)]],"")</f>
        <v/>
      </c>
      <c r="O308" s="5">
        <v>0.69699999999999995</v>
      </c>
      <c r="P308" s="68">
        <f>IF(Table1[[#This Row],[Team]]="David",Table1[[#This Row],[S&amp;P Return, same period]],"")</f>
        <v>0.69699999999999995</v>
      </c>
      <c r="Q308" s="68" t="str">
        <f>IF(Table1[[#This Row],[Team]]="Tom",Table1[[#This Row],[S&amp;P Return, same period]],"")</f>
        <v/>
      </c>
      <c r="R308" s="5">
        <v>-0.83</v>
      </c>
      <c r="S308" s="14">
        <f>IF(Table1[[#This Row],[Team]]="David",Table1[[#This Row],[Difference Vs. S&amp;P Return]],"")</f>
        <v>-0.83</v>
      </c>
      <c r="T308" s="14" t="str">
        <f>IF(Table1[[#This Row],[Team]]="Tom",Table1[[#This Row],[Difference Vs. S&amp;P Return]],"")</f>
        <v/>
      </c>
      <c r="U308" s="14">
        <f>ROUND((1+Table1[[#This Row],[Return (keep sorted by this column!)]])/(1+Table1[[#This Row],[S&amp;P Return, same period]])-1,1)</f>
        <v>-0.5</v>
      </c>
      <c r="V308" s="15">
        <f>IF(Table1[[#This Row],[Team]]="David",Table1[[#This Row],[Improvement Vs. S&amp;P Return]],"")</f>
        <v>-0.5</v>
      </c>
      <c r="W308" s="15" t="str">
        <f>IF(Table1[[#This Row],[Team]]="Tom",Table1[[#This Row],[Improvement Vs. S&amp;P Return]],"")</f>
        <v/>
      </c>
    </row>
    <row r="309" spans="1:23" ht="45" x14ac:dyDescent="0.2">
      <c r="A309" s="1">
        <v>37967</v>
      </c>
      <c r="B309" s="2" t="s">
        <v>696</v>
      </c>
      <c r="C309" s="2">
        <f>SUBTOTAL(103,Table1[[#This Row],[Recommendation Date]])</f>
        <v>1</v>
      </c>
      <c r="D309" s="2">
        <f>1</f>
        <v>1</v>
      </c>
      <c r="E309" s="16" t="s">
        <v>697</v>
      </c>
      <c r="F309" s="3" t="s">
        <v>252</v>
      </c>
      <c r="G309" s="3" t="s">
        <v>12</v>
      </c>
      <c r="H309" s="17"/>
      <c r="I309" s="4">
        <v>6.5</v>
      </c>
      <c r="J309" s="5">
        <v>-0.13200000000000001</v>
      </c>
      <c r="K309" s="48">
        <f>ROUND(LOG10(Table1[[#This Row],[Return (keep sorted by this column!)]]+1),2)</f>
        <v>-0.06</v>
      </c>
      <c r="L309" s="48">
        <f>COUNTIF(Table1[Return (keep sorted by this column!)],"&lt;"&amp;Table1[[#This Row],[Return (keep sorted by this column!)]])</f>
        <v>126</v>
      </c>
      <c r="M309" s="14">
        <f>IF(Table1[[#This Row],[Team]]="David",Table1[[#This Row],[Return (keep sorted by this column!)]],"")</f>
        <v>-0.13200000000000001</v>
      </c>
      <c r="N309" s="14" t="str">
        <f>IF(Table1[[#This Row],[Team]]="Tom",Table1[[#This Row],[Return (keep sorted by this column!)]],"")</f>
        <v/>
      </c>
      <c r="O309" s="5">
        <v>-4.2000000000000003E-2</v>
      </c>
      <c r="P309" s="23">
        <f>IF(Table1[[#This Row],[Team]]="David",Table1[[#This Row],[S&amp;P Return, same period]],"")</f>
        <v>-4.2000000000000003E-2</v>
      </c>
      <c r="Q309" s="23" t="str">
        <f>IF(Table1[[#This Row],[Team]]="Tom",Table1[[#This Row],[S&amp;P Return, same period]],"")</f>
        <v/>
      </c>
      <c r="R309" s="5">
        <v>-0.09</v>
      </c>
      <c r="S309" s="14">
        <f>IF(Table1[[#This Row],[Team]]="David",Table1[[#This Row],[Difference Vs. S&amp;P Return]],"")</f>
        <v>-0.09</v>
      </c>
      <c r="T309" s="14" t="str">
        <f>IF(Table1[[#This Row],[Team]]="Tom",Table1[[#This Row],[Difference Vs. S&amp;P Return]],"")</f>
        <v/>
      </c>
      <c r="U309" s="14">
        <f>ROUND((1+Table1[[#This Row],[Return (keep sorted by this column!)]])/(1+Table1[[#This Row],[S&amp;P Return, same period]])-1,1)</f>
        <v>-0.1</v>
      </c>
      <c r="V309" s="15">
        <f>IF(Table1[[#This Row],[Team]]="David",Table1[[#This Row],[Improvement Vs. S&amp;P Return]],"")</f>
        <v>-0.1</v>
      </c>
      <c r="W309" s="15" t="str">
        <f>IF(Table1[[#This Row],[Team]]="Tom",Table1[[#This Row],[Improvement Vs. S&amp;P Return]],"")</f>
        <v/>
      </c>
    </row>
    <row r="310" spans="1:23" ht="45" x14ac:dyDescent="0.2">
      <c r="A310" s="1">
        <v>40683</v>
      </c>
      <c r="B310" s="2" t="s">
        <v>418</v>
      </c>
      <c r="C310" s="2">
        <f>SUBTOTAL(103,Table1[[#This Row],[Recommendation Date]])</f>
        <v>1</v>
      </c>
      <c r="D310" s="2">
        <f>1</f>
        <v>1</v>
      </c>
      <c r="E310" s="16" t="s">
        <v>419</v>
      </c>
      <c r="F310" s="3" t="s">
        <v>15</v>
      </c>
      <c r="G310" s="3" t="s">
        <v>8</v>
      </c>
      <c r="H310" s="17"/>
      <c r="I310" s="4">
        <v>37.99</v>
      </c>
      <c r="J310" s="5">
        <v>-0.13400000000000001</v>
      </c>
      <c r="K310" s="48">
        <f>ROUND(LOG10(Table1[[#This Row],[Return (keep sorted by this column!)]]+1),2)</f>
        <v>-0.06</v>
      </c>
      <c r="L310" s="48">
        <f>COUNTIF(Table1[Return (keep sorted by this column!)],"&lt;"&amp;Table1[[#This Row],[Return (keep sorted by this column!)]])</f>
        <v>125</v>
      </c>
      <c r="M310" s="76" t="str">
        <f>IF(Table1[[#This Row],[Team]]="David",Table1[[#This Row],[Return (keep sorted by this column!)]],"")</f>
        <v/>
      </c>
      <c r="N310" s="76">
        <f>IF(Table1[[#This Row],[Team]]="Tom",Table1[[#This Row],[Return (keep sorted by this column!)]],"")</f>
        <v>-0.13400000000000001</v>
      </c>
      <c r="O310" s="5">
        <v>0.68899999999999995</v>
      </c>
      <c r="P310" s="68" t="str">
        <f>IF(Table1[[#This Row],[Team]]="David",Table1[[#This Row],[S&amp;P Return, same period]],"")</f>
        <v/>
      </c>
      <c r="Q310" s="68">
        <f>IF(Table1[[#This Row],[Team]]="Tom",Table1[[#This Row],[S&amp;P Return, same period]],"")</f>
        <v>0.68899999999999995</v>
      </c>
      <c r="R310" s="5">
        <v>-0.82299999999999995</v>
      </c>
      <c r="S310" s="14" t="str">
        <f>IF(Table1[[#This Row],[Team]]="David",Table1[[#This Row],[Difference Vs. S&amp;P Return]],"")</f>
        <v/>
      </c>
      <c r="T310" s="14">
        <f>IF(Table1[[#This Row],[Team]]="Tom",Table1[[#This Row],[Difference Vs. S&amp;P Return]],"")</f>
        <v>-0.82299999999999995</v>
      </c>
      <c r="U310" s="14">
        <f>ROUND((1+Table1[[#This Row],[Return (keep sorted by this column!)]])/(1+Table1[[#This Row],[S&amp;P Return, same period]])-1,1)</f>
        <v>-0.5</v>
      </c>
      <c r="V310" s="15" t="str">
        <f>IF(Table1[[#This Row],[Team]]="David",Table1[[#This Row],[Improvement Vs. S&amp;P Return]],"")</f>
        <v/>
      </c>
      <c r="W310" s="15">
        <f>IF(Table1[[#This Row],[Team]]="Tom",Table1[[#This Row],[Improvement Vs. S&amp;P Return]],"")</f>
        <v>-0.5</v>
      </c>
    </row>
    <row r="311" spans="1:23" ht="75" x14ac:dyDescent="0.2">
      <c r="A311" s="18">
        <v>39157</v>
      </c>
      <c r="B311" s="2" t="s">
        <v>589</v>
      </c>
      <c r="C311" s="2">
        <f>SUBTOTAL(103,Table1[[#This Row],[Recommendation Date]])</f>
        <v>1</v>
      </c>
      <c r="D311" s="2">
        <f>1</f>
        <v>1</v>
      </c>
      <c r="E311" s="3" t="s">
        <v>590</v>
      </c>
      <c r="F311" s="3" t="s">
        <v>267</v>
      </c>
      <c r="G311" s="3" t="s">
        <v>12</v>
      </c>
      <c r="H311" s="16">
        <v>13</v>
      </c>
      <c r="I311" s="3" t="s">
        <v>268</v>
      </c>
      <c r="J311" s="5">
        <v>-0.13600000000000001</v>
      </c>
      <c r="K311" s="48">
        <f>ROUND(LOG10(Table1[[#This Row],[Return (keep sorted by this column!)]]+1),2)</f>
        <v>-0.06</v>
      </c>
      <c r="L311" s="48">
        <f>COUNTIF(Table1[Return (keep sorted by this column!)],"&lt;"&amp;Table1[[#This Row],[Return (keep sorted by this column!)]])</f>
        <v>124</v>
      </c>
      <c r="M311" s="14">
        <f>IF(Table1[[#This Row],[Team]]="David",Table1[[#This Row],[Return (keep sorted by this column!)]],"")</f>
        <v>-0.13600000000000001</v>
      </c>
      <c r="N311" s="14" t="str">
        <f>IF(Table1[[#This Row],[Team]]="Tom",Table1[[#This Row],[Return (keep sorted by this column!)]],"")</f>
        <v/>
      </c>
      <c r="O311" s="5">
        <v>1.6040000000000001</v>
      </c>
      <c r="P311" s="23">
        <f>IF(Table1[[#This Row],[Team]]="David",Table1[[#This Row],[S&amp;P Return, same period]],"")</f>
        <v>1.6040000000000001</v>
      </c>
      <c r="Q311" s="23" t="str">
        <f>IF(Table1[[#This Row],[Team]]="Tom",Table1[[#This Row],[S&amp;P Return, same period]],"")</f>
        <v/>
      </c>
      <c r="R311" s="5">
        <v>-1.74</v>
      </c>
      <c r="S311" s="14">
        <f>IF(Table1[[#This Row],[Team]]="David",Table1[[#This Row],[Difference Vs. S&amp;P Return]],"")</f>
        <v>-1.74</v>
      </c>
      <c r="T311" s="14" t="str">
        <f>IF(Table1[[#This Row],[Team]]="Tom",Table1[[#This Row],[Difference Vs. S&amp;P Return]],"")</f>
        <v/>
      </c>
      <c r="U311" s="14">
        <f>ROUND((1+Table1[[#This Row],[Return (keep sorted by this column!)]])/(1+Table1[[#This Row],[S&amp;P Return, same period]])-1,1)</f>
        <v>-0.7</v>
      </c>
      <c r="V311" s="15">
        <f>IF(Table1[[#This Row],[Team]]="David",Table1[[#This Row],[Improvement Vs. S&amp;P Return]],"")</f>
        <v>-0.7</v>
      </c>
      <c r="W311" s="15" t="str">
        <f>IF(Table1[[#This Row],[Team]]="Tom",Table1[[#This Row],[Improvement Vs. S&amp;P Return]],"")</f>
        <v/>
      </c>
    </row>
    <row r="312" spans="1:23" ht="17" x14ac:dyDescent="0.2">
      <c r="A312" s="18">
        <v>43363</v>
      </c>
      <c r="B312" s="2" t="s">
        <v>96</v>
      </c>
      <c r="C312" s="2">
        <f>SUBTOTAL(103,Table1[[#This Row],[Recommendation Date]])</f>
        <v>1</v>
      </c>
      <c r="D312" s="2">
        <f>1</f>
        <v>1</v>
      </c>
      <c r="E312" s="16" t="s">
        <v>97</v>
      </c>
      <c r="F312" s="3" t="s">
        <v>98</v>
      </c>
      <c r="G312" s="3" t="s">
        <v>12</v>
      </c>
      <c r="H312" s="16">
        <v>7</v>
      </c>
      <c r="I312" s="4">
        <v>158.66</v>
      </c>
      <c r="J312" s="5">
        <v>-0.14399999999999999</v>
      </c>
      <c r="K312" s="48">
        <f>ROUND(LOG10(Table1[[#This Row],[Return (keep sorted by this column!)]]+1),2)</f>
        <v>-7.0000000000000007E-2</v>
      </c>
      <c r="L312" s="48">
        <f>COUNTIF(Table1[Return (keep sorted by this column!)],"&lt;"&amp;Table1[[#This Row],[Return (keep sorted by this column!)]])</f>
        <v>123</v>
      </c>
      <c r="M312" s="76">
        <f>IF(Table1[[#This Row],[Team]]="David",Table1[[#This Row],[Return (keep sorted by this column!)]],"")</f>
        <v>-0.14399999999999999</v>
      </c>
      <c r="N312" s="76" t="str">
        <f>IF(Table1[[#This Row],[Team]]="Tom",Table1[[#This Row],[Return (keep sorted by this column!)]],"")</f>
        <v/>
      </c>
      <c r="O312" s="5">
        <v>-3.5000000000000003E-2</v>
      </c>
      <c r="P312" s="68">
        <f>IF(Table1[[#This Row],[Team]]="David",Table1[[#This Row],[S&amp;P Return, same period]],"")</f>
        <v>-3.5000000000000003E-2</v>
      </c>
      <c r="Q312" s="68" t="str">
        <f>IF(Table1[[#This Row],[Team]]="Tom",Table1[[#This Row],[S&amp;P Return, same period]],"")</f>
        <v/>
      </c>
      <c r="R312" s="5">
        <v>-0.109</v>
      </c>
      <c r="S312" s="14">
        <f>IF(Table1[[#This Row],[Team]]="David",Table1[[#This Row],[Difference Vs. S&amp;P Return]],"")</f>
        <v>-0.109</v>
      </c>
      <c r="T312" s="14" t="str">
        <f>IF(Table1[[#This Row],[Team]]="Tom",Table1[[#This Row],[Difference Vs. S&amp;P Return]],"")</f>
        <v/>
      </c>
      <c r="U312" s="14">
        <f>ROUND((1+Table1[[#This Row],[Return (keep sorted by this column!)]])/(1+Table1[[#This Row],[S&amp;P Return, same period]])-1,1)</f>
        <v>-0.1</v>
      </c>
      <c r="V312" s="15">
        <f>IF(Table1[[#This Row],[Team]]="David",Table1[[#This Row],[Improvement Vs. S&amp;P Return]],"")</f>
        <v>-0.1</v>
      </c>
      <c r="W312" s="15" t="str">
        <f>IF(Table1[[#This Row],[Team]]="Tom",Table1[[#This Row],[Improvement Vs. S&amp;P Return]],"")</f>
        <v/>
      </c>
    </row>
    <row r="313" spans="1:23" ht="30" x14ac:dyDescent="0.2">
      <c r="A313" s="1">
        <v>39129</v>
      </c>
      <c r="B313" s="2" t="s">
        <v>580</v>
      </c>
      <c r="C313" s="2">
        <f>SUBTOTAL(103,Table1[[#This Row],[Recommendation Date]])</f>
        <v>1</v>
      </c>
      <c r="D313" s="2">
        <f>1</f>
        <v>1</v>
      </c>
      <c r="E313" s="16" t="s">
        <v>581</v>
      </c>
      <c r="F313" s="3" t="s">
        <v>582</v>
      </c>
      <c r="G313" s="3" t="s">
        <v>8</v>
      </c>
      <c r="H313" s="17"/>
      <c r="I313" s="4">
        <v>48.45</v>
      </c>
      <c r="J313" s="5">
        <v>-0.15</v>
      </c>
      <c r="K313" s="48">
        <f>ROUND(LOG10(Table1[[#This Row],[Return (keep sorted by this column!)]]+1),2)</f>
        <v>-7.0000000000000007E-2</v>
      </c>
      <c r="L313" s="48">
        <f>COUNTIF(Table1[Return (keep sorted by this column!)],"&lt;"&amp;Table1[[#This Row],[Return (keep sorted by this column!)]])</f>
        <v>122</v>
      </c>
      <c r="M313" s="14" t="str">
        <f>IF(Table1[[#This Row],[Team]]="David",Table1[[#This Row],[Return (keep sorted by this column!)]],"")</f>
        <v/>
      </c>
      <c r="N313" s="14">
        <f>IF(Table1[[#This Row],[Team]]="Tom",Table1[[#This Row],[Return (keep sorted by this column!)]],"")</f>
        <v>-0.15</v>
      </c>
      <c r="O313" s="5">
        <v>0.222</v>
      </c>
      <c r="P313" s="23" t="str">
        <f>IF(Table1[[#This Row],[Team]]="David",Table1[[#This Row],[S&amp;P Return, same period]],"")</f>
        <v/>
      </c>
      <c r="Q313" s="23">
        <f>IF(Table1[[#This Row],[Team]]="Tom",Table1[[#This Row],[S&amp;P Return, same period]],"")</f>
        <v>0.222</v>
      </c>
      <c r="R313" s="5">
        <v>-0.372</v>
      </c>
      <c r="S313" s="14" t="str">
        <f>IF(Table1[[#This Row],[Team]]="David",Table1[[#This Row],[Difference Vs. S&amp;P Return]],"")</f>
        <v/>
      </c>
      <c r="T313" s="14">
        <f>IF(Table1[[#This Row],[Team]]="Tom",Table1[[#This Row],[Difference Vs. S&amp;P Return]],"")</f>
        <v>-0.372</v>
      </c>
      <c r="U313" s="14">
        <f>ROUND((1+Table1[[#This Row],[Return (keep sorted by this column!)]])/(1+Table1[[#This Row],[S&amp;P Return, same period]])-1,1)</f>
        <v>-0.3</v>
      </c>
      <c r="V313" s="15" t="str">
        <f>IF(Table1[[#This Row],[Team]]="David",Table1[[#This Row],[Improvement Vs. S&amp;P Return]],"")</f>
        <v/>
      </c>
      <c r="W313" s="15">
        <f>IF(Table1[[#This Row],[Team]]="Tom",Table1[[#This Row],[Improvement Vs. S&amp;P Return]],"")</f>
        <v>-0.3</v>
      </c>
    </row>
    <row r="314" spans="1:23" ht="17" x14ac:dyDescent="0.2">
      <c r="A314" s="18">
        <v>43587</v>
      </c>
      <c r="B314" s="2" t="s">
        <v>62</v>
      </c>
      <c r="C314" s="2">
        <f>SUBTOTAL(103,Table1[[#This Row],[Recommendation Date]])</f>
        <v>1</v>
      </c>
      <c r="D314" s="2">
        <f>1</f>
        <v>1</v>
      </c>
      <c r="E314" s="16" t="s">
        <v>63</v>
      </c>
      <c r="F314" s="3" t="s">
        <v>27</v>
      </c>
      <c r="G314" s="3" t="s">
        <v>8</v>
      </c>
      <c r="H314" s="17"/>
      <c r="I314" s="4">
        <v>136.80000000000001</v>
      </c>
      <c r="J314" s="5">
        <v>-0.151</v>
      </c>
      <c r="K314" s="48">
        <f>ROUND(LOG10(Table1[[#This Row],[Return (keep sorted by this column!)]]+1),2)</f>
        <v>-7.0000000000000007E-2</v>
      </c>
      <c r="L314" s="48">
        <f>COUNTIF(Table1[Return (keep sorted by this column!)],"&lt;"&amp;Table1[[#This Row],[Return (keep sorted by this column!)]])</f>
        <v>121</v>
      </c>
      <c r="M314" s="76" t="str">
        <f>IF(Table1[[#This Row],[Team]]="David",Table1[[#This Row],[Return (keep sorted by this column!)]],"")</f>
        <v/>
      </c>
      <c r="N314" s="76">
        <f>IF(Table1[[#This Row],[Team]]="Tom",Table1[[#This Row],[Return (keep sorted by this column!)]],"")</f>
        <v>-0.151</v>
      </c>
      <c r="O314" s="5">
        <v>-4.2000000000000003E-2</v>
      </c>
      <c r="P314" s="68" t="str">
        <f>IF(Table1[[#This Row],[Team]]="David",Table1[[#This Row],[S&amp;P Return, same period]],"")</f>
        <v/>
      </c>
      <c r="Q314" s="68">
        <f>IF(Table1[[#This Row],[Team]]="Tom",Table1[[#This Row],[S&amp;P Return, same period]],"")</f>
        <v>-4.2000000000000003E-2</v>
      </c>
      <c r="R314" s="5">
        <v>-0.109</v>
      </c>
      <c r="S314" s="14" t="str">
        <f>IF(Table1[[#This Row],[Team]]="David",Table1[[#This Row],[Difference Vs. S&amp;P Return]],"")</f>
        <v/>
      </c>
      <c r="T314" s="14">
        <f>IF(Table1[[#This Row],[Team]]="Tom",Table1[[#This Row],[Difference Vs. S&amp;P Return]],"")</f>
        <v>-0.109</v>
      </c>
      <c r="U314" s="14">
        <f>ROUND((1+Table1[[#This Row],[Return (keep sorted by this column!)]])/(1+Table1[[#This Row],[S&amp;P Return, same period]])-1,1)</f>
        <v>-0.1</v>
      </c>
      <c r="V314" s="15" t="str">
        <f>IF(Table1[[#This Row],[Team]]="David",Table1[[#This Row],[Improvement Vs. S&amp;P Return]],"")</f>
        <v/>
      </c>
      <c r="W314" s="15">
        <f>IF(Table1[[#This Row],[Team]]="Tom",Table1[[#This Row],[Improvement Vs. S&amp;P Return]],"")</f>
        <v>-0.1</v>
      </c>
    </row>
    <row r="315" spans="1:23" ht="17" x14ac:dyDescent="0.2">
      <c r="A315" s="18">
        <v>43622</v>
      </c>
      <c r="B315" s="2" t="s">
        <v>56</v>
      </c>
      <c r="C315" s="2">
        <f>SUBTOTAL(103,Table1[[#This Row],[Recommendation Date]])</f>
        <v>1</v>
      </c>
      <c r="D315" s="2">
        <f>1</f>
        <v>1</v>
      </c>
      <c r="E315" s="16" t="s">
        <v>57</v>
      </c>
      <c r="F315" s="3" t="s">
        <v>58</v>
      </c>
      <c r="G315" s="3" t="s">
        <v>8</v>
      </c>
      <c r="H315" s="17"/>
      <c r="I315" s="4">
        <v>65.69</v>
      </c>
      <c r="J315" s="5">
        <v>-0.16200000000000001</v>
      </c>
      <c r="K315" s="48">
        <f>ROUND(LOG10(Table1[[#This Row],[Return (keep sorted by this column!)]]+1),2)</f>
        <v>-0.08</v>
      </c>
      <c r="L315" s="48">
        <f>COUNTIF(Table1[Return (keep sorted by this column!)],"&lt;"&amp;Table1[[#This Row],[Return (keep sorted by this column!)]])</f>
        <v>120</v>
      </c>
      <c r="M315" s="76" t="str">
        <f>IF(Table1[[#This Row],[Team]]="David",Table1[[#This Row],[Return (keep sorted by this column!)]],"")</f>
        <v/>
      </c>
      <c r="N315" s="76">
        <f>IF(Table1[[#This Row],[Team]]="Tom",Table1[[#This Row],[Return (keep sorted by this column!)]],"")</f>
        <v>-0.16200000000000001</v>
      </c>
      <c r="O315" s="5">
        <v>-0.02</v>
      </c>
      <c r="P315" s="68" t="str">
        <f>IF(Table1[[#This Row],[Team]]="David",Table1[[#This Row],[S&amp;P Return, same period]],"")</f>
        <v/>
      </c>
      <c r="Q315" s="68">
        <f>IF(Table1[[#This Row],[Team]]="Tom",Table1[[#This Row],[S&amp;P Return, same period]],"")</f>
        <v>-0.02</v>
      </c>
      <c r="R315" s="5">
        <v>-0.14199999999999999</v>
      </c>
      <c r="S315" s="14" t="str">
        <f>IF(Table1[[#This Row],[Team]]="David",Table1[[#This Row],[Difference Vs. S&amp;P Return]],"")</f>
        <v/>
      </c>
      <c r="T315" s="14">
        <f>IF(Table1[[#This Row],[Team]]="Tom",Table1[[#This Row],[Difference Vs. S&amp;P Return]],"")</f>
        <v>-0.14199999999999999</v>
      </c>
      <c r="U315" s="14">
        <f>ROUND((1+Table1[[#This Row],[Return (keep sorted by this column!)]])/(1+Table1[[#This Row],[S&amp;P Return, same period]])-1,1)</f>
        <v>-0.1</v>
      </c>
      <c r="V315" s="15" t="str">
        <f>IF(Table1[[#This Row],[Team]]="David",Table1[[#This Row],[Improvement Vs. S&amp;P Return]],"")</f>
        <v/>
      </c>
      <c r="W315" s="15">
        <f>IF(Table1[[#This Row],[Team]]="Tom",Table1[[#This Row],[Improvement Vs. S&amp;P Return]],"")</f>
        <v>-0.1</v>
      </c>
    </row>
    <row r="316" spans="1:23" ht="30" x14ac:dyDescent="0.2">
      <c r="A316" s="18">
        <v>43545</v>
      </c>
      <c r="B316" s="2" t="s">
        <v>67</v>
      </c>
      <c r="C316" s="2">
        <f>SUBTOTAL(103,Table1[[#This Row],[Recommendation Date]])</f>
        <v>1</v>
      </c>
      <c r="D316" s="2">
        <f>1</f>
        <v>1</v>
      </c>
      <c r="E316" s="16" t="s">
        <v>68</v>
      </c>
      <c r="F316" s="3" t="s">
        <v>27</v>
      </c>
      <c r="G316" s="3" t="s">
        <v>12</v>
      </c>
      <c r="H316" s="16">
        <v>14</v>
      </c>
      <c r="I316" s="4">
        <v>106.47</v>
      </c>
      <c r="J316" s="5">
        <v>-0.16400000000000001</v>
      </c>
      <c r="K316" s="48">
        <f>ROUND(LOG10(Table1[[#This Row],[Return (keep sorted by this column!)]]+1),2)</f>
        <v>-0.08</v>
      </c>
      <c r="L316" s="48">
        <f>COUNTIF(Table1[Return (keep sorted by this column!)],"&lt;"&amp;Table1[[#This Row],[Return (keep sorted by this column!)]])</f>
        <v>119</v>
      </c>
      <c r="M316" s="76">
        <f>IF(Table1[[#This Row],[Team]]="David",Table1[[#This Row],[Return (keep sorted by this column!)]],"")</f>
        <v>-0.16400000000000001</v>
      </c>
      <c r="N316" s="76" t="str">
        <f>IF(Table1[[#This Row],[Team]]="Tom",Table1[[#This Row],[Return (keep sorted by this column!)]],"")</f>
        <v/>
      </c>
      <c r="O316" s="5">
        <v>-0.02</v>
      </c>
      <c r="P316" s="68">
        <f>IF(Table1[[#This Row],[Team]]="David",Table1[[#This Row],[S&amp;P Return, same period]],"")</f>
        <v>-0.02</v>
      </c>
      <c r="Q316" s="68" t="str">
        <f>IF(Table1[[#This Row],[Team]]="Tom",Table1[[#This Row],[S&amp;P Return, same period]],"")</f>
        <v/>
      </c>
      <c r="R316" s="5">
        <v>-0.14399999999999999</v>
      </c>
      <c r="S316" s="14">
        <f>IF(Table1[[#This Row],[Team]]="David",Table1[[#This Row],[Difference Vs. S&amp;P Return]],"")</f>
        <v>-0.14399999999999999</v>
      </c>
      <c r="T316" s="14" t="str">
        <f>IF(Table1[[#This Row],[Team]]="Tom",Table1[[#This Row],[Difference Vs. S&amp;P Return]],"")</f>
        <v/>
      </c>
      <c r="U316" s="14">
        <f>ROUND((1+Table1[[#This Row],[Return (keep sorted by this column!)]])/(1+Table1[[#This Row],[S&amp;P Return, same period]])-1,1)</f>
        <v>-0.1</v>
      </c>
      <c r="V316" s="15">
        <f>IF(Table1[[#This Row],[Team]]="David",Table1[[#This Row],[Improvement Vs. S&amp;P Return]],"")</f>
        <v>-0.1</v>
      </c>
      <c r="W316" s="15" t="str">
        <f>IF(Table1[[#This Row],[Team]]="Tom",Table1[[#This Row],[Improvement Vs. S&amp;P Return]],"")</f>
        <v/>
      </c>
    </row>
    <row r="317" spans="1:23" ht="60" x14ac:dyDescent="0.2">
      <c r="A317" s="1">
        <v>40774</v>
      </c>
      <c r="B317" s="2" t="s">
        <v>407</v>
      </c>
      <c r="C317" s="2">
        <f>SUBTOTAL(103,Table1[[#This Row],[Recommendation Date]])</f>
        <v>1</v>
      </c>
      <c r="D317" s="2">
        <f>1</f>
        <v>1</v>
      </c>
      <c r="E317" s="16" t="s">
        <v>408</v>
      </c>
      <c r="F317" s="3" t="s">
        <v>252</v>
      </c>
      <c r="G317" s="3" t="s">
        <v>8</v>
      </c>
      <c r="H317" s="17"/>
      <c r="I317" s="4">
        <v>14.42</v>
      </c>
      <c r="J317" s="5">
        <v>-0.16700000000000001</v>
      </c>
      <c r="K317" s="48">
        <f>ROUND(LOG10(Table1[[#This Row],[Return (keep sorted by this column!)]]+1),2)</f>
        <v>-0.08</v>
      </c>
      <c r="L317" s="48">
        <f>COUNTIF(Table1[Return (keep sorted by this column!)],"&lt;"&amp;Table1[[#This Row],[Return (keep sorted by this column!)]])</f>
        <v>117</v>
      </c>
      <c r="M317" s="76" t="str">
        <f>IF(Table1[[#This Row],[Team]]="David",Table1[[#This Row],[Return (keep sorted by this column!)]],"")</f>
        <v/>
      </c>
      <c r="N317" s="76">
        <f>IF(Table1[[#This Row],[Team]]="Tom",Table1[[#This Row],[Return (keep sorted by this column!)]],"")</f>
        <v>-0.16700000000000001</v>
      </c>
      <c r="O317" s="5">
        <v>0.127</v>
      </c>
      <c r="P317" s="68" t="str">
        <f>IF(Table1[[#This Row],[Team]]="David",Table1[[#This Row],[S&amp;P Return, same period]],"")</f>
        <v/>
      </c>
      <c r="Q317" s="68">
        <f>IF(Table1[[#This Row],[Team]]="Tom",Table1[[#This Row],[S&amp;P Return, same period]],"")</f>
        <v>0.127</v>
      </c>
      <c r="R317" s="5">
        <v>-0.29399999999999998</v>
      </c>
      <c r="S317" s="14" t="str">
        <f>IF(Table1[[#This Row],[Team]]="David",Table1[[#This Row],[Difference Vs. S&amp;P Return]],"")</f>
        <v/>
      </c>
      <c r="T317" s="14">
        <f>IF(Table1[[#This Row],[Team]]="Tom",Table1[[#This Row],[Difference Vs. S&amp;P Return]],"")</f>
        <v>-0.29399999999999998</v>
      </c>
      <c r="U317" s="14">
        <f>ROUND((1+Table1[[#This Row],[Return (keep sorted by this column!)]])/(1+Table1[[#This Row],[S&amp;P Return, same period]])-1,1)</f>
        <v>-0.3</v>
      </c>
      <c r="V317" s="15" t="str">
        <f>IF(Table1[[#This Row],[Team]]="David",Table1[[#This Row],[Improvement Vs. S&amp;P Return]],"")</f>
        <v/>
      </c>
      <c r="W317" s="15">
        <f>IF(Table1[[#This Row],[Team]]="Tom",Table1[[#This Row],[Improvement Vs. S&amp;P Return]],"")</f>
        <v>-0.3</v>
      </c>
    </row>
    <row r="318" spans="1:23" ht="45" x14ac:dyDescent="0.2">
      <c r="A318" s="1">
        <v>38184</v>
      </c>
      <c r="B318" s="2" t="s">
        <v>675</v>
      </c>
      <c r="C318" s="2">
        <f>SUBTOTAL(103,Table1[[#This Row],[Recommendation Date]])</f>
        <v>1</v>
      </c>
      <c r="D318" s="2">
        <f>1</f>
        <v>1</v>
      </c>
      <c r="E318" s="16" t="s">
        <v>676</v>
      </c>
      <c r="F318" s="3" t="s">
        <v>252</v>
      </c>
      <c r="G318" s="3" t="s">
        <v>8</v>
      </c>
      <c r="H318" s="17"/>
      <c r="I318" s="4">
        <v>7.5</v>
      </c>
      <c r="J318" s="5">
        <v>-0.16700000000000001</v>
      </c>
      <c r="K318" s="48">
        <f>ROUND(LOG10(Table1[[#This Row],[Return (keep sorted by this column!)]]+1),2)</f>
        <v>-0.08</v>
      </c>
      <c r="L318" s="48">
        <f>COUNTIF(Table1[Return (keep sorted by this column!)],"&lt;"&amp;Table1[[#This Row],[Return (keep sorted by this column!)]])</f>
        <v>117</v>
      </c>
      <c r="M318" s="14" t="str">
        <f>IF(Table1[[#This Row],[Team]]="David",Table1[[#This Row],[Return (keep sorted by this column!)]],"")</f>
        <v/>
      </c>
      <c r="N318" s="14">
        <f>IF(Table1[[#This Row],[Team]]="Tom",Table1[[#This Row],[Return (keep sorted by this column!)]],"")</f>
        <v>-0.16700000000000001</v>
      </c>
      <c r="O318" s="5">
        <v>9.7000000000000003E-2</v>
      </c>
      <c r="P318" s="23" t="str">
        <f>IF(Table1[[#This Row],[Team]]="David",Table1[[#This Row],[S&amp;P Return, same period]],"")</f>
        <v/>
      </c>
      <c r="Q318" s="23">
        <f>IF(Table1[[#This Row],[Team]]="Tom",Table1[[#This Row],[S&amp;P Return, same period]],"")</f>
        <v>9.7000000000000003E-2</v>
      </c>
      <c r="R318" s="5">
        <v>-0.26300000000000001</v>
      </c>
      <c r="S318" s="14" t="str">
        <f>IF(Table1[[#This Row],[Team]]="David",Table1[[#This Row],[Difference Vs. S&amp;P Return]],"")</f>
        <v/>
      </c>
      <c r="T318" s="14">
        <f>IF(Table1[[#This Row],[Team]]="Tom",Table1[[#This Row],[Difference Vs. S&amp;P Return]],"")</f>
        <v>-0.26300000000000001</v>
      </c>
      <c r="U318" s="14">
        <f>ROUND((1+Table1[[#This Row],[Return (keep sorted by this column!)]])/(1+Table1[[#This Row],[S&amp;P Return, same period]])-1,1)</f>
        <v>-0.2</v>
      </c>
      <c r="V318" s="15" t="str">
        <f>IF(Table1[[#This Row],[Team]]="David",Table1[[#This Row],[Improvement Vs. S&amp;P Return]],"")</f>
        <v/>
      </c>
      <c r="W318" s="15">
        <f>IF(Table1[[#This Row],[Team]]="Tom",Table1[[#This Row],[Improvement Vs. S&amp;P Return]],"")</f>
        <v>-0.2</v>
      </c>
    </row>
    <row r="319" spans="1:23" ht="30" x14ac:dyDescent="0.2">
      <c r="A319" s="18">
        <v>43713</v>
      </c>
      <c r="B319" s="2" t="s">
        <v>42</v>
      </c>
      <c r="C319" s="2">
        <f>SUBTOTAL(103,Table1[[#This Row],[Recommendation Date]])</f>
        <v>1</v>
      </c>
      <c r="D319" s="2">
        <f>1</f>
        <v>1</v>
      </c>
      <c r="E319" s="16" t="s">
        <v>43</v>
      </c>
      <c r="F319" s="3" t="s">
        <v>44</v>
      </c>
      <c r="G319" s="3" t="s">
        <v>8</v>
      </c>
      <c r="H319" s="17"/>
      <c r="I319" s="4">
        <v>30.01</v>
      </c>
      <c r="J319" s="5">
        <v>-0.17100000000000001</v>
      </c>
      <c r="K319" s="48">
        <f>ROUND(LOG10(Table1[[#This Row],[Return (keep sorted by this column!)]]+1),2)</f>
        <v>-0.08</v>
      </c>
      <c r="L319" s="48">
        <f>COUNTIF(Table1[Return (keep sorted by this column!)],"&lt;"&amp;Table1[[#This Row],[Return (keep sorted by this column!)]])</f>
        <v>116</v>
      </c>
      <c r="M319" s="76" t="str">
        <f>IF(Table1[[#This Row],[Team]]="David",Table1[[#This Row],[Return (keep sorted by this column!)]],"")</f>
        <v/>
      </c>
      <c r="N319" s="76">
        <f>IF(Table1[[#This Row],[Team]]="Tom",Table1[[#This Row],[Return (keep sorted by this column!)]],"")</f>
        <v>-0.17100000000000001</v>
      </c>
      <c r="O319" s="5">
        <v>-6.8000000000000005E-2</v>
      </c>
      <c r="P319" s="68" t="str">
        <f>IF(Table1[[#This Row],[Team]]="David",Table1[[#This Row],[S&amp;P Return, same period]],"")</f>
        <v/>
      </c>
      <c r="Q319" s="68">
        <f>IF(Table1[[#This Row],[Team]]="Tom",Table1[[#This Row],[S&amp;P Return, same period]],"")</f>
        <v>-6.8000000000000005E-2</v>
      </c>
      <c r="R319" s="5">
        <v>-0.10199999999999999</v>
      </c>
      <c r="S319" s="14" t="str">
        <f>IF(Table1[[#This Row],[Team]]="David",Table1[[#This Row],[Difference Vs. S&amp;P Return]],"")</f>
        <v/>
      </c>
      <c r="T319" s="14">
        <f>IF(Table1[[#This Row],[Team]]="Tom",Table1[[#This Row],[Difference Vs. S&amp;P Return]],"")</f>
        <v>-0.10199999999999999</v>
      </c>
      <c r="U319" s="14">
        <f>ROUND((1+Table1[[#This Row],[Return (keep sorted by this column!)]])/(1+Table1[[#This Row],[S&amp;P Return, same period]])-1,1)</f>
        <v>-0.1</v>
      </c>
      <c r="V319" s="15" t="str">
        <f>IF(Table1[[#This Row],[Team]]="David",Table1[[#This Row],[Improvement Vs. S&amp;P Return]],"")</f>
        <v/>
      </c>
      <c r="W319" s="15">
        <f>IF(Table1[[#This Row],[Team]]="Tom",Table1[[#This Row],[Improvement Vs. S&amp;P Return]],"")</f>
        <v>-0.1</v>
      </c>
    </row>
    <row r="320" spans="1:23" ht="60" x14ac:dyDescent="0.2">
      <c r="A320" s="1">
        <v>38828</v>
      </c>
      <c r="B320" s="2" t="s">
        <v>616</v>
      </c>
      <c r="C320" s="2">
        <f>SUBTOTAL(103,Table1[[#This Row],[Recommendation Date]])</f>
        <v>1</v>
      </c>
      <c r="D320" s="2">
        <f>1</f>
        <v>1</v>
      </c>
      <c r="E320" s="16" t="s">
        <v>617</v>
      </c>
      <c r="F320" s="3" t="s">
        <v>252</v>
      </c>
      <c r="G320" s="3" t="s">
        <v>8</v>
      </c>
      <c r="H320" s="17"/>
      <c r="I320" s="4">
        <v>50.46</v>
      </c>
      <c r="J320" s="5">
        <v>-0.17299999999999999</v>
      </c>
      <c r="K320" s="48">
        <f>ROUND(LOG10(Table1[[#This Row],[Return (keep sorted by this column!)]]+1),2)</f>
        <v>-0.08</v>
      </c>
      <c r="L320" s="48">
        <f>COUNTIF(Table1[Return (keep sorted by this column!)],"&lt;"&amp;Table1[[#This Row],[Return (keep sorted by this column!)]])</f>
        <v>115</v>
      </c>
      <c r="M320" s="14" t="str">
        <f>IF(Table1[[#This Row],[Team]]="David",Table1[[#This Row],[Return (keep sorted by this column!)]],"")</f>
        <v/>
      </c>
      <c r="N320" s="14">
        <f>IF(Table1[[#This Row],[Team]]="Tom",Table1[[#This Row],[Return (keep sorted by this column!)]],"")</f>
        <v>-0.17299999999999999</v>
      </c>
      <c r="O320" s="5">
        <v>0.27700000000000002</v>
      </c>
      <c r="P320" s="23" t="str">
        <f>IF(Table1[[#This Row],[Team]]="David",Table1[[#This Row],[S&amp;P Return, same period]],"")</f>
        <v/>
      </c>
      <c r="Q320" s="23">
        <f>IF(Table1[[#This Row],[Team]]="Tom",Table1[[#This Row],[S&amp;P Return, same period]],"")</f>
        <v>0.27700000000000002</v>
      </c>
      <c r="R320" s="5">
        <v>-0.45</v>
      </c>
      <c r="S320" s="14" t="str">
        <f>IF(Table1[[#This Row],[Team]]="David",Table1[[#This Row],[Difference Vs. S&amp;P Return]],"")</f>
        <v/>
      </c>
      <c r="T320" s="14">
        <f>IF(Table1[[#This Row],[Team]]="Tom",Table1[[#This Row],[Difference Vs. S&amp;P Return]],"")</f>
        <v>-0.45</v>
      </c>
      <c r="U320" s="14">
        <f>ROUND((1+Table1[[#This Row],[Return (keep sorted by this column!)]])/(1+Table1[[#This Row],[S&amp;P Return, same period]])-1,1)</f>
        <v>-0.4</v>
      </c>
      <c r="V320" s="15" t="str">
        <f>IF(Table1[[#This Row],[Team]]="David",Table1[[#This Row],[Improvement Vs. S&amp;P Return]],"")</f>
        <v/>
      </c>
      <c r="W320" s="15">
        <f>IF(Table1[[#This Row],[Team]]="Tom",Table1[[#This Row],[Improvement Vs. S&amp;P Return]],"")</f>
        <v>-0.4</v>
      </c>
    </row>
    <row r="321" spans="1:23" ht="60" x14ac:dyDescent="0.2">
      <c r="A321" s="1">
        <v>38765</v>
      </c>
      <c r="B321" s="2" t="s">
        <v>625</v>
      </c>
      <c r="C321" s="2">
        <f>SUBTOTAL(103,Table1[[#This Row],[Recommendation Date]])</f>
        <v>1</v>
      </c>
      <c r="D321" s="2">
        <f>1</f>
        <v>1</v>
      </c>
      <c r="E321" s="16" t="s">
        <v>626</v>
      </c>
      <c r="F321" s="3" t="s">
        <v>150</v>
      </c>
      <c r="G321" s="3" t="s">
        <v>8</v>
      </c>
      <c r="H321" s="17"/>
      <c r="I321" s="4">
        <v>34.99</v>
      </c>
      <c r="J321" s="5">
        <v>-0.17599999999999999</v>
      </c>
      <c r="K321" s="48">
        <f>ROUND(LOG10(Table1[[#This Row],[Return (keep sorted by this column!)]]+1),2)</f>
        <v>-0.08</v>
      </c>
      <c r="L321" s="48">
        <f>COUNTIF(Table1[Return (keep sorted by this column!)],"&lt;"&amp;Table1[[#This Row],[Return (keep sorted by this column!)]])</f>
        <v>114</v>
      </c>
      <c r="M321" s="14" t="str">
        <f>IF(Table1[[#This Row],[Team]]="David",Table1[[#This Row],[Return (keep sorted by this column!)]],"")</f>
        <v/>
      </c>
      <c r="N321" s="14">
        <f>IF(Table1[[#This Row],[Team]]="Tom",Table1[[#This Row],[Return (keep sorted by this column!)]],"")</f>
        <v>-0.17599999999999999</v>
      </c>
      <c r="O321" s="5">
        <v>1.4019999999999999</v>
      </c>
      <c r="P321" s="23" t="str">
        <f>IF(Table1[[#This Row],[Team]]="David",Table1[[#This Row],[S&amp;P Return, same period]],"")</f>
        <v/>
      </c>
      <c r="Q321" s="23">
        <f>IF(Table1[[#This Row],[Team]]="Tom",Table1[[#This Row],[S&amp;P Return, same period]],"")</f>
        <v>1.4019999999999999</v>
      </c>
      <c r="R321" s="5">
        <v>-1.5780000000000001</v>
      </c>
      <c r="S321" s="14" t="str">
        <f>IF(Table1[[#This Row],[Team]]="David",Table1[[#This Row],[Difference Vs. S&amp;P Return]],"")</f>
        <v/>
      </c>
      <c r="T321" s="14">
        <f>IF(Table1[[#This Row],[Team]]="Tom",Table1[[#This Row],[Difference Vs. S&amp;P Return]],"")</f>
        <v>-1.5780000000000001</v>
      </c>
      <c r="U321" s="14">
        <f>ROUND((1+Table1[[#This Row],[Return (keep sorted by this column!)]])/(1+Table1[[#This Row],[S&amp;P Return, same period]])-1,1)</f>
        <v>-0.7</v>
      </c>
      <c r="V321" s="15" t="str">
        <f>IF(Table1[[#This Row],[Team]]="David",Table1[[#This Row],[Improvement Vs. S&amp;P Return]],"")</f>
        <v/>
      </c>
      <c r="W321" s="15">
        <f>IF(Table1[[#This Row],[Team]]="Tom",Table1[[#This Row],[Improvement Vs. S&amp;P Return]],"")</f>
        <v>-0.7</v>
      </c>
    </row>
    <row r="322" spans="1:23" ht="90" x14ac:dyDescent="0.2">
      <c r="A322" s="1">
        <v>37785</v>
      </c>
      <c r="B322" s="2" t="s">
        <v>714</v>
      </c>
      <c r="C322" s="2">
        <f>SUBTOTAL(103,Table1[[#This Row],[Recommendation Date]])</f>
        <v>1</v>
      </c>
      <c r="D322" s="2">
        <f>1</f>
        <v>1</v>
      </c>
      <c r="E322" s="16" t="s">
        <v>617</v>
      </c>
      <c r="F322" s="17"/>
      <c r="G322" s="3" t="s">
        <v>8</v>
      </c>
      <c r="H322" s="17"/>
      <c r="I322" s="4">
        <v>51.72</v>
      </c>
      <c r="J322" s="5">
        <v>-0.193</v>
      </c>
      <c r="K322" s="48">
        <f>ROUND(LOG10(Table1[[#This Row],[Return (keep sorted by this column!)]]+1),2)</f>
        <v>-0.09</v>
      </c>
      <c r="L322" s="48">
        <f>COUNTIF(Table1[Return (keep sorted by this column!)],"&lt;"&amp;Table1[[#This Row],[Return (keep sorted by this column!)]])</f>
        <v>113</v>
      </c>
      <c r="M322" s="14" t="str">
        <f>IF(Table1[[#This Row],[Team]]="David",Table1[[#This Row],[Return (keep sorted by this column!)]],"")</f>
        <v/>
      </c>
      <c r="N322" s="14">
        <f>IF(Table1[[#This Row],[Team]]="Tom",Table1[[#This Row],[Return (keep sorted by this column!)]],"")</f>
        <v>-0.193</v>
      </c>
      <c r="O322" s="5">
        <v>0.78200000000000003</v>
      </c>
      <c r="P322" s="23" t="str">
        <f>IF(Table1[[#This Row],[Team]]="David",Table1[[#This Row],[S&amp;P Return, same period]],"")</f>
        <v/>
      </c>
      <c r="Q322" s="23">
        <f>IF(Table1[[#This Row],[Team]]="Tom",Table1[[#This Row],[S&amp;P Return, same period]],"")</f>
        <v>0.78200000000000003</v>
      </c>
      <c r="R322" s="5">
        <v>-0.97499999999999998</v>
      </c>
      <c r="S322" s="14" t="str">
        <f>IF(Table1[[#This Row],[Team]]="David",Table1[[#This Row],[Difference Vs. S&amp;P Return]],"")</f>
        <v/>
      </c>
      <c r="T322" s="14">
        <f>IF(Table1[[#This Row],[Team]]="Tom",Table1[[#This Row],[Difference Vs. S&amp;P Return]],"")</f>
        <v>-0.97499999999999998</v>
      </c>
      <c r="U322" s="14">
        <f>ROUND((1+Table1[[#This Row],[Return (keep sorted by this column!)]])/(1+Table1[[#This Row],[S&amp;P Return, same period]])-1,1)</f>
        <v>-0.5</v>
      </c>
      <c r="V322" s="15" t="str">
        <f>IF(Table1[[#This Row],[Team]]="David",Table1[[#This Row],[Improvement Vs. S&amp;P Return]],"")</f>
        <v/>
      </c>
      <c r="W322" s="15">
        <f>IF(Table1[[#This Row],[Team]]="Tom",Table1[[#This Row],[Improvement Vs. S&amp;P Return]],"")</f>
        <v>-0.5</v>
      </c>
    </row>
    <row r="323" spans="1:23" ht="17" x14ac:dyDescent="0.2">
      <c r="A323" s="18">
        <v>43531</v>
      </c>
      <c r="B323" s="2" t="s">
        <v>69</v>
      </c>
      <c r="C323" s="2">
        <f>SUBTOTAL(103,Table1[[#This Row],[Recommendation Date]])</f>
        <v>1</v>
      </c>
      <c r="D323" s="2">
        <f>1</f>
        <v>1</v>
      </c>
      <c r="E323" s="16" t="s">
        <v>70</v>
      </c>
      <c r="F323" s="3" t="s">
        <v>71</v>
      </c>
      <c r="G323" s="3" t="s">
        <v>8</v>
      </c>
      <c r="H323" s="17"/>
      <c r="I323" s="4">
        <v>115.5</v>
      </c>
      <c r="J323" s="5">
        <v>-0.19400000000000001</v>
      </c>
      <c r="K323" s="48">
        <f>ROUND(LOG10(Table1[[#This Row],[Return (keep sorted by this column!)]]+1),2)</f>
        <v>-0.09</v>
      </c>
      <c r="L323" s="48">
        <f>COUNTIF(Table1[Return (keep sorted by this column!)],"&lt;"&amp;Table1[[#This Row],[Return (keep sorted by this column!)]])</f>
        <v>112</v>
      </c>
      <c r="M323" s="76" t="str">
        <f>IF(Table1[[#This Row],[Team]]="David",Table1[[#This Row],[Return (keep sorted by this column!)]],"")</f>
        <v/>
      </c>
      <c r="N323" s="76">
        <f>IF(Table1[[#This Row],[Team]]="Tom",Table1[[#This Row],[Return (keep sorted by this column!)]],"")</f>
        <v>-0.19400000000000001</v>
      </c>
      <c r="O323" s="5">
        <v>1.9E-2</v>
      </c>
      <c r="P323" s="68" t="str">
        <f>IF(Table1[[#This Row],[Team]]="David",Table1[[#This Row],[S&amp;P Return, same period]],"")</f>
        <v/>
      </c>
      <c r="Q323" s="68">
        <f>IF(Table1[[#This Row],[Team]]="Tom",Table1[[#This Row],[S&amp;P Return, same period]],"")</f>
        <v>1.9E-2</v>
      </c>
      <c r="R323" s="5">
        <v>-0.21299999999999999</v>
      </c>
      <c r="S323" s="14" t="str">
        <f>IF(Table1[[#This Row],[Team]]="David",Table1[[#This Row],[Difference Vs. S&amp;P Return]],"")</f>
        <v/>
      </c>
      <c r="T323" s="14">
        <f>IF(Table1[[#This Row],[Team]]="Tom",Table1[[#This Row],[Difference Vs. S&amp;P Return]],"")</f>
        <v>-0.21299999999999999</v>
      </c>
      <c r="U323" s="14">
        <f>ROUND((1+Table1[[#This Row],[Return (keep sorted by this column!)]])/(1+Table1[[#This Row],[S&amp;P Return, same period]])-1,1)</f>
        <v>-0.2</v>
      </c>
      <c r="V323" s="15" t="str">
        <f>IF(Table1[[#This Row],[Team]]="David",Table1[[#This Row],[Improvement Vs. S&amp;P Return]],"")</f>
        <v/>
      </c>
      <c r="W323" s="15">
        <f>IF(Table1[[#This Row],[Team]]="Tom",Table1[[#This Row],[Improvement Vs. S&amp;P Return]],"")</f>
        <v>-0.2</v>
      </c>
    </row>
    <row r="324" spans="1:23" ht="45" x14ac:dyDescent="0.2">
      <c r="A324" s="1">
        <v>40410</v>
      </c>
      <c r="B324" s="2" t="s">
        <v>455</v>
      </c>
      <c r="C324" s="2">
        <f>SUBTOTAL(103,Table1[[#This Row],[Recommendation Date]])</f>
        <v>1</v>
      </c>
      <c r="D324" s="2">
        <f>1</f>
        <v>1</v>
      </c>
      <c r="E324" s="16" t="s">
        <v>456</v>
      </c>
      <c r="F324" s="3" t="s">
        <v>457</v>
      </c>
      <c r="G324" s="3" t="s">
        <v>8</v>
      </c>
      <c r="H324" s="17"/>
      <c r="I324" s="4">
        <v>20.34</v>
      </c>
      <c r="J324" s="5">
        <v>-0.20100000000000001</v>
      </c>
      <c r="K324" s="48">
        <f>ROUND(LOG10(Table1[[#This Row],[Return (keep sorted by this column!)]]+1),2)</f>
        <v>-0.1</v>
      </c>
      <c r="L324" s="48">
        <f>COUNTIF(Table1[Return (keep sorted by this column!)],"&lt;"&amp;Table1[[#This Row],[Return (keep sorted by this column!)]])</f>
        <v>111</v>
      </c>
      <c r="M324" s="76" t="str">
        <f>IF(Table1[[#This Row],[Team]]="David",Table1[[#This Row],[Return (keep sorted by this column!)]],"")</f>
        <v/>
      </c>
      <c r="N324" s="76">
        <f>IF(Table1[[#This Row],[Team]]="Tom",Table1[[#This Row],[Return (keep sorted by this column!)]],"")</f>
        <v>-0.20100000000000001</v>
      </c>
      <c r="O324" s="5">
        <v>0.57899999999999996</v>
      </c>
      <c r="P324" s="68" t="str">
        <f>IF(Table1[[#This Row],[Team]]="David",Table1[[#This Row],[S&amp;P Return, same period]],"")</f>
        <v/>
      </c>
      <c r="Q324" s="68">
        <f>IF(Table1[[#This Row],[Team]]="Tom",Table1[[#This Row],[S&amp;P Return, same period]],"")</f>
        <v>0.57899999999999996</v>
      </c>
      <c r="R324" s="5">
        <v>-0.78</v>
      </c>
      <c r="S324" s="14" t="str">
        <f>IF(Table1[[#This Row],[Team]]="David",Table1[[#This Row],[Difference Vs. S&amp;P Return]],"")</f>
        <v/>
      </c>
      <c r="T324" s="14">
        <f>IF(Table1[[#This Row],[Team]]="Tom",Table1[[#This Row],[Difference Vs. S&amp;P Return]],"")</f>
        <v>-0.78</v>
      </c>
      <c r="U324" s="14">
        <f>ROUND((1+Table1[[#This Row],[Return (keep sorted by this column!)]])/(1+Table1[[#This Row],[S&amp;P Return, same period]])-1,1)</f>
        <v>-0.5</v>
      </c>
      <c r="V324" s="15" t="str">
        <f>IF(Table1[[#This Row],[Team]]="David",Table1[[#This Row],[Improvement Vs. S&amp;P Return]],"")</f>
        <v/>
      </c>
      <c r="W324" s="15">
        <f>IF(Table1[[#This Row],[Team]]="Tom",Table1[[#This Row],[Improvement Vs. S&amp;P Return]],"")</f>
        <v>-0.5</v>
      </c>
    </row>
    <row r="325" spans="1:23" ht="30" x14ac:dyDescent="0.2">
      <c r="A325" s="1">
        <v>38737</v>
      </c>
      <c r="B325" s="2" t="s">
        <v>627</v>
      </c>
      <c r="C325" s="2">
        <f>SUBTOTAL(103,Table1[[#This Row],[Recommendation Date]])</f>
        <v>1</v>
      </c>
      <c r="D325" s="2">
        <f>1</f>
        <v>1</v>
      </c>
      <c r="E325" s="16" t="s">
        <v>628</v>
      </c>
      <c r="F325" s="3" t="s">
        <v>252</v>
      </c>
      <c r="G325" s="3" t="s">
        <v>8</v>
      </c>
      <c r="H325" s="17"/>
      <c r="I325" s="4">
        <v>142.91</v>
      </c>
      <c r="J325" s="5">
        <v>-0.20200000000000001</v>
      </c>
      <c r="K325" s="48">
        <f>ROUND(LOG10(Table1[[#This Row],[Return (keep sorted by this column!)]]+1),2)</f>
        <v>-0.1</v>
      </c>
      <c r="L325" s="48">
        <f>COUNTIF(Table1[Return (keep sorted by this column!)],"&lt;"&amp;Table1[[#This Row],[Return (keep sorted by this column!)]])</f>
        <v>110</v>
      </c>
      <c r="M325" s="14" t="str">
        <f>IF(Table1[[#This Row],[Team]]="David",Table1[[#This Row],[Return (keep sorted by this column!)]],"")</f>
        <v/>
      </c>
      <c r="N325" s="14">
        <f>IF(Table1[[#This Row],[Team]]="Tom",Table1[[#This Row],[Return (keep sorted by this column!)]],"")</f>
        <v>-0.20200000000000001</v>
      </c>
      <c r="O325" s="5">
        <v>0.182</v>
      </c>
      <c r="P325" s="23" t="str">
        <f>IF(Table1[[#This Row],[Team]]="David",Table1[[#This Row],[S&amp;P Return, same period]],"")</f>
        <v/>
      </c>
      <c r="Q325" s="23">
        <f>IF(Table1[[#This Row],[Team]]="Tom",Table1[[#This Row],[S&amp;P Return, same period]],"")</f>
        <v>0.182</v>
      </c>
      <c r="R325" s="5">
        <v>-0.38400000000000001</v>
      </c>
      <c r="S325" s="14" t="str">
        <f>IF(Table1[[#This Row],[Team]]="David",Table1[[#This Row],[Difference Vs. S&amp;P Return]],"")</f>
        <v/>
      </c>
      <c r="T325" s="14">
        <f>IF(Table1[[#This Row],[Team]]="Tom",Table1[[#This Row],[Difference Vs. S&amp;P Return]],"")</f>
        <v>-0.38400000000000001</v>
      </c>
      <c r="U325" s="14">
        <f>ROUND((1+Table1[[#This Row],[Return (keep sorted by this column!)]])/(1+Table1[[#This Row],[S&amp;P Return, same period]])-1,1)</f>
        <v>-0.3</v>
      </c>
      <c r="V325" s="15" t="str">
        <f>IF(Table1[[#This Row],[Team]]="David",Table1[[#This Row],[Improvement Vs. S&amp;P Return]],"")</f>
        <v/>
      </c>
      <c r="W325" s="15">
        <f>IF(Table1[[#This Row],[Team]]="Tom",Table1[[#This Row],[Improvement Vs. S&amp;P Return]],"")</f>
        <v>-0.3</v>
      </c>
    </row>
    <row r="326" spans="1:23" ht="17" x14ac:dyDescent="0.2">
      <c r="A326" s="18">
        <v>43818</v>
      </c>
      <c r="B326" s="2" t="s">
        <v>22</v>
      </c>
      <c r="C326" s="2">
        <f>SUBTOTAL(103,Table1[[#This Row],[Recommendation Date]])</f>
        <v>1</v>
      </c>
      <c r="D326" s="2">
        <f>1</f>
        <v>1</v>
      </c>
      <c r="E326" s="16" t="s">
        <v>23</v>
      </c>
      <c r="F326" s="3" t="s">
        <v>24</v>
      </c>
      <c r="G326" s="3" t="s">
        <v>12</v>
      </c>
      <c r="H326" s="16">
        <v>5</v>
      </c>
      <c r="I326" s="4">
        <v>207.5</v>
      </c>
      <c r="J326" s="5">
        <v>-0.20899999999999999</v>
      </c>
      <c r="K326" s="48">
        <f>ROUND(LOG10(Table1[[#This Row],[Return (keep sorted by this column!)]]+1),2)</f>
        <v>-0.1</v>
      </c>
      <c r="L326" s="48">
        <f>COUNTIF(Table1[Return (keep sorted by this column!)],"&lt;"&amp;Table1[[#This Row],[Return (keep sorted by this column!)]])</f>
        <v>108</v>
      </c>
      <c r="M326" s="76">
        <f>IF(Table1[[#This Row],[Team]]="David",Table1[[#This Row],[Return (keep sorted by this column!)]],"")</f>
        <v>-0.20899999999999999</v>
      </c>
      <c r="N326" s="76" t="str">
        <f>IF(Table1[[#This Row],[Team]]="Tom",Table1[[#This Row],[Return (keep sorted by this column!)]],"")</f>
        <v/>
      </c>
      <c r="O326" s="5">
        <v>-0.14000000000000001</v>
      </c>
      <c r="P326" s="68">
        <f>IF(Table1[[#This Row],[Team]]="David",Table1[[#This Row],[S&amp;P Return, same period]],"")</f>
        <v>-0.14000000000000001</v>
      </c>
      <c r="Q326" s="68" t="str">
        <f>IF(Table1[[#This Row],[Team]]="Tom",Table1[[#This Row],[S&amp;P Return, same period]],"")</f>
        <v/>
      </c>
      <c r="R326" s="5">
        <v>-7.0000000000000007E-2</v>
      </c>
      <c r="S326" s="14">
        <f>IF(Table1[[#This Row],[Team]]="David",Table1[[#This Row],[Difference Vs. S&amp;P Return]],"")</f>
        <v>-7.0000000000000007E-2</v>
      </c>
      <c r="T326" s="14" t="str">
        <f>IF(Table1[[#This Row],[Team]]="Tom",Table1[[#This Row],[Difference Vs. S&amp;P Return]],"")</f>
        <v/>
      </c>
      <c r="U326" s="14">
        <f>ROUND((1+Table1[[#This Row],[Return (keep sorted by this column!)]])/(1+Table1[[#This Row],[S&amp;P Return, same period]])-1,1)</f>
        <v>-0.1</v>
      </c>
      <c r="V326" s="15">
        <f>IF(Table1[[#This Row],[Team]]="David",Table1[[#This Row],[Improvement Vs. S&amp;P Return]],"")</f>
        <v>-0.1</v>
      </c>
      <c r="W326" s="15" t="str">
        <f>IF(Table1[[#This Row],[Team]]="Tom",Table1[[#This Row],[Improvement Vs. S&amp;P Return]],"")</f>
        <v/>
      </c>
    </row>
    <row r="327" spans="1:23" ht="60" x14ac:dyDescent="0.2">
      <c r="A327" s="1">
        <v>41474</v>
      </c>
      <c r="B327" s="2" t="s">
        <v>340</v>
      </c>
      <c r="C327" s="2">
        <f>SUBTOTAL(103,Table1[[#This Row],[Recommendation Date]])</f>
        <v>1</v>
      </c>
      <c r="D327" s="2">
        <f>1</f>
        <v>1</v>
      </c>
      <c r="E327" s="16" t="s">
        <v>341</v>
      </c>
      <c r="F327" s="3" t="s">
        <v>15</v>
      </c>
      <c r="G327" s="3" t="s">
        <v>12</v>
      </c>
      <c r="H327" s="17"/>
      <c r="I327" s="4">
        <v>42.85</v>
      </c>
      <c r="J327" s="5">
        <v>-0.20899999999999999</v>
      </c>
      <c r="K327" s="48">
        <f>ROUND(LOG10(Table1[[#This Row],[Return (keep sorted by this column!)]]+1),2)</f>
        <v>-0.1</v>
      </c>
      <c r="L327" s="48">
        <f>COUNTIF(Table1[Return (keep sorted by this column!)],"&lt;"&amp;Table1[[#This Row],[Return (keep sorted by this column!)]])</f>
        <v>108</v>
      </c>
      <c r="M327" s="76">
        <f>IF(Table1[[#This Row],[Team]]="David",Table1[[#This Row],[Return (keep sorted by this column!)]],"")</f>
        <v>-0.20899999999999999</v>
      </c>
      <c r="N327" s="76" t="str">
        <f>IF(Table1[[#This Row],[Team]]="Tom",Table1[[#This Row],[Return (keep sorted by this column!)]],"")</f>
        <v/>
      </c>
      <c r="O327" s="5">
        <v>0.34599999999999997</v>
      </c>
      <c r="P327" s="68">
        <f>IF(Table1[[#This Row],[Team]]="David",Table1[[#This Row],[S&amp;P Return, same period]],"")</f>
        <v>0.34599999999999997</v>
      </c>
      <c r="Q327" s="68" t="str">
        <f>IF(Table1[[#This Row],[Team]]="Tom",Table1[[#This Row],[S&amp;P Return, same period]],"")</f>
        <v/>
      </c>
      <c r="R327" s="5">
        <v>-0.55500000000000005</v>
      </c>
      <c r="S327" s="14">
        <f>IF(Table1[[#This Row],[Team]]="David",Table1[[#This Row],[Difference Vs. S&amp;P Return]],"")</f>
        <v>-0.55500000000000005</v>
      </c>
      <c r="T327" s="14" t="str">
        <f>IF(Table1[[#This Row],[Team]]="Tom",Table1[[#This Row],[Difference Vs. S&amp;P Return]],"")</f>
        <v/>
      </c>
      <c r="U327" s="14">
        <f>ROUND((1+Table1[[#This Row],[Return (keep sorted by this column!)]])/(1+Table1[[#This Row],[S&amp;P Return, same period]])-1,1)</f>
        <v>-0.4</v>
      </c>
      <c r="V327" s="15">
        <f>IF(Table1[[#This Row],[Team]]="David",Table1[[#This Row],[Improvement Vs. S&amp;P Return]],"")</f>
        <v>-0.4</v>
      </c>
      <c r="W327" s="15" t="str">
        <f>IF(Table1[[#This Row],[Team]]="Tom",Table1[[#This Row],[Improvement Vs. S&amp;P Return]],"")</f>
        <v/>
      </c>
    </row>
    <row r="328" spans="1:23" ht="17" x14ac:dyDescent="0.2">
      <c r="A328" s="18">
        <v>43846</v>
      </c>
      <c r="B328" s="2" t="s">
        <v>16</v>
      </c>
      <c r="C328" s="2">
        <f>SUBTOTAL(103,Table1[[#This Row],[Recommendation Date]])</f>
        <v>1</v>
      </c>
      <c r="D328" s="2">
        <f>1</f>
        <v>1</v>
      </c>
      <c r="E328" s="16" t="s">
        <v>17</v>
      </c>
      <c r="F328" s="3" t="s">
        <v>18</v>
      </c>
      <c r="G328" s="3" t="s">
        <v>12</v>
      </c>
      <c r="H328" s="16">
        <v>10</v>
      </c>
      <c r="I328" s="4">
        <v>176.27</v>
      </c>
      <c r="J328" s="5">
        <v>-0.21099999999999999</v>
      </c>
      <c r="K328" s="48">
        <f>ROUND(LOG10(Table1[[#This Row],[Return (keep sorted by this column!)]]+1),2)</f>
        <v>-0.1</v>
      </c>
      <c r="L328" s="48">
        <f>COUNTIF(Table1[Return (keep sorted by this column!)],"&lt;"&amp;Table1[[#This Row],[Return (keep sorted by this column!)]])</f>
        <v>107</v>
      </c>
      <c r="M328" s="76">
        <f>IF(Table1[[#This Row],[Team]]="David",Table1[[#This Row],[Return (keep sorted by this column!)]],"")</f>
        <v>-0.21099999999999999</v>
      </c>
      <c r="N328" s="76" t="str">
        <f>IF(Table1[[#This Row],[Team]]="Tom",Table1[[#This Row],[Return (keep sorted by this column!)]],"")</f>
        <v/>
      </c>
      <c r="O328" s="5">
        <v>-0.17</v>
      </c>
      <c r="P328" s="68">
        <f>IF(Table1[[#This Row],[Team]]="David",Table1[[#This Row],[S&amp;P Return, same period]],"")</f>
        <v>-0.17</v>
      </c>
      <c r="Q328" s="68" t="str">
        <f>IF(Table1[[#This Row],[Team]]="Tom",Table1[[#This Row],[S&amp;P Return, same period]],"")</f>
        <v/>
      </c>
      <c r="R328" s="5">
        <v>-4.2000000000000003E-2</v>
      </c>
      <c r="S328" s="14">
        <f>IF(Table1[[#This Row],[Team]]="David",Table1[[#This Row],[Difference Vs. S&amp;P Return]],"")</f>
        <v>-4.2000000000000003E-2</v>
      </c>
      <c r="T328" s="14" t="str">
        <f>IF(Table1[[#This Row],[Team]]="Tom",Table1[[#This Row],[Difference Vs. S&amp;P Return]],"")</f>
        <v/>
      </c>
      <c r="U328" s="14">
        <f>ROUND((1+Table1[[#This Row],[Return (keep sorted by this column!)]])/(1+Table1[[#This Row],[S&amp;P Return, same period]])-1,1)</f>
        <v>0</v>
      </c>
      <c r="V328" s="15">
        <f>IF(Table1[[#This Row],[Team]]="David",Table1[[#This Row],[Improvement Vs. S&amp;P Return]],"")</f>
        <v>0</v>
      </c>
      <c r="W328" s="15" t="str">
        <f>IF(Table1[[#This Row],[Team]]="Tom",Table1[[#This Row],[Improvement Vs. S&amp;P Return]],"")</f>
        <v/>
      </c>
    </row>
    <row r="329" spans="1:23" ht="45" x14ac:dyDescent="0.2">
      <c r="A329" s="1">
        <v>38401</v>
      </c>
      <c r="B329" s="2" t="s">
        <v>661</v>
      </c>
      <c r="C329" s="2">
        <f>SUBTOTAL(103,Table1[[#This Row],[Recommendation Date]])</f>
        <v>1</v>
      </c>
      <c r="D329" s="2">
        <f>1</f>
        <v>1</v>
      </c>
      <c r="E329" s="16" t="s">
        <v>662</v>
      </c>
      <c r="F329" s="3" t="s">
        <v>663</v>
      </c>
      <c r="G329" s="3" t="s">
        <v>12</v>
      </c>
      <c r="H329" s="16">
        <v>11</v>
      </c>
      <c r="I329" s="4">
        <v>66.97</v>
      </c>
      <c r="J329" s="5">
        <v>-0.22800000000000001</v>
      </c>
      <c r="K329" s="48">
        <f>ROUND(LOG10(Table1[[#This Row],[Return (keep sorted by this column!)]]+1),2)</f>
        <v>-0.11</v>
      </c>
      <c r="L329" s="48">
        <f>COUNTIF(Table1[Return (keep sorted by this column!)],"&lt;"&amp;Table1[[#This Row],[Return (keep sorted by this column!)]])</f>
        <v>106</v>
      </c>
      <c r="M329" s="14">
        <f>IF(Table1[[#This Row],[Team]]="David",Table1[[#This Row],[Return (keep sorted by this column!)]],"")</f>
        <v>-0.22800000000000001</v>
      </c>
      <c r="N329" s="14" t="str">
        <f>IF(Table1[[#This Row],[Team]]="Tom",Table1[[#This Row],[Return (keep sorted by this column!)]],"")</f>
        <v/>
      </c>
      <c r="O329" s="5">
        <v>-0.161</v>
      </c>
      <c r="P329" s="23">
        <f>IF(Table1[[#This Row],[Team]]="David",Table1[[#This Row],[S&amp;P Return, same period]],"")</f>
        <v>-0.161</v>
      </c>
      <c r="Q329" s="23" t="str">
        <f>IF(Table1[[#This Row],[Team]]="Tom",Table1[[#This Row],[S&amp;P Return, same period]],"")</f>
        <v/>
      </c>
      <c r="R329" s="5">
        <v>-6.8000000000000005E-2</v>
      </c>
      <c r="S329" s="14">
        <f>IF(Table1[[#This Row],[Team]]="David",Table1[[#This Row],[Difference Vs. S&amp;P Return]],"")</f>
        <v>-6.8000000000000005E-2</v>
      </c>
      <c r="T329" s="14" t="str">
        <f>IF(Table1[[#This Row],[Team]]="Tom",Table1[[#This Row],[Difference Vs. S&amp;P Return]],"")</f>
        <v/>
      </c>
      <c r="U329" s="14">
        <f>ROUND((1+Table1[[#This Row],[Return (keep sorted by this column!)]])/(1+Table1[[#This Row],[S&amp;P Return, same period]])-1,1)</f>
        <v>-0.1</v>
      </c>
      <c r="V329" s="15">
        <f>IF(Table1[[#This Row],[Team]]="David",Table1[[#This Row],[Improvement Vs. S&amp;P Return]],"")</f>
        <v>-0.1</v>
      </c>
      <c r="W329" s="15" t="str">
        <f>IF(Table1[[#This Row],[Team]]="Tom",Table1[[#This Row],[Improvement Vs. S&amp;P Return]],"")</f>
        <v/>
      </c>
    </row>
    <row r="330" spans="1:23" ht="105" x14ac:dyDescent="0.2">
      <c r="A330" s="1">
        <v>39710</v>
      </c>
      <c r="B330" s="2" t="s">
        <v>354</v>
      </c>
      <c r="C330" s="2">
        <f>SUBTOTAL(103,Table1[[#This Row],[Recommendation Date]])</f>
        <v>1</v>
      </c>
      <c r="D330" s="2">
        <f>1</f>
        <v>1</v>
      </c>
      <c r="E330" s="3" t="s">
        <v>355</v>
      </c>
      <c r="F330" s="3" t="s">
        <v>267</v>
      </c>
      <c r="G330" s="3" t="s">
        <v>8</v>
      </c>
      <c r="H330" s="17"/>
      <c r="I330" s="3" t="s">
        <v>268</v>
      </c>
      <c r="J330" s="5">
        <v>-0.23899999999999999</v>
      </c>
      <c r="K330" s="48">
        <f>ROUND(LOG10(Table1[[#This Row],[Return (keep sorted by this column!)]]+1),2)</f>
        <v>-0.12</v>
      </c>
      <c r="L330" s="48">
        <f>COUNTIF(Table1[Return (keep sorted by this column!)],"&lt;"&amp;Table1[[#This Row],[Return (keep sorted by this column!)]])</f>
        <v>105</v>
      </c>
      <c r="M330" s="14" t="str">
        <f>IF(Table1[[#This Row],[Team]]="David",Table1[[#This Row],[Return (keep sorted by this column!)]],"")</f>
        <v/>
      </c>
      <c r="N330" s="14">
        <f>IF(Table1[[#This Row],[Team]]="Tom",Table1[[#This Row],[Return (keep sorted by this column!)]],"")</f>
        <v>-0.23899999999999999</v>
      </c>
      <c r="O330" s="5">
        <v>1.6839999999999999</v>
      </c>
      <c r="P330" s="23" t="str">
        <f>IF(Table1[[#This Row],[Team]]="David",Table1[[#This Row],[S&amp;P Return, same period]],"")</f>
        <v/>
      </c>
      <c r="Q330" s="23">
        <f>IF(Table1[[#This Row],[Team]]="Tom",Table1[[#This Row],[S&amp;P Return, same period]],"")</f>
        <v>1.6839999999999999</v>
      </c>
      <c r="R330" s="5">
        <v>-1.9219999999999999</v>
      </c>
      <c r="S330" s="14" t="str">
        <f>IF(Table1[[#This Row],[Team]]="David",Table1[[#This Row],[Difference Vs. S&amp;P Return]],"")</f>
        <v/>
      </c>
      <c r="T330" s="14">
        <f>IF(Table1[[#This Row],[Team]]="Tom",Table1[[#This Row],[Difference Vs. S&amp;P Return]],"")</f>
        <v>-1.9219999999999999</v>
      </c>
      <c r="U330" s="14">
        <f>ROUND((1+Table1[[#This Row],[Return (keep sorted by this column!)]])/(1+Table1[[#This Row],[S&amp;P Return, same period]])-1,1)</f>
        <v>-0.7</v>
      </c>
      <c r="V330" s="15" t="str">
        <f>IF(Table1[[#This Row],[Team]]="David",Table1[[#This Row],[Improvement Vs. S&amp;P Return]],"")</f>
        <v/>
      </c>
      <c r="W330" s="15">
        <f>IF(Table1[[#This Row],[Team]]="Tom",Table1[[#This Row],[Improvement Vs. S&amp;P Return]],"")</f>
        <v>-0.7</v>
      </c>
    </row>
    <row r="331" spans="1:23" ht="17" x14ac:dyDescent="0.2">
      <c r="A331" s="18">
        <v>43867</v>
      </c>
      <c r="B331" s="2" t="s">
        <v>13</v>
      </c>
      <c r="C331" s="2">
        <f>SUBTOTAL(103,Table1[[#This Row],[Recommendation Date]])</f>
        <v>1</v>
      </c>
      <c r="D331" s="2">
        <f>1</f>
        <v>1</v>
      </c>
      <c r="E331" s="16" t="s">
        <v>14</v>
      </c>
      <c r="F331" s="3" t="s">
        <v>15</v>
      </c>
      <c r="G331" s="3" t="s">
        <v>8</v>
      </c>
      <c r="H331" s="17"/>
      <c r="I331" s="4">
        <v>22.16</v>
      </c>
      <c r="J331" s="5">
        <v>-0.248</v>
      </c>
      <c r="K331" s="48">
        <f>ROUND(LOG10(Table1[[#This Row],[Return (keep sorted by this column!)]]+1),2)</f>
        <v>-0.12</v>
      </c>
      <c r="L331" s="48">
        <f>COUNTIF(Table1[Return (keep sorted by this column!)],"&lt;"&amp;Table1[[#This Row],[Return (keep sorted by this column!)]])</f>
        <v>103</v>
      </c>
      <c r="M331" s="76" t="str">
        <f>IF(Table1[[#This Row],[Team]]="David",Table1[[#This Row],[Return (keep sorted by this column!)]],"")</f>
        <v/>
      </c>
      <c r="N331" s="76">
        <f>IF(Table1[[#This Row],[Team]]="Tom",Table1[[#This Row],[Return (keep sorted by this column!)]],"")</f>
        <v>-0.248</v>
      </c>
      <c r="O331" s="5">
        <v>-0.17699999999999999</v>
      </c>
      <c r="P331" s="68" t="str">
        <f>IF(Table1[[#This Row],[Team]]="David",Table1[[#This Row],[S&amp;P Return, same period]],"")</f>
        <v/>
      </c>
      <c r="Q331" s="68">
        <f>IF(Table1[[#This Row],[Team]]="Tom",Table1[[#This Row],[S&amp;P Return, same period]],"")</f>
        <v>-0.17699999999999999</v>
      </c>
      <c r="R331" s="5">
        <v>-7.0000000000000007E-2</v>
      </c>
      <c r="S331" s="14" t="str">
        <f>IF(Table1[[#This Row],[Team]]="David",Table1[[#This Row],[Difference Vs. S&amp;P Return]],"")</f>
        <v/>
      </c>
      <c r="T331" s="14">
        <f>IF(Table1[[#This Row],[Team]]="Tom",Table1[[#This Row],[Difference Vs. S&amp;P Return]],"")</f>
        <v>-7.0000000000000007E-2</v>
      </c>
      <c r="U331" s="14">
        <f>ROUND((1+Table1[[#This Row],[Return (keep sorted by this column!)]])/(1+Table1[[#This Row],[S&amp;P Return, same period]])-1,1)</f>
        <v>-0.1</v>
      </c>
      <c r="V331" s="15" t="str">
        <f>IF(Table1[[#This Row],[Team]]="David",Table1[[#This Row],[Improvement Vs. S&amp;P Return]],"")</f>
        <v/>
      </c>
      <c r="W331" s="15">
        <f>IF(Table1[[#This Row],[Team]]="Tom",Table1[[#This Row],[Improvement Vs. S&amp;P Return]],"")</f>
        <v>-0.1</v>
      </c>
    </row>
    <row r="332" spans="1:23" ht="60" x14ac:dyDescent="0.2">
      <c r="A332" s="1">
        <v>38646</v>
      </c>
      <c r="B332" s="2" t="s">
        <v>625</v>
      </c>
      <c r="C332" s="2">
        <f>SUBTOTAL(103,Table1[[#This Row],[Recommendation Date]])</f>
        <v>1</v>
      </c>
      <c r="D332" s="2">
        <f>1</f>
        <v>1</v>
      </c>
      <c r="E332" s="16" t="s">
        <v>626</v>
      </c>
      <c r="F332" s="3" t="s">
        <v>150</v>
      </c>
      <c r="G332" s="3" t="s">
        <v>8</v>
      </c>
      <c r="H332" s="17"/>
      <c r="I332" s="4">
        <v>38.36</v>
      </c>
      <c r="J332" s="5">
        <v>-0.248</v>
      </c>
      <c r="K332" s="48">
        <f>ROUND(LOG10(Table1[[#This Row],[Return (keep sorted by this column!)]]+1),2)</f>
        <v>-0.12</v>
      </c>
      <c r="L332" s="48">
        <f>COUNTIF(Table1[Return (keep sorted by this column!)],"&lt;"&amp;Table1[[#This Row],[Return (keep sorted by this column!)]])</f>
        <v>103</v>
      </c>
      <c r="M332" s="14" t="str">
        <f>IF(Table1[[#This Row],[Team]]="David",Table1[[#This Row],[Return (keep sorted by this column!)]],"")</f>
        <v/>
      </c>
      <c r="N332" s="14">
        <f>IF(Table1[[#This Row],[Team]]="Tom",Table1[[#This Row],[Return (keep sorted by this column!)]],"")</f>
        <v>-0.248</v>
      </c>
      <c r="O332" s="5">
        <v>1.639</v>
      </c>
      <c r="P332" s="23" t="str">
        <f>IF(Table1[[#This Row],[Team]]="David",Table1[[#This Row],[S&amp;P Return, same period]],"")</f>
        <v/>
      </c>
      <c r="Q332" s="23">
        <f>IF(Table1[[#This Row],[Team]]="Tom",Table1[[#This Row],[S&amp;P Return, same period]],"")</f>
        <v>1.639</v>
      </c>
      <c r="R332" s="5">
        <v>-1.887</v>
      </c>
      <c r="S332" s="14" t="str">
        <f>IF(Table1[[#This Row],[Team]]="David",Table1[[#This Row],[Difference Vs. S&amp;P Return]],"")</f>
        <v/>
      </c>
      <c r="T332" s="14">
        <f>IF(Table1[[#This Row],[Team]]="Tom",Table1[[#This Row],[Difference Vs. S&amp;P Return]],"")</f>
        <v>-1.887</v>
      </c>
      <c r="U332" s="14">
        <f>ROUND((1+Table1[[#This Row],[Return (keep sorted by this column!)]])/(1+Table1[[#This Row],[S&amp;P Return, same period]])-1,1)</f>
        <v>-0.7</v>
      </c>
      <c r="V332" s="15" t="str">
        <f>IF(Table1[[#This Row],[Team]]="David",Table1[[#This Row],[Improvement Vs. S&amp;P Return]],"")</f>
        <v/>
      </c>
      <c r="W332" s="15">
        <f>IF(Table1[[#This Row],[Team]]="Tom",Table1[[#This Row],[Improvement Vs. S&amp;P Return]],"")</f>
        <v>-0.7</v>
      </c>
    </row>
    <row r="333" spans="1:23" ht="17" x14ac:dyDescent="0.2">
      <c r="A333" s="18">
        <v>43286</v>
      </c>
      <c r="B333" s="2" t="s">
        <v>99</v>
      </c>
      <c r="C333" s="2">
        <f>SUBTOTAL(103,Table1[[#This Row],[Recommendation Date]])</f>
        <v>1</v>
      </c>
      <c r="D333" s="2">
        <f>1</f>
        <v>1</v>
      </c>
      <c r="E333" s="16" t="s">
        <v>100</v>
      </c>
      <c r="F333" s="3" t="s">
        <v>15</v>
      </c>
      <c r="G333" s="3" t="s">
        <v>8</v>
      </c>
      <c r="H333" s="17"/>
      <c r="I333" s="4">
        <v>28.83</v>
      </c>
      <c r="J333" s="5">
        <v>-0.26400000000000001</v>
      </c>
      <c r="K333" s="48">
        <f>ROUND(LOG10(Table1[[#This Row],[Return (keep sorted by this column!)]]+1),2)</f>
        <v>-0.13</v>
      </c>
      <c r="L333" s="48">
        <f>COUNTIF(Table1[Return (keep sorted by this column!)],"&lt;"&amp;Table1[[#This Row],[Return (keep sorted by this column!)]])</f>
        <v>102</v>
      </c>
      <c r="M333" s="76" t="str">
        <f>IF(Table1[[#This Row],[Team]]="David",Table1[[#This Row],[Return (keep sorted by this column!)]],"")</f>
        <v/>
      </c>
      <c r="N333" s="76">
        <f>IF(Table1[[#This Row],[Team]]="Tom",Table1[[#This Row],[Return (keep sorted by this column!)]],"")</f>
        <v>-0.26400000000000001</v>
      </c>
      <c r="O333" s="5">
        <v>3.7999999999999999E-2</v>
      </c>
      <c r="P333" s="68" t="str">
        <f>IF(Table1[[#This Row],[Team]]="David",Table1[[#This Row],[S&amp;P Return, same period]],"")</f>
        <v/>
      </c>
      <c r="Q333" s="68">
        <f>IF(Table1[[#This Row],[Team]]="Tom",Table1[[#This Row],[S&amp;P Return, same period]],"")</f>
        <v>3.7999999999999999E-2</v>
      </c>
      <c r="R333" s="5">
        <v>-0.30199999999999999</v>
      </c>
      <c r="S333" s="14" t="str">
        <f>IF(Table1[[#This Row],[Team]]="David",Table1[[#This Row],[Difference Vs. S&amp;P Return]],"")</f>
        <v/>
      </c>
      <c r="T333" s="14">
        <f>IF(Table1[[#This Row],[Team]]="Tom",Table1[[#This Row],[Difference Vs. S&amp;P Return]],"")</f>
        <v>-0.30199999999999999</v>
      </c>
      <c r="U333" s="14">
        <f>ROUND((1+Table1[[#This Row],[Return (keep sorted by this column!)]])/(1+Table1[[#This Row],[S&amp;P Return, same period]])-1,1)</f>
        <v>-0.3</v>
      </c>
      <c r="V333" s="15" t="str">
        <f>IF(Table1[[#This Row],[Team]]="David",Table1[[#This Row],[Improvement Vs. S&amp;P Return]],"")</f>
        <v/>
      </c>
      <c r="W333" s="15">
        <f>IF(Table1[[#This Row],[Team]]="Tom",Table1[[#This Row],[Improvement Vs. S&amp;P Return]],"")</f>
        <v>-0.3</v>
      </c>
    </row>
    <row r="334" spans="1:23" ht="17" x14ac:dyDescent="0.2">
      <c r="A334" s="18">
        <v>42419</v>
      </c>
      <c r="B334" s="2" t="s">
        <v>222</v>
      </c>
      <c r="C334" s="2">
        <f>SUBTOTAL(103,Table1[[#This Row],[Recommendation Date]])</f>
        <v>1</v>
      </c>
      <c r="D334" s="2">
        <f>1</f>
        <v>1</v>
      </c>
      <c r="E334" s="16" t="s">
        <v>223</v>
      </c>
      <c r="F334" s="3" t="s">
        <v>224</v>
      </c>
      <c r="G334" s="3" t="s">
        <v>12</v>
      </c>
      <c r="H334" s="16">
        <v>14</v>
      </c>
      <c r="I334" s="4">
        <v>35.42</v>
      </c>
      <c r="J334" s="5">
        <v>-0.27</v>
      </c>
      <c r="K334" s="48">
        <f>ROUND(LOG10(Table1[[#This Row],[Return (keep sorted by this column!)]]+1),2)</f>
        <v>-0.14000000000000001</v>
      </c>
      <c r="L334" s="48">
        <f>COUNTIF(Table1[Return (keep sorted by this column!)],"&lt;"&amp;Table1[[#This Row],[Return (keep sorted by this column!)]])</f>
        <v>101</v>
      </c>
      <c r="M334" s="76">
        <f>IF(Table1[[#This Row],[Team]]="David",Table1[[#This Row],[Return (keep sorted by this column!)]],"")</f>
        <v>-0.27</v>
      </c>
      <c r="N334" s="76" t="str">
        <f>IF(Table1[[#This Row],[Team]]="Tom",Table1[[#This Row],[Return (keep sorted by this column!)]],"")</f>
        <v/>
      </c>
      <c r="O334" s="5">
        <v>0.55400000000000005</v>
      </c>
      <c r="P334" s="68">
        <f>IF(Table1[[#This Row],[Team]]="David",Table1[[#This Row],[S&amp;P Return, same period]],"")</f>
        <v>0.55400000000000005</v>
      </c>
      <c r="Q334" s="68" t="str">
        <f>IF(Table1[[#This Row],[Team]]="Tom",Table1[[#This Row],[S&amp;P Return, same period]],"")</f>
        <v/>
      </c>
      <c r="R334" s="5">
        <v>-0.82399999999999995</v>
      </c>
      <c r="S334" s="14">
        <f>IF(Table1[[#This Row],[Team]]="David",Table1[[#This Row],[Difference Vs. S&amp;P Return]],"")</f>
        <v>-0.82399999999999995</v>
      </c>
      <c r="T334" s="14" t="str">
        <f>IF(Table1[[#This Row],[Team]]="Tom",Table1[[#This Row],[Difference Vs. S&amp;P Return]],"")</f>
        <v/>
      </c>
      <c r="U334" s="14">
        <f>ROUND((1+Table1[[#This Row],[Return (keep sorted by this column!)]])/(1+Table1[[#This Row],[S&amp;P Return, same period]])-1,1)</f>
        <v>-0.5</v>
      </c>
      <c r="V334" s="15">
        <f>IF(Table1[[#This Row],[Team]]="David",Table1[[#This Row],[Improvement Vs. S&amp;P Return]],"")</f>
        <v>-0.5</v>
      </c>
      <c r="W334" s="15" t="str">
        <f>IF(Table1[[#This Row],[Team]]="Tom",Table1[[#This Row],[Improvement Vs. S&amp;P Return]],"")</f>
        <v/>
      </c>
    </row>
    <row r="335" spans="1:23" ht="17" x14ac:dyDescent="0.2">
      <c r="A335" s="18">
        <v>42993</v>
      </c>
      <c r="B335" s="2" t="s">
        <v>140</v>
      </c>
      <c r="C335" s="2">
        <f>SUBTOTAL(103,Table1[[#This Row],[Recommendation Date]])</f>
        <v>1</v>
      </c>
      <c r="D335" s="2">
        <f>1</f>
        <v>1</v>
      </c>
      <c r="E335" s="16" t="s">
        <v>141</v>
      </c>
      <c r="F335" s="3" t="s">
        <v>142</v>
      </c>
      <c r="G335" s="3" t="s">
        <v>12</v>
      </c>
      <c r="H335" s="16">
        <v>8</v>
      </c>
      <c r="I335" s="4">
        <v>198.26</v>
      </c>
      <c r="J335" s="5">
        <v>-0.27300000000000002</v>
      </c>
      <c r="K335" s="48">
        <f>ROUND(LOG10(Table1[[#This Row],[Return (keep sorted by this column!)]]+1),2)</f>
        <v>-0.14000000000000001</v>
      </c>
      <c r="L335" s="48">
        <f>COUNTIF(Table1[Return (keep sorted by this column!)],"&lt;"&amp;Table1[[#This Row],[Return (keep sorted by this column!)]])</f>
        <v>100</v>
      </c>
      <c r="M335" s="76">
        <f>IF(Table1[[#This Row],[Team]]="David",Table1[[#This Row],[Return (keep sorted by this column!)]],"")</f>
        <v>-0.27300000000000002</v>
      </c>
      <c r="N335" s="76" t="str">
        <f>IF(Table1[[#This Row],[Team]]="Tom",Table1[[#This Row],[Return (keep sorted by this column!)]],"")</f>
        <v/>
      </c>
      <c r="O335" s="5">
        <v>0.153</v>
      </c>
      <c r="P335" s="68">
        <f>IF(Table1[[#This Row],[Team]]="David",Table1[[#This Row],[S&amp;P Return, same period]],"")</f>
        <v>0.153</v>
      </c>
      <c r="Q335" s="68" t="str">
        <f>IF(Table1[[#This Row],[Team]]="Tom",Table1[[#This Row],[S&amp;P Return, same period]],"")</f>
        <v/>
      </c>
      <c r="R335" s="5">
        <v>-0.42699999999999999</v>
      </c>
      <c r="S335" s="14">
        <f>IF(Table1[[#This Row],[Team]]="David",Table1[[#This Row],[Difference Vs. S&amp;P Return]],"")</f>
        <v>-0.42699999999999999</v>
      </c>
      <c r="T335" s="14" t="str">
        <f>IF(Table1[[#This Row],[Team]]="Tom",Table1[[#This Row],[Difference Vs. S&amp;P Return]],"")</f>
        <v/>
      </c>
      <c r="U335" s="14">
        <f>ROUND((1+Table1[[#This Row],[Return (keep sorted by this column!)]])/(1+Table1[[#This Row],[S&amp;P Return, same period]])-1,1)</f>
        <v>-0.4</v>
      </c>
      <c r="V335" s="15">
        <f>IF(Table1[[#This Row],[Team]]="David",Table1[[#This Row],[Improvement Vs. S&amp;P Return]],"")</f>
        <v>-0.4</v>
      </c>
      <c r="W335" s="15" t="str">
        <f>IF(Table1[[#This Row],[Team]]="Tom",Table1[[#This Row],[Improvement Vs. S&amp;P Return]],"")</f>
        <v/>
      </c>
    </row>
    <row r="336" spans="1:23" ht="60" x14ac:dyDescent="0.2">
      <c r="A336" s="1">
        <v>41628</v>
      </c>
      <c r="B336" s="2" t="s">
        <v>322</v>
      </c>
      <c r="C336" s="2">
        <f>SUBTOTAL(103,Table1[[#This Row],[Recommendation Date]])</f>
        <v>1</v>
      </c>
      <c r="D336" s="2">
        <f>1</f>
        <v>1</v>
      </c>
      <c r="E336" s="16" t="s">
        <v>323</v>
      </c>
      <c r="F336" s="3" t="s">
        <v>41</v>
      </c>
      <c r="G336" s="3" t="s">
        <v>8</v>
      </c>
      <c r="H336" s="17"/>
      <c r="I336" s="4">
        <v>124.43</v>
      </c>
      <c r="J336" s="5">
        <v>-0.27400000000000002</v>
      </c>
      <c r="K336" s="48">
        <f>ROUND(LOG10(Table1[[#This Row],[Return (keep sorted by this column!)]]+1),2)</f>
        <v>-0.14000000000000001</v>
      </c>
      <c r="L336" s="48">
        <f>COUNTIF(Table1[Return (keep sorted by this column!)],"&lt;"&amp;Table1[[#This Row],[Return (keep sorted by this column!)]])</f>
        <v>99</v>
      </c>
      <c r="M336" s="76" t="str">
        <f>IF(Table1[[#This Row],[Team]]="David",Table1[[#This Row],[Return (keep sorted by this column!)]],"")</f>
        <v/>
      </c>
      <c r="N336" s="76">
        <f>IF(Table1[[#This Row],[Team]]="Tom",Table1[[#This Row],[Return (keep sorted by this column!)]],"")</f>
        <v>-0.27400000000000002</v>
      </c>
      <c r="O336" s="5">
        <v>1.0740000000000001</v>
      </c>
      <c r="P336" s="68" t="str">
        <f>IF(Table1[[#This Row],[Team]]="David",Table1[[#This Row],[S&amp;P Return, same period]],"")</f>
        <v/>
      </c>
      <c r="Q336" s="68">
        <f>IF(Table1[[#This Row],[Team]]="Tom",Table1[[#This Row],[S&amp;P Return, same period]],"")</f>
        <v>1.0740000000000001</v>
      </c>
      <c r="R336" s="5">
        <v>-1.3480000000000001</v>
      </c>
      <c r="S336" s="14" t="str">
        <f>IF(Table1[[#This Row],[Team]]="David",Table1[[#This Row],[Difference Vs. S&amp;P Return]],"")</f>
        <v/>
      </c>
      <c r="T336" s="14">
        <f>IF(Table1[[#This Row],[Team]]="Tom",Table1[[#This Row],[Difference Vs. S&amp;P Return]],"")</f>
        <v>-1.3480000000000001</v>
      </c>
      <c r="U336" s="14">
        <f>ROUND((1+Table1[[#This Row],[Return (keep sorted by this column!)]])/(1+Table1[[#This Row],[S&amp;P Return, same period]])-1,1)</f>
        <v>-0.6</v>
      </c>
      <c r="V336" s="15" t="str">
        <f>IF(Table1[[#This Row],[Team]]="David",Table1[[#This Row],[Improvement Vs. S&amp;P Return]],"")</f>
        <v/>
      </c>
      <c r="W336" s="15">
        <f>IF(Table1[[#This Row],[Team]]="Tom",Table1[[#This Row],[Improvement Vs. S&amp;P Return]],"")</f>
        <v>-0.6</v>
      </c>
    </row>
    <row r="337" spans="1:23" ht="105" x14ac:dyDescent="0.2">
      <c r="A337" s="18">
        <v>41656</v>
      </c>
      <c r="B337" s="2" t="s">
        <v>265</v>
      </c>
      <c r="C337" s="2">
        <f>SUBTOTAL(103,Table1[[#This Row],[Recommendation Date]])</f>
        <v>1</v>
      </c>
      <c r="D337" s="2">
        <f>1</f>
        <v>1</v>
      </c>
      <c r="E337" s="3" t="s">
        <v>266</v>
      </c>
      <c r="F337" s="3" t="s">
        <v>267</v>
      </c>
      <c r="G337" s="3" t="s">
        <v>8</v>
      </c>
      <c r="H337" s="17"/>
      <c r="I337" s="3" t="s">
        <v>268</v>
      </c>
      <c r="J337" s="5">
        <v>-0.27700000000000002</v>
      </c>
      <c r="K337" s="48">
        <f>ROUND(LOG10(Table1[[#This Row],[Return (keep sorted by this column!)]]+1),2)</f>
        <v>-0.14000000000000001</v>
      </c>
      <c r="L337" s="48">
        <f>COUNTIF(Table1[Return (keep sorted by this column!)],"&lt;"&amp;Table1[[#This Row],[Return (keep sorted by this column!)]])</f>
        <v>98</v>
      </c>
      <c r="M337" s="76" t="str">
        <f>IF(Table1[[#This Row],[Team]]="David",Table1[[#This Row],[Return (keep sorted by this column!)]],"")</f>
        <v/>
      </c>
      <c r="N337" s="76">
        <f>IF(Table1[[#This Row],[Team]]="Tom",Table1[[#This Row],[Return (keep sorted by this column!)]],"")</f>
        <v>-0.27700000000000002</v>
      </c>
      <c r="O337" s="5">
        <v>0.69399999999999995</v>
      </c>
      <c r="P337" s="68" t="str">
        <f>IF(Table1[[#This Row],[Team]]="David",Table1[[#This Row],[S&amp;P Return, same period]],"")</f>
        <v/>
      </c>
      <c r="Q337" s="68">
        <f>IF(Table1[[#This Row],[Team]]="Tom",Table1[[#This Row],[S&amp;P Return, same period]],"")</f>
        <v>0.69399999999999995</v>
      </c>
      <c r="R337" s="5">
        <v>-0.97199999999999998</v>
      </c>
      <c r="S337" s="14" t="str">
        <f>IF(Table1[[#This Row],[Team]]="David",Table1[[#This Row],[Difference Vs. S&amp;P Return]],"")</f>
        <v/>
      </c>
      <c r="T337" s="14">
        <f>IF(Table1[[#This Row],[Team]]="Tom",Table1[[#This Row],[Difference Vs. S&amp;P Return]],"")</f>
        <v>-0.97199999999999998</v>
      </c>
      <c r="U337" s="14">
        <f>ROUND((1+Table1[[#This Row],[Return (keep sorted by this column!)]])/(1+Table1[[#This Row],[S&amp;P Return, same period]])-1,1)</f>
        <v>-0.6</v>
      </c>
      <c r="V337" s="15" t="str">
        <f>IF(Table1[[#This Row],[Team]]="David",Table1[[#This Row],[Improvement Vs. S&amp;P Return]],"")</f>
        <v/>
      </c>
      <c r="W337" s="15">
        <f>IF(Table1[[#This Row],[Team]]="Tom",Table1[[#This Row],[Improvement Vs. S&amp;P Return]],"")</f>
        <v>-0.6</v>
      </c>
    </row>
    <row r="338" spans="1:23" ht="45" x14ac:dyDescent="0.2">
      <c r="A338" s="1">
        <v>39283</v>
      </c>
      <c r="B338" s="2" t="s">
        <v>573</v>
      </c>
      <c r="C338" s="2">
        <f>SUBTOTAL(103,Table1[[#This Row],[Recommendation Date]])</f>
        <v>1</v>
      </c>
      <c r="D338" s="2">
        <f>1</f>
        <v>1</v>
      </c>
      <c r="E338" s="16" t="s">
        <v>574</v>
      </c>
      <c r="F338" s="3" t="s">
        <v>575</v>
      </c>
      <c r="G338" s="3" t="s">
        <v>12</v>
      </c>
      <c r="H338" s="17"/>
      <c r="I338" s="4">
        <v>47.61</v>
      </c>
      <c r="J338" s="5">
        <v>-0.28199999999999997</v>
      </c>
      <c r="K338" s="48">
        <f>ROUND(LOG10(Table1[[#This Row],[Return (keep sorted by this column!)]]+1),2)</f>
        <v>-0.14000000000000001</v>
      </c>
      <c r="L338" s="48">
        <f>COUNTIF(Table1[Return (keep sorted by this column!)],"&lt;"&amp;Table1[[#This Row],[Return (keep sorted by this column!)]])</f>
        <v>97</v>
      </c>
      <c r="M338" s="14">
        <f>IF(Table1[[#This Row],[Team]]="David",Table1[[#This Row],[Return (keep sorted by this column!)]],"")</f>
        <v>-0.28199999999999997</v>
      </c>
      <c r="N338" s="14" t="str">
        <f>IF(Table1[[#This Row],[Team]]="Tom",Table1[[#This Row],[Return (keep sorted by this column!)]],"")</f>
        <v/>
      </c>
      <c r="O338" s="5">
        <v>-0.33100000000000002</v>
      </c>
      <c r="P338" s="23">
        <f>IF(Table1[[#This Row],[Team]]="David",Table1[[#This Row],[S&amp;P Return, same period]],"")</f>
        <v>-0.33100000000000002</v>
      </c>
      <c r="Q338" s="23" t="str">
        <f>IF(Table1[[#This Row],[Team]]="Tom",Table1[[#This Row],[S&amp;P Return, same period]],"")</f>
        <v/>
      </c>
      <c r="R338" s="5">
        <v>4.8000000000000001E-2</v>
      </c>
      <c r="S338" s="14">
        <f>IF(Table1[[#This Row],[Team]]="David",Table1[[#This Row],[Difference Vs. S&amp;P Return]],"")</f>
        <v>4.8000000000000001E-2</v>
      </c>
      <c r="T338" s="14" t="str">
        <f>IF(Table1[[#This Row],[Team]]="Tom",Table1[[#This Row],[Difference Vs. S&amp;P Return]],"")</f>
        <v/>
      </c>
      <c r="U338" s="14">
        <f>ROUND((1+Table1[[#This Row],[Return (keep sorted by this column!)]])/(1+Table1[[#This Row],[S&amp;P Return, same period]])-1,1)</f>
        <v>0.1</v>
      </c>
      <c r="V338" s="15">
        <f>IF(Table1[[#This Row],[Team]]="David",Table1[[#This Row],[Improvement Vs. S&amp;P Return]],"")</f>
        <v>0.1</v>
      </c>
      <c r="W338" s="15" t="str">
        <f>IF(Table1[[#This Row],[Team]]="Tom",Table1[[#This Row],[Improvement Vs. S&amp;P Return]],"")</f>
        <v/>
      </c>
    </row>
    <row r="339" spans="1:23" ht="17" x14ac:dyDescent="0.2">
      <c r="A339" s="18">
        <v>43056</v>
      </c>
      <c r="B339" s="2" t="s">
        <v>131</v>
      </c>
      <c r="C339" s="2">
        <f>SUBTOTAL(103,Table1[[#This Row],[Recommendation Date]])</f>
        <v>1</v>
      </c>
      <c r="D339" s="2">
        <f>1</f>
        <v>1</v>
      </c>
      <c r="E339" s="16" t="s">
        <v>132</v>
      </c>
      <c r="F339" s="3" t="s">
        <v>133</v>
      </c>
      <c r="G339" s="3" t="s">
        <v>8</v>
      </c>
      <c r="H339" s="17"/>
      <c r="I339" s="4">
        <v>41.83</v>
      </c>
      <c r="J339" s="5">
        <v>-0.28299999999999997</v>
      </c>
      <c r="K339" s="48">
        <f>ROUND(LOG10(Table1[[#This Row],[Return (keep sorted by this column!)]]+1),2)</f>
        <v>-0.14000000000000001</v>
      </c>
      <c r="L339" s="48">
        <f>COUNTIF(Table1[Return (keep sorted by this column!)],"&lt;"&amp;Table1[[#This Row],[Return (keep sorted by this column!)]])</f>
        <v>96</v>
      </c>
      <c r="M339" s="76" t="str">
        <f>IF(Table1[[#This Row],[Team]]="David",Table1[[#This Row],[Return (keep sorted by this column!)]],"")</f>
        <v/>
      </c>
      <c r="N339" s="76">
        <f>IF(Table1[[#This Row],[Team]]="Tom",Table1[[#This Row],[Return (keep sorted by this column!)]],"")</f>
        <v>-0.28299999999999997</v>
      </c>
      <c r="O339" s="5">
        <v>0.114</v>
      </c>
      <c r="P339" s="68" t="str">
        <f>IF(Table1[[#This Row],[Team]]="David",Table1[[#This Row],[S&amp;P Return, same period]],"")</f>
        <v/>
      </c>
      <c r="Q339" s="68">
        <f>IF(Table1[[#This Row],[Team]]="Tom",Table1[[#This Row],[S&amp;P Return, same period]],"")</f>
        <v>0.114</v>
      </c>
      <c r="R339" s="5">
        <v>-0.39700000000000002</v>
      </c>
      <c r="S339" s="14" t="str">
        <f>IF(Table1[[#This Row],[Team]]="David",Table1[[#This Row],[Difference Vs. S&amp;P Return]],"")</f>
        <v/>
      </c>
      <c r="T339" s="14">
        <f>IF(Table1[[#This Row],[Team]]="Tom",Table1[[#This Row],[Difference Vs. S&amp;P Return]],"")</f>
        <v>-0.39700000000000002</v>
      </c>
      <c r="U339" s="14">
        <f>ROUND((1+Table1[[#This Row],[Return (keep sorted by this column!)]])/(1+Table1[[#This Row],[S&amp;P Return, same period]])-1,1)</f>
        <v>-0.4</v>
      </c>
      <c r="V339" s="15" t="str">
        <f>IF(Table1[[#This Row],[Team]]="David",Table1[[#This Row],[Improvement Vs. S&amp;P Return]],"")</f>
        <v/>
      </c>
      <c r="W339" s="15">
        <f>IF(Table1[[#This Row],[Team]]="Tom",Table1[[#This Row],[Improvement Vs. S&amp;P Return]],"")</f>
        <v>-0.4</v>
      </c>
    </row>
    <row r="340" spans="1:23" ht="60" x14ac:dyDescent="0.2">
      <c r="A340" s="1">
        <v>41264</v>
      </c>
      <c r="B340" s="2" t="s">
        <v>358</v>
      </c>
      <c r="C340" s="2">
        <f>SUBTOTAL(103,Table1[[#This Row],[Recommendation Date]])</f>
        <v>1</v>
      </c>
      <c r="D340" s="2">
        <f>1</f>
        <v>1</v>
      </c>
      <c r="E340" s="16" t="s">
        <v>359</v>
      </c>
      <c r="F340" s="3" t="s">
        <v>41</v>
      </c>
      <c r="G340" s="3" t="s">
        <v>12</v>
      </c>
      <c r="H340" s="16">
        <v>19</v>
      </c>
      <c r="I340" s="4">
        <v>22.13</v>
      </c>
      <c r="J340" s="5">
        <v>-0.29299999999999998</v>
      </c>
      <c r="K340" s="48">
        <f>ROUND(LOG10(Table1[[#This Row],[Return (keep sorted by this column!)]]+1),2)</f>
        <v>-0.15</v>
      </c>
      <c r="L340" s="48">
        <f>COUNTIF(Table1[Return (keep sorted by this column!)],"&lt;"&amp;Table1[[#This Row],[Return (keep sorted by this column!)]])</f>
        <v>95</v>
      </c>
      <c r="M340" s="76">
        <f>IF(Table1[[#This Row],[Team]]="David",Table1[[#This Row],[Return (keep sorted by this column!)]],"")</f>
        <v>-0.29299999999999998</v>
      </c>
      <c r="N340" s="76" t="str">
        <f>IF(Table1[[#This Row],[Team]]="Tom",Table1[[#This Row],[Return (keep sorted by this column!)]],"")</f>
        <v/>
      </c>
      <c r="O340" s="5">
        <v>1.331</v>
      </c>
      <c r="P340" s="68">
        <f>IF(Table1[[#This Row],[Team]]="David",Table1[[#This Row],[S&amp;P Return, same period]],"")</f>
        <v>1.331</v>
      </c>
      <c r="Q340" s="68" t="str">
        <f>IF(Table1[[#This Row],[Team]]="Tom",Table1[[#This Row],[S&amp;P Return, same period]],"")</f>
        <v/>
      </c>
      <c r="R340" s="5">
        <v>-1.6240000000000001</v>
      </c>
      <c r="S340" s="14">
        <f>IF(Table1[[#This Row],[Team]]="David",Table1[[#This Row],[Difference Vs. S&amp;P Return]],"")</f>
        <v>-1.6240000000000001</v>
      </c>
      <c r="T340" s="14" t="str">
        <f>IF(Table1[[#This Row],[Team]]="Tom",Table1[[#This Row],[Difference Vs. S&amp;P Return]],"")</f>
        <v/>
      </c>
      <c r="U340" s="14">
        <f>ROUND((1+Table1[[#This Row],[Return (keep sorted by this column!)]])/(1+Table1[[#This Row],[S&amp;P Return, same period]])-1,1)</f>
        <v>-0.7</v>
      </c>
      <c r="V340" s="15">
        <f>IF(Table1[[#This Row],[Team]]="David",Table1[[#This Row],[Improvement Vs. S&amp;P Return]],"")</f>
        <v>-0.7</v>
      </c>
      <c r="W340" s="15" t="str">
        <f>IF(Table1[[#This Row],[Team]]="Tom",Table1[[#This Row],[Improvement Vs. S&amp;P Return]],"")</f>
        <v/>
      </c>
    </row>
    <row r="341" spans="1:23" ht="45" x14ac:dyDescent="0.2">
      <c r="A341" s="1">
        <v>38646</v>
      </c>
      <c r="B341" s="2" t="s">
        <v>639</v>
      </c>
      <c r="C341" s="2">
        <f>SUBTOTAL(103,Table1[[#This Row],[Recommendation Date]])</f>
        <v>1</v>
      </c>
      <c r="D341" s="2">
        <f>1</f>
        <v>1</v>
      </c>
      <c r="E341" s="16" t="s">
        <v>640</v>
      </c>
      <c r="F341" s="3" t="s">
        <v>252</v>
      </c>
      <c r="G341" s="3" t="s">
        <v>12</v>
      </c>
      <c r="H341" s="17"/>
      <c r="I341" s="4">
        <v>30.6</v>
      </c>
      <c r="J341" s="5">
        <v>-0.29599999999999999</v>
      </c>
      <c r="K341" s="48">
        <f>ROUND(LOG10(Table1[[#This Row],[Return (keep sorted by this column!)]]+1),2)</f>
        <v>-0.15</v>
      </c>
      <c r="L341" s="48">
        <f>COUNTIF(Table1[Return (keep sorted by this column!)],"&lt;"&amp;Table1[[#This Row],[Return (keep sorted by this column!)]])</f>
        <v>94</v>
      </c>
      <c r="M341" s="14">
        <f>IF(Table1[[#This Row],[Team]]="David",Table1[[#This Row],[Return (keep sorted by this column!)]],"")</f>
        <v>-0.29599999999999999</v>
      </c>
      <c r="N341" s="14" t="str">
        <f>IF(Table1[[#This Row],[Team]]="Tom",Table1[[#This Row],[Return (keep sorted by this column!)]],"")</f>
        <v/>
      </c>
      <c r="O341" s="5">
        <v>0.122</v>
      </c>
      <c r="P341" s="23">
        <f>IF(Table1[[#This Row],[Team]]="David",Table1[[#This Row],[S&amp;P Return, same period]],"")</f>
        <v>0.122</v>
      </c>
      <c r="Q341" s="23" t="str">
        <f>IF(Table1[[#This Row],[Team]]="Tom",Table1[[#This Row],[S&amp;P Return, same period]],"")</f>
        <v/>
      </c>
      <c r="R341" s="5">
        <v>-0.41799999999999998</v>
      </c>
      <c r="S341" s="14">
        <f>IF(Table1[[#This Row],[Team]]="David",Table1[[#This Row],[Difference Vs. S&amp;P Return]],"")</f>
        <v>-0.41799999999999998</v>
      </c>
      <c r="T341" s="14" t="str">
        <f>IF(Table1[[#This Row],[Team]]="Tom",Table1[[#This Row],[Difference Vs. S&amp;P Return]],"")</f>
        <v/>
      </c>
      <c r="U341" s="14">
        <f>ROUND((1+Table1[[#This Row],[Return (keep sorted by this column!)]])/(1+Table1[[#This Row],[S&amp;P Return, same period]])-1,1)</f>
        <v>-0.4</v>
      </c>
      <c r="V341" s="15">
        <f>IF(Table1[[#This Row],[Team]]="David",Table1[[#This Row],[Improvement Vs. S&amp;P Return]],"")</f>
        <v>-0.4</v>
      </c>
      <c r="W341" s="15" t="str">
        <f>IF(Table1[[#This Row],[Team]]="Tom",Table1[[#This Row],[Improvement Vs. S&amp;P Return]],"")</f>
        <v/>
      </c>
    </row>
    <row r="342" spans="1:23" ht="30" x14ac:dyDescent="0.2">
      <c r="A342" s="1">
        <v>39220</v>
      </c>
      <c r="B342" s="2" t="s">
        <v>580</v>
      </c>
      <c r="C342" s="2">
        <f>SUBTOTAL(103,Table1[[#This Row],[Recommendation Date]])</f>
        <v>1</v>
      </c>
      <c r="D342" s="2">
        <f>1</f>
        <v>1</v>
      </c>
      <c r="E342" s="16" t="s">
        <v>581</v>
      </c>
      <c r="F342" s="3" t="s">
        <v>582</v>
      </c>
      <c r="G342" s="3" t="s">
        <v>8</v>
      </c>
      <c r="H342" s="17"/>
      <c r="I342" s="4">
        <v>58.95</v>
      </c>
      <c r="J342" s="5">
        <v>-0.30099999999999999</v>
      </c>
      <c r="K342" s="48">
        <f>ROUND(LOG10(Table1[[#This Row],[Return (keep sorted by this column!)]]+1),2)</f>
        <v>-0.16</v>
      </c>
      <c r="L342" s="48">
        <f>COUNTIF(Table1[Return (keep sorted by this column!)],"&lt;"&amp;Table1[[#This Row],[Return (keep sorted by this column!)]])</f>
        <v>93</v>
      </c>
      <c r="M342" s="14" t="str">
        <f>IF(Table1[[#This Row],[Team]]="David",Table1[[#This Row],[Return (keep sorted by this column!)]],"")</f>
        <v/>
      </c>
      <c r="N342" s="14">
        <f>IF(Table1[[#This Row],[Team]]="Tom",Table1[[#This Row],[Return (keep sorted by this column!)]],"")</f>
        <v>-0.30099999999999999</v>
      </c>
      <c r="O342" s="5">
        <v>0.16200000000000001</v>
      </c>
      <c r="P342" s="23" t="str">
        <f>IF(Table1[[#This Row],[Team]]="David",Table1[[#This Row],[S&amp;P Return, same period]],"")</f>
        <v/>
      </c>
      <c r="Q342" s="23">
        <f>IF(Table1[[#This Row],[Team]]="Tom",Table1[[#This Row],[S&amp;P Return, same period]],"")</f>
        <v>0.16200000000000001</v>
      </c>
      <c r="R342" s="5">
        <v>-0.46400000000000002</v>
      </c>
      <c r="S342" s="14" t="str">
        <f>IF(Table1[[#This Row],[Team]]="David",Table1[[#This Row],[Difference Vs. S&amp;P Return]],"")</f>
        <v/>
      </c>
      <c r="T342" s="14">
        <f>IF(Table1[[#This Row],[Team]]="Tom",Table1[[#This Row],[Difference Vs. S&amp;P Return]],"")</f>
        <v>-0.46400000000000002</v>
      </c>
      <c r="U342" s="14">
        <f>ROUND((1+Table1[[#This Row],[Return (keep sorted by this column!)]])/(1+Table1[[#This Row],[S&amp;P Return, same period]])-1,1)</f>
        <v>-0.4</v>
      </c>
      <c r="V342" s="15" t="str">
        <f>IF(Table1[[#This Row],[Team]]="David",Table1[[#This Row],[Improvement Vs. S&amp;P Return]],"")</f>
        <v/>
      </c>
      <c r="W342" s="15">
        <f>IF(Table1[[#This Row],[Team]]="Tom",Table1[[#This Row],[Improvement Vs. S&amp;P Return]],"")</f>
        <v>-0.4</v>
      </c>
    </row>
    <row r="343" spans="1:23" ht="30" x14ac:dyDescent="0.2">
      <c r="A343" s="18">
        <v>43328</v>
      </c>
      <c r="B343" s="2" t="s">
        <v>101</v>
      </c>
      <c r="C343" s="2">
        <f>SUBTOTAL(103,Table1[[#This Row],[Recommendation Date]])</f>
        <v>1</v>
      </c>
      <c r="D343" s="2">
        <f>1</f>
        <v>1</v>
      </c>
      <c r="E343" s="16" t="s">
        <v>102</v>
      </c>
      <c r="F343" s="3" t="s">
        <v>41</v>
      </c>
      <c r="G343" s="3" t="s">
        <v>12</v>
      </c>
      <c r="H343" s="16">
        <v>8</v>
      </c>
      <c r="I343" s="4">
        <v>61.97</v>
      </c>
      <c r="J343" s="5">
        <v>-0.30299999999999999</v>
      </c>
      <c r="K343" s="48">
        <f>ROUND(LOG10(Table1[[#This Row],[Return (keep sorted by this column!)]]+1),2)</f>
        <v>-0.16</v>
      </c>
      <c r="L343" s="48">
        <f>COUNTIF(Table1[Return (keep sorted by this column!)],"&lt;"&amp;Table1[[#This Row],[Return (keep sorted by this column!)]])</f>
        <v>92</v>
      </c>
      <c r="M343" s="76">
        <f>IF(Table1[[#This Row],[Team]]="David",Table1[[#This Row],[Return (keep sorted by this column!)]],"")</f>
        <v>-0.30299999999999999</v>
      </c>
      <c r="N343" s="76" t="str">
        <f>IF(Table1[[#This Row],[Team]]="Tom",Table1[[#This Row],[Return (keep sorted by this column!)]],"")</f>
        <v/>
      </c>
      <c r="O343" s="5">
        <v>-3.0000000000000001E-3</v>
      </c>
      <c r="P343" s="68">
        <f>IF(Table1[[#This Row],[Team]]="David",Table1[[#This Row],[S&amp;P Return, same period]],"")</f>
        <v>-3.0000000000000001E-3</v>
      </c>
      <c r="Q343" s="68" t="str">
        <f>IF(Table1[[#This Row],[Team]]="Tom",Table1[[#This Row],[S&amp;P Return, same period]],"")</f>
        <v/>
      </c>
      <c r="R343" s="5">
        <v>-0.3</v>
      </c>
      <c r="S343" s="14">
        <f>IF(Table1[[#This Row],[Team]]="David",Table1[[#This Row],[Difference Vs. S&amp;P Return]],"")</f>
        <v>-0.3</v>
      </c>
      <c r="T343" s="14" t="str">
        <f>IF(Table1[[#This Row],[Team]]="Tom",Table1[[#This Row],[Difference Vs. S&amp;P Return]],"")</f>
        <v/>
      </c>
      <c r="U343" s="14">
        <f>ROUND((1+Table1[[#This Row],[Return (keep sorted by this column!)]])/(1+Table1[[#This Row],[S&amp;P Return, same period]])-1,1)</f>
        <v>-0.3</v>
      </c>
      <c r="V343" s="15">
        <f>IF(Table1[[#This Row],[Team]]="David",Table1[[#This Row],[Improvement Vs. S&amp;P Return]],"")</f>
        <v>-0.3</v>
      </c>
      <c r="W343" s="15" t="str">
        <f>IF(Table1[[#This Row],[Team]]="Tom",Table1[[#This Row],[Improvement Vs. S&amp;P Return]],"")</f>
        <v/>
      </c>
    </row>
    <row r="344" spans="1:23" ht="17" x14ac:dyDescent="0.2">
      <c r="A344" s="18">
        <v>43377</v>
      </c>
      <c r="B344" s="2" t="s">
        <v>93</v>
      </c>
      <c r="C344" s="2">
        <f>SUBTOTAL(103,Table1[[#This Row],[Recommendation Date]])</f>
        <v>1</v>
      </c>
      <c r="D344" s="2">
        <f>1</f>
        <v>1</v>
      </c>
      <c r="E344" s="16" t="s">
        <v>94</v>
      </c>
      <c r="F344" s="3" t="s">
        <v>95</v>
      </c>
      <c r="G344" s="3" t="s">
        <v>8</v>
      </c>
      <c r="H344" s="17"/>
      <c r="I344" s="4">
        <v>94.49</v>
      </c>
      <c r="J344" s="5">
        <v>-0.30399999999999999</v>
      </c>
      <c r="K344" s="48">
        <f>ROUND(LOG10(Table1[[#This Row],[Return (keep sorted by this column!)]]+1),2)</f>
        <v>-0.16</v>
      </c>
      <c r="L344" s="48">
        <f>COUNTIF(Table1[Return (keep sorted by this column!)],"&lt;"&amp;Table1[[#This Row],[Return (keep sorted by this column!)]])</f>
        <v>91</v>
      </c>
      <c r="M344" s="76" t="str">
        <f>IF(Table1[[#This Row],[Team]]="David",Table1[[#This Row],[Return (keep sorted by this column!)]],"")</f>
        <v/>
      </c>
      <c r="N344" s="76">
        <f>IF(Table1[[#This Row],[Team]]="Tom",Table1[[#This Row],[Return (keep sorted by this column!)]],"")</f>
        <v>-0.30399999999999999</v>
      </c>
      <c r="O344" s="5">
        <v>-2.5999999999999999E-2</v>
      </c>
      <c r="P344" s="68" t="str">
        <f>IF(Table1[[#This Row],[Team]]="David",Table1[[#This Row],[S&amp;P Return, same period]],"")</f>
        <v/>
      </c>
      <c r="Q344" s="68">
        <f>IF(Table1[[#This Row],[Team]]="Tom",Table1[[#This Row],[S&amp;P Return, same period]],"")</f>
        <v>-2.5999999999999999E-2</v>
      </c>
      <c r="R344" s="5">
        <v>-0.27800000000000002</v>
      </c>
      <c r="S344" s="14" t="str">
        <f>IF(Table1[[#This Row],[Team]]="David",Table1[[#This Row],[Difference Vs. S&amp;P Return]],"")</f>
        <v/>
      </c>
      <c r="T344" s="14">
        <f>IF(Table1[[#This Row],[Team]]="Tom",Table1[[#This Row],[Difference Vs. S&amp;P Return]],"")</f>
        <v>-0.27800000000000002</v>
      </c>
      <c r="U344" s="14">
        <f>ROUND((1+Table1[[#This Row],[Return (keep sorted by this column!)]])/(1+Table1[[#This Row],[S&amp;P Return, same period]])-1,1)</f>
        <v>-0.3</v>
      </c>
      <c r="V344" s="15" t="str">
        <f>IF(Table1[[#This Row],[Team]]="David",Table1[[#This Row],[Improvement Vs. S&amp;P Return]],"")</f>
        <v/>
      </c>
      <c r="W344" s="15">
        <f>IF(Table1[[#This Row],[Team]]="Tom",Table1[[#This Row],[Improvement Vs. S&amp;P Return]],"")</f>
        <v>-0.3</v>
      </c>
    </row>
    <row r="345" spans="1:23" ht="30" x14ac:dyDescent="0.2">
      <c r="A345" s="18">
        <v>41201</v>
      </c>
      <c r="B345" s="2" t="s">
        <v>364</v>
      </c>
      <c r="C345" s="2">
        <f>SUBTOTAL(103,Table1[[#This Row],[Recommendation Date]])</f>
        <v>1</v>
      </c>
      <c r="D345" s="2">
        <f>1</f>
        <v>1</v>
      </c>
      <c r="E345" s="16" t="s">
        <v>365</v>
      </c>
      <c r="F345" s="3" t="s">
        <v>366</v>
      </c>
      <c r="G345" s="3" t="s">
        <v>12</v>
      </c>
      <c r="H345" s="16">
        <v>13</v>
      </c>
      <c r="I345" s="4">
        <v>36.9</v>
      </c>
      <c r="J345" s="5">
        <v>-0.30499999999999999</v>
      </c>
      <c r="K345" s="48">
        <f>ROUND(LOG10(Table1[[#This Row],[Return (keep sorted by this column!)]]+1),2)</f>
        <v>-0.16</v>
      </c>
      <c r="L345" s="48">
        <f>COUNTIF(Table1[Return (keep sorted by this column!)],"&lt;"&amp;Table1[[#This Row],[Return (keep sorted by this column!)]])</f>
        <v>90</v>
      </c>
      <c r="M345" s="76">
        <f>IF(Table1[[#This Row],[Team]]="David",Table1[[#This Row],[Return (keep sorted by this column!)]],"")</f>
        <v>-0.30499999999999999</v>
      </c>
      <c r="N345" s="76" t="str">
        <f>IF(Table1[[#This Row],[Team]]="Tom",Table1[[#This Row],[Return (keep sorted by this column!)]],"")</f>
        <v/>
      </c>
      <c r="O345" s="5">
        <v>1.2330000000000001</v>
      </c>
      <c r="P345" s="68">
        <f>IF(Table1[[#This Row],[Team]]="David",Table1[[#This Row],[S&amp;P Return, same period]],"")</f>
        <v>1.2330000000000001</v>
      </c>
      <c r="Q345" s="68" t="str">
        <f>IF(Table1[[#This Row],[Team]]="Tom",Table1[[#This Row],[S&amp;P Return, same period]],"")</f>
        <v/>
      </c>
      <c r="R345" s="5">
        <v>-1.538</v>
      </c>
      <c r="S345" s="14">
        <f>IF(Table1[[#This Row],[Team]]="David",Table1[[#This Row],[Difference Vs. S&amp;P Return]],"")</f>
        <v>-1.538</v>
      </c>
      <c r="T345" s="14" t="str">
        <f>IF(Table1[[#This Row],[Team]]="Tom",Table1[[#This Row],[Difference Vs. S&amp;P Return]],"")</f>
        <v/>
      </c>
      <c r="U345" s="14">
        <f>ROUND((1+Table1[[#This Row],[Return (keep sorted by this column!)]])/(1+Table1[[#This Row],[S&amp;P Return, same period]])-1,1)</f>
        <v>-0.7</v>
      </c>
      <c r="V345" s="15">
        <f>IF(Table1[[#This Row],[Team]]="David",Table1[[#This Row],[Improvement Vs. S&amp;P Return]],"")</f>
        <v>-0.7</v>
      </c>
      <c r="W345" s="15" t="str">
        <f>IF(Table1[[#This Row],[Team]]="Tom",Table1[[#This Row],[Improvement Vs. S&amp;P Return]],"")</f>
        <v/>
      </c>
    </row>
    <row r="346" spans="1:23" ht="60" x14ac:dyDescent="0.2">
      <c r="A346" s="1">
        <v>39738</v>
      </c>
      <c r="B346" s="2" t="s">
        <v>534</v>
      </c>
      <c r="C346" s="2">
        <f>SUBTOTAL(103,Table1[[#This Row],[Recommendation Date]])</f>
        <v>1</v>
      </c>
      <c r="D346" s="2">
        <f>1</f>
        <v>1</v>
      </c>
      <c r="E346" s="16" t="s">
        <v>535</v>
      </c>
      <c r="F346" s="3" t="s">
        <v>536</v>
      </c>
      <c r="G346" s="3" t="s">
        <v>12</v>
      </c>
      <c r="H346" s="17"/>
      <c r="I346" s="4">
        <v>19.73</v>
      </c>
      <c r="J346" s="5">
        <v>-0.312</v>
      </c>
      <c r="K346" s="48">
        <f>ROUND(LOG10(Table1[[#This Row],[Return (keep sorted by this column!)]]+1),2)</f>
        <v>-0.16</v>
      </c>
      <c r="L346" s="48">
        <f>COUNTIF(Table1[Return (keep sorted by this column!)],"&lt;"&amp;Table1[[#This Row],[Return (keep sorted by this column!)]])</f>
        <v>89</v>
      </c>
      <c r="M346" s="14">
        <f>IF(Table1[[#This Row],[Team]]="David",Table1[[#This Row],[Return (keep sorted by this column!)]],"")</f>
        <v>-0.312</v>
      </c>
      <c r="N346" s="14" t="str">
        <f>IF(Table1[[#This Row],[Team]]="Tom",Table1[[#This Row],[Return (keep sorted by this column!)]],"")</f>
        <v/>
      </c>
      <c r="O346" s="5">
        <v>0.69499999999999995</v>
      </c>
      <c r="P346" s="23">
        <f>IF(Table1[[#This Row],[Team]]="David",Table1[[#This Row],[S&amp;P Return, same period]],"")</f>
        <v>0.69499999999999995</v>
      </c>
      <c r="Q346" s="23" t="str">
        <f>IF(Table1[[#This Row],[Team]]="Tom",Table1[[#This Row],[S&amp;P Return, same period]],"")</f>
        <v/>
      </c>
      <c r="R346" s="5">
        <v>-1.006</v>
      </c>
      <c r="S346" s="14">
        <f>IF(Table1[[#This Row],[Team]]="David",Table1[[#This Row],[Difference Vs. S&amp;P Return]],"")</f>
        <v>-1.006</v>
      </c>
      <c r="T346" s="14" t="str">
        <f>IF(Table1[[#This Row],[Team]]="Tom",Table1[[#This Row],[Difference Vs. S&amp;P Return]],"")</f>
        <v/>
      </c>
      <c r="U346" s="14">
        <f>ROUND((1+Table1[[#This Row],[Return (keep sorted by this column!)]])/(1+Table1[[#This Row],[S&amp;P Return, same period]])-1,1)</f>
        <v>-0.6</v>
      </c>
      <c r="V346" s="15">
        <f>IF(Table1[[#This Row],[Team]]="David",Table1[[#This Row],[Improvement Vs. S&amp;P Return]],"")</f>
        <v>-0.6</v>
      </c>
      <c r="W346" s="15" t="str">
        <f>IF(Table1[[#This Row],[Team]]="Tom",Table1[[#This Row],[Improvement Vs. S&amp;P Return]],"")</f>
        <v/>
      </c>
    </row>
    <row r="347" spans="1:23" ht="30" x14ac:dyDescent="0.2">
      <c r="A347" s="18">
        <v>43314</v>
      </c>
      <c r="B347" s="2" t="s">
        <v>103</v>
      </c>
      <c r="C347" s="2">
        <f>SUBTOTAL(103,Table1[[#This Row],[Recommendation Date]])</f>
        <v>1</v>
      </c>
      <c r="D347" s="2">
        <f>1</f>
        <v>1</v>
      </c>
      <c r="E347" s="16" t="s">
        <v>104</v>
      </c>
      <c r="F347" s="3" t="s">
        <v>44</v>
      </c>
      <c r="G347" s="3" t="s">
        <v>8</v>
      </c>
      <c r="H347" s="17"/>
      <c r="I347" s="4">
        <v>271.85000000000002</v>
      </c>
      <c r="J347" s="5">
        <v>-0.317</v>
      </c>
      <c r="K347" s="48">
        <f>ROUND(LOG10(Table1[[#This Row],[Return (keep sorted by this column!)]]+1),2)</f>
        <v>-0.17</v>
      </c>
      <c r="L347" s="48">
        <f>COUNTIF(Table1[Return (keep sorted by this column!)],"&lt;"&amp;Table1[[#This Row],[Return (keep sorted by this column!)]])</f>
        <v>88</v>
      </c>
      <c r="M347" s="76" t="str">
        <f>IF(Table1[[#This Row],[Team]]="David",Table1[[#This Row],[Return (keep sorted by this column!)]],"")</f>
        <v/>
      </c>
      <c r="N347" s="76">
        <f>IF(Table1[[#This Row],[Team]]="Tom",Table1[[#This Row],[Return (keep sorted by this column!)]],"")</f>
        <v>-0.317</v>
      </c>
      <c r="O347" s="5">
        <v>4.0000000000000001E-3</v>
      </c>
      <c r="P347" s="68" t="str">
        <f>IF(Table1[[#This Row],[Team]]="David",Table1[[#This Row],[S&amp;P Return, same period]],"")</f>
        <v/>
      </c>
      <c r="Q347" s="68">
        <f>IF(Table1[[#This Row],[Team]]="Tom",Table1[[#This Row],[S&amp;P Return, same period]],"")</f>
        <v>4.0000000000000001E-3</v>
      </c>
      <c r="R347" s="5">
        <v>-0.32</v>
      </c>
      <c r="S347" s="14" t="str">
        <f>IF(Table1[[#This Row],[Team]]="David",Table1[[#This Row],[Difference Vs. S&amp;P Return]],"")</f>
        <v/>
      </c>
      <c r="T347" s="14">
        <f>IF(Table1[[#This Row],[Team]]="Tom",Table1[[#This Row],[Difference Vs. S&amp;P Return]],"")</f>
        <v>-0.32</v>
      </c>
      <c r="U347" s="14">
        <f>ROUND((1+Table1[[#This Row],[Return (keep sorted by this column!)]])/(1+Table1[[#This Row],[S&amp;P Return, same period]])-1,1)</f>
        <v>-0.3</v>
      </c>
      <c r="V347" s="15" t="str">
        <f>IF(Table1[[#This Row],[Team]]="David",Table1[[#This Row],[Improvement Vs. S&amp;P Return]],"")</f>
        <v/>
      </c>
      <c r="W347" s="15">
        <f>IF(Table1[[#This Row],[Team]]="Tom",Table1[[#This Row],[Improvement Vs. S&amp;P Return]],"")</f>
        <v>-0.3</v>
      </c>
    </row>
    <row r="348" spans="1:23" ht="60" x14ac:dyDescent="0.2">
      <c r="A348" s="1">
        <v>38548</v>
      </c>
      <c r="B348" s="2" t="s">
        <v>648</v>
      </c>
      <c r="C348" s="2">
        <f>SUBTOTAL(103,Table1[[#This Row],[Recommendation Date]])</f>
        <v>1</v>
      </c>
      <c r="D348" s="2">
        <f>1</f>
        <v>1</v>
      </c>
      <c r="E348" s="16" t="s">
        <v>623</v>
      </c>
      <c r="F348" s="3" t="s">
        <v>624</v>
      </c>
      <c r="G348" s="3" t="s">
        <v>8</v>
      </c>
      <c r="H348" s="17"/>
      <c r="I348" s="4">
        <v>28.08</v>
      </c>
      <c r="J348" s="5">
        <v>-0.32400000000000001</v>
      </c>
      <c r="K348" s="48">
        <f>ROUND(LOG10(Table1[[#This Row],[Return (keep sorted by this column!)]]+1),2)</f>
        <v>-0.17</v>
      </c>
      <c r="L348" s="48">
        <f>COUNTIF(Table1[Return (keep sorted by this column!)],"&lt;"&amp;Table1[[#This Row],[Return (keep sorted by this column!)]])</f>
        <v>87</v>
      </c>
      <c r="M348" s="14" t="str">
        <f>IF(Table1[[#This Row],[Team]]="David",Table1[[#This Row],[Return (keep sorted by this column!)]],"")</f>
        <v/>
      </c>
      <c r="N348" s="14">
        <f>IF(Table1[[#This Row],[Team]]="Tom",Table1[[#This Row],[Return (keep sorted by this column!)]],"")</f>
        <v>-0.32400000000000001</v>
      </c>
      <c r="O348" s="5">
        <v>0.19400000000000001</v>
      </c>
      <c r="P348" s="23" t="str">
        <f>IF(Table1[[#This Row],[Team]]="David",Table1[[#This Row],[S&amp;P Return, same period]],"")</f>
        <v/>
      </c>
      <c r="Q348" s="23">
        <f>IF(Table1[[#This Row],[Team]]="Tom",Table1[[#This Row],[S&amp;P Return, same period]],"")</f>
        <v>0.19400000000000001</v>
      </c>
      <c r="R348" s="5">
        <v>-0.51800000000000002</v>
      </c>
      <c r="S348" s="14" t="str">
        <f>IF(Table1[[#This Row],[Team]]="David",Table1[[#This Row],[Difference Vs. S&amp;P Return]],"")</f>
        <v/>
      </c>
      <c r="T348" s="14">
        <f>IF(Table1[[#This Row],[Team]]="Tom",Table1[[#This Row],[Difference Vs. S&amp;P Return]],"")</f>
        <v>-0.51800000000000002</v>
      </c>
      <c r="U348" s="14">
        <f>ROUND((1+Table1[[#This Row],[Return (keep sorted by this column!)]])/(1+Table1[[#This Row],[S&amp;P Return, same period]])-1,1)</f>
        <v>-0.4</v>
      </c>
      <c r="V348" s="15" t="str">
        <f>IF(Table1[[#This Row],[Team]]="David",Table1[[#This Row],[Improvement Vs. S&amp;P Return]],"")</f>
        <v/>
      </c>
      <c r="W348" s="15">
        <f>IF(Table1[[#This Row],[Team]]="Tom",Table1[[#This Row],[Improvement Vs. S&amp;P Return]],"")</f>
        <v>-0.4</v>
      </c>
    </row>
    <row r="349" spans="1:23" ht="30" x14ac:dyDescent="0.2">
      <c r="A349" s="1">
        <v>37904</v>
      </c>
      <c r="B349" s="2" t="s">
        <v>705</v>
      </c>
      <c r="C349" s="2">
        <f>SUBTOTAL(103,Table1[[#This Row],[Recommendation Date]])</f>
        <v>1</v>
      </c>
      <c r="D349" s="2">
        <f>1</f>
        <v>1</v>
      </c>
      <c r="E349" s="16" t="s">
        <v>706</v>
      </c>
      <c r="F349" s="3" t="s">
        <v>41</v>
      </c>
      <c r="G349" s="3" t="s">
        <v>8</v>
      </c>
      <c r="H349" s="17"/>
      <c r="I349" s="4">
        <v>8.01</v>
      </c>
      <c r="J349" s="5">
        <v>-0.33</v>
      </c>
      <c r="K349" s="48">
        <f>ROUND(LOG10(Table1[[#This Row],[Return (keep sorted by this column!)]]+1),2)</f>
        <v>-0.17</v>
      </c>
      <c r="L349" s="48">
        <f>COUNTIF(Table1[Return (keep sorted by this column!)],"&lt;"&amp;Table1[[#This Row],[Return (keep sorted by this column!)]])</f>
        <v>86</v>
      </c>
      <c r="M349" s="14" t="str">
        <f>IF(Table1[[#This Row],[Team]]="David",Table1[[#This Row],[Return (keep sorted by this column!)]],"")</f>
        <v/>
      </c>
      <c r="N349" s="14">
        <f>IF(Table1[[#This Row],[Team]]="Tom",Table1[[#This Row],[Return (keep sorted by this column!)]],"")</f>
        <v>-0.33</v>
      </c>
      <c r="O349" s="5">
        <v>0.248</v>
      </c>
      <c r="P349" s="23" t="str">
        <f>IF(Table1[[#This Row],[Team]]="David",Table1[[#This Row],[S&amp;P Return, same period]],"")</f>
        <v/>
      </c>
      <c r="Q349" s="23">
        <f>IF(Table1[[#This Row],[Team]]="Tom",Table1[[#This Row],[S&amp;P Return, same period]],"")</f>
        <v>0.248</v>
      </c>
      <c r="R349" s="5">
        <v>-0.57899999999999996</v>
      </c>
      <c r="S349" s="14" t="str">
        <f>IF(Table1[[#This Row],[Team]]="David",Table1[[#This Row],[Difference Vs. S&amp;P Return]],"")</f>
        <v/>
      </c>
      <c r="T349" s="14">
        <f>IF(Table1[[#This Row],[Team]]="Tom",Table1[[#This Row],[Difference Vs. S&amp;P Return]],"")</f>
        <v>-0.57899999999999996</v>
      </c>
      <c r="U349" s="14">
        <f>ROUND((1+Table1[[#This Row],[Return (keep sorted by this column!)]])/(1+Table1[[#This Row],[S&amp;P Return, same period]])-1,1)</f>
        <v>-0.5</v>
      </c>
      <c r="V349" s="15" t="str">
        <f>IF(Table1[[#This Row],[Team]]="David",Table1[[#This Row],[Improvement Vs. S&amp;P Return]],"")</f>
        <v/>
      </c>
      <c r="W349" s="15">
        <f>IF(Table1[[#This Row],[Team]]="Tom",Table1[[#This Row],[Improvement Vs. S&amp;P Return]],"")</f>
        <v>-0.5</v>
      </c>
    </row>
    <row r="350" spans="1:23" ht="45" x14ac:dyDescent="0.2">
      <c r="A350" s="1">
        <v>42475</v>
      </c>
      <c r="B350" s="2" t="s">
        <v>211</v>
      </c>
      <c r="C350" s="2">
        <f>SUBTOTAL(103,Table1[[#This Row],[Recommendation Date]])</f>
        <v>1</v>
      </c>
      <c r="D350" s="2">
        <f>1</f>
        <v>1</v>
      </c>
      <c r="E350" s="16" t="s">
        <v>212</v>
      </c>
      <c r="F350" s="3" t="s">
        <v>66</v>
      </c>
      <c r="G350" s="3" t="s">
        <v>8</v>
      </c>
      <c r="H350" s="17"/>
      <c r="I350" s="4">
        <v>63</v>
      </c>
      <c r="J350" s="5">
        <v>-0.33400000000000002</v>
      </c>
      <c r="K350" s="48">
        <f>ROUND(LOG10(Table1[[#This Row],[Return (keep sorted by this column!)]]+1),2)</f>
        <v>-0.18</v>
      </c>
      <c r="L350" s="48">
        <f>COUNTIF(Table1[Return (keep sorted by this column!)],"&lt;"&amp;Table1[[#This Row],[Return (keep sorted by this column!)]])</f>
        <v>85</v>
      </c>
      <c r="M350" s="76" t="str">
        <f>IF(Table1[[#This Row],[Team]]="David",Table1[[#This Row],[Return (keep sorted by this column!)]],"")</f>
        <v/>
      </c>
      <c r="N350" s="76">
        <f>IF(Table1[[#This Row],[Team]]="Tom",Table1[[#This Row],[Return (keep sorted by this column!)]],"")</f>
        <v>-0.33400000000000002</v>
      </c>
      <c r="O350" s="5">
        <v>0.35499999999999998</v>
      </c>
      <c r="P350" s="68" t="str">
        <f>IF(Table1[[#This Row],[Team]]="David",Table1[[#This Row],[S&amp;P Return, same period]],"")</f>
        <v/>
      </c>
      <c r="Q350" s="68">
        <f>IF(Table1[[#This Row],[Team]]="Tom",Table1[[#This Row],[S&amp;P Return, same period]],"")</f>
        <v>0.35499999999999998</v>
      </c>
      <c r="R350" s="5">
        <v>-0.68799999999999994</v>
      </c>
      <c r="S350" s="14" t="str">
        <f>IF(Table1[[#This Row],[Team]]="David",Table1[[#This Row],[Difference Vs. S&amp;P Return]],"")</f>
        <v/>
      </c>
      <c r="T350" s="14">
        <f>IF(Table1[[#This Row],[Team]]="Tom",Table1[[#This Row],[Difference Vs. S&amp;P Return]],"")</f>
        <v>-0.68799999999999994</v>
      </c>
      <c r="U350" s="14">
        <f>ROUND((1+Table1[[#This Row],[Return (keep sorted by this column!)]])/(1+Table1[[#This Row],[S&amp;P Return, same period]])-1,1)</f>
        <v>-0.5</v>
      </c>
      <c r="V350" s="15" t="str">
        <f>IF(Table1[[#This Row],[Team]]="David",Table1[[#This Row],[Improvement Vs. S&amp;P Return]],"")</f>
        <v/>
      </c>
      <c r="W350" s="15">
        <f>IF(Table1[[#This Row],[Team]]="Tom",Table1[[#This Row],[Improvement Vs. S&amp;P Return]],"")</f>
        <v>-0.5</v>
      </c>
    </row>
    <row r="351" spans="1:23" ht="75" x14ac:dyDescent="0.2">
      <c r="A351" s="1">
        <v>37449</v>
      </c>
      <c r="B351" s="2" t="s">
        <v>731</v>
      </c>
      <c r="C351" s="2">
        <f>SUBTOTAL(103,Table1[[#This Row],[Recommendation Date]])</f>
        <v>1</v>
      </c>
      <c r="D351" s="2">
        <f>1</f>
        <v>1</v>
      </c>
      <c r="E351" s="16" t="s">
        <v>732</v>
      </c>
      <c r="F351" s="3" t="s">
        <v>252</v>
      </c>
      <c r="G351" s="3" t="s">
        <v>8</v>
      </c>
      <c r="H351" s="17"/>
      <c r="I351" s="4">
        <v>24.5</v>
      </c>
      <c r="J351" s="5">
        <v>-0.33600000000000002</v>
      </c>
      <c r="K351" s="48">
        <f>ROUND(LOG10(Table1[[#This Row],[Return (keep sorted by this column!)]]+1),2)</f>
        <v>-0.18</v>
      </c>
      <c r="L351" s="48">
        <f>COUNTIF(Table1[Return (keep sorted by this column!)],"&lt;"&amp;Table1[[#This Row],[Return (keep sorted by this column!)]])</f>
        <v>84</v>
      </c>
      <c r="M351" s="14" t="str">
        <f>IF(Table1[[#This Row],[Team]]="David",Table1[[#This Row],[Return (keep sorted by this column!)]],"")</f>
        <v/>
      </c>
      <c r="N351" s="14">
        <f>IF(Table1[[#This Row],[Team]]="Tom",Table1[[#This Row],[Return (keep sorted by this column!)]],"")</f>
        <v>-0.33600000000000002</v>
      </c>
      <c r="O351" s="5">
        <v>9.6000000000000002E-2</v>
      </c>
      <c r="P351" s="23" t="str">
        <f>IF(Table1[[#This Row],[Team]]="David",Table1[[#This Row],[S&amp;P Return, same period]],"")</f>
        <v/>
      </c>
      <c r="Q351" s="23">
        <f>IF(Table1[[#This Row],[Team]]="Tom",Table1[[#This Row],[S&amp;P Return, same period]],"")</f>
        <v>9.6000000000000002E-2</v>
      </c>
      <c r="R351" s="5">
        <v>-0.432</v>
      </c>
      <c r="S351" s="14" t="str">
        <f>IF(Table1[[#This Row],[Team]]="David",Table1[[#This Row],[Difference Vs. S&amp;P Return]],"")</f>
        <v/>
      </c>
      <c r="T351" s="14">
        <f>IF(Table1[[#This Row],[Team]]="Tom",Table1[[#This Row],[Difference Vs. S&amp;P Return]],"")</f>
        <v>-0.432</v>
      </c>
      <c r="U351" s="14">
        <f>ROUND((1+Table1[[#This Row],[Return (keep sorted by this column!)]])/(1+Table1[[#This Row],[S&amp;P Return, same period]])-1,1)</f>
        <v>-0.4</v>
      </c>
      <c r="V351" s="15" t="str">
        <f>IF(Table1[[#This Row],[Team]]="David",Table1[[#This Row],[Improvement Vs. S&amp;P Return]],"")</f>
        <v/>
      </c>
      <c r="W351" s="15">
        <f>IF(Table1[[#This Row],[Team]]="Tom",Table1[[#This Row],[Improvement Vs. S&amp;P Return]],"")</f>
        <v>-0.4</v>
      </c>
    </row>
    <row r="352" spans="1:23" ht="60" x14ac:dyDescent="0.2">
      <c r="A352" s="1">
        <v>37603</v>
      </c>
      <c r="B352" s="2" t="s">
        <v>722</v>
      </c>
      <c r="C352" s="2">
        <f>SUBTOTAL(103,Table1[[#This Row],[Recommendation Date]])</f>
        <v>1</v>
      </c>
      <c r="D352" s="2">
        <f>1</f>
        <v>1</v>
      </c>
      <c r="E352" s="16" t="s">
        <v>723</v>
      </c>
      <c r="F352" s="3" t="s">
        <v>15</v>
      </c>
      <c r="G352" s="3" t="s">
        <v>12</v>
      </c>
      <c r="H352" s="17"/>
      <c r="I352" s="4">
        <v>71.48</v>
      </c>
      <c r="J352" s="5">
        <v>-0.33700000000000002</v>
      </c>
      <c r="K352" s="48">
        <f>ROUND(LOG10(Table1[[#This Row],[Return (keep sorted by this column!)]]+1),2)</f>
        <v>-0.18</v>
      </c>
      <c r="L352" s="48">
        <f>COUNTIF(Table1[Return (keep sorted by this column!)],"&lt;"&amp;Table1[[#This Row],[Return (keep sorted by this column!)]])</f>
        <v>83</v>
      </c>
      <c r="M352" s="14">
        <f>IF(Table1[[#This Row],[Team]]="David",Table1[[#This Row],[Return (keep sorted by this column!)]],"")</f>
        <v>-0.33700000000000002</v>
      </c>
      <c r="N352" s="14" t="str">
        <f>IF(Table1[[#This Row],[Team]]="Tom",Table1[[#This Row],[Return (keep sorted by this column!)]],"")</f>
        <v/>
      </c>
      <c r="O352" s="5">
        <v>0.13400000000000001</v>
      </c>
      <c r="P352" s="23">
        <f>IF(Table1[[#This Row],[Team]]="David",Table1[[#This Row],[S&amp;P Return, same period]],"")</f>
        <v>0.13400000000000001</v>
      </c>
      <c r="Q352" s="23" t="str">
        <f>IF(Table1[[#This Row],[Team]]="Tom",Table1[[#This Row],[S&amp;P Return, same period]],"")</f>
        <v/>
      </c>
      <c r="R352" s="5">
        <v>-0.47099999999999997</v>
      </c>
      <c r="S352" s="14">
        <f>IF(Table1[[#This Row],[Team]]="David",Table1[[#This Row],[Difference Vs. S&amp;P Return]],"")</f>
        <v>-0.47099999999999997</v>
      </c>
      <c r="T352" s="14" t="str">
        <f>IF(Table1[[#This Row],[Team]]="Tom",Table1[[#This Row],[Difference Vs. S&amp;P Return]],"")</f>
        <v/>
      </c>
      <c r="U352" s="14">
        <f>ROUND((1+Table1[[#This Row],[Return (keep sorted by this column!)]])/(1+Table1[[#This Row],[S&amp;P Return, same period]])-1,1)</f>
        <v>-0.4</v>
      </c>
      <c r="V352" s="15">
        <f>IF(Table1[[#This Row],[Team]]="David",Table1[[#This Row],[Improvement Vs. S&amp;P Return]],"")</f>
        <v>-0.4</v>
      </c>
      <c r="W352" s="15" t="str">
        <f>IF(Table1[[#This Row],[Team]]="Tom",Table1[[#This Row],[Improvement Vs. S&amp;P Return]],"")</f>
        <v/>
      </c>
    </row>
    <row r="353" spans="1:23" ht="60" x14ac:dyDescent="0.2">
      <c r="A353" s="42">
        <v>39619</v>
      </c>
      <c r="B353" s="32" t="s">
        <v>543</v>
      </c>
      <c r="C353" s="32">
        <f>SUBTOTAL(103,Table1[[#This Row],[Recommendation Date]])</f>
        <v>1</v>
      </c>
      <c r="D353" s="32">
        <f>1</f>
        <v>1</v>
      </c>
      <c r="E353" s="33" t="s">
        <v>544</v>
      </c>
      <c r="F353" s="34" t="s">
        <v>36</v>
      </c>
      <c r="G353" s="34" t="s">
        <v>8</v>
      </c>
      <c r="H353" s="38"/>
      <c r="I353" s="36">
        <v>24.82</v>
      </c>
      <c r="J353" s="37">
        <v>-0.34</v>
      </c>
      <c r="K353" s="49">
        <f>ROUND(LOG10(Table1[[#This Row],[Return (keep sorted by this column!)]]+1),2)</f>
        <v>-0.18</v>
      </c>
      <c r="L353" s="49">
        <f>COUNTIF(Table1[Return (keep sorted by this column!)],"&lt;"&amp;Table1[[#This Row],[Return (keep sorted by this column!)]])</f>
        <v>82</v>
      </c>
      <c r="M353" s="14" t="str">
        <f>IF(Table1[[#This Row],[Team]]="David",Table1[[#This Row],[Return (keep sorted by this column!)]],"")</f>
        <v/>
      </c>
      <c r="N353" s="14">
        <f>IF(Table1[[#This Row],[Team]]="Tom",Table1[[#This Row],[Return (keep sorted by this column!)]],"")</f>
        <v>-0.34</v>
      </c>
      <c r="O353" s="37">
        <v>1E-3</v>
      </c>
      <c r="P353" s="23" t="str">
        <f>IF(Table1[[#This Row],[Team]]="David",Table1[[#This Row],[S&amp;P Return, same period]],"")</f>
        <v/>
      </c>
      <c r="Q353" s="23">
        <f>IF(Table1[[#This Row],[Team]]="Tom",Table1[[#This Row],[S&amp;P Return, same period]],"")</f>
        <v>1E-3</v>
      </c>
      <c r="R353" s="37">
        <v>-0.34100000000000003</v>
      </c>
      <c r="S353" s="14" t="str">
        <f>IF(Table1[[#This Row],[Team]]="David",Table1[[#This Row],[Difference Vs. S&amp;P Return]],"")</f>
        <v/>
      </c>
      <c r="T353" s="14">
        <f>IF(Table1[[#This Row],[Team]]="Tom",Table1[[#This Row],[Difference Vs. S&amp;P Return]],"")</f>
        <v>-0.34100000000000003</v>
      </c>
      <c r="U353" s="14">
        <f>ROUND((1+Table1[[#This Row],[Return (keep sorted by this column!)]])/(1+Table1[[#This Row],[S&amp;P Return, same period]])-1,1)</f>
        <v>-0.3</v>
      </c>
      <c r="V353" s="15" t="str">
        <f>IF(Table1[[#This Row],[Team]]="David",Table1[[#This Row],[Improvement Vs. S&amp;P Return]],"")</f>
        <v/>
      </c>
      <c r="W353" s="15">
        <f>IF(Table1[[#This Row],[Team]]="Tom",Table1[[#This Row],[Improvement Vs. S&amp;P Return]],"")</f>
        <v>-0.3</v>
      </c>
    </row>
    <row r="354" spans="1:23" ht="17" x14ac:dyDescent="0.2">
      <c r="A354" s="18">
        <v>41964</v>
      </c>
      <c r="B354" s="2" t="s">
        <v>283</v>
      </c>
      <c r="C354" s="2">
        <f>SUBTOTAL(103,Table1[[#This Row],[Recommendation Date]])</f>
        <v>1</v>
      </c>
      <c r="D354" s="2">
        <f>1</f>
        <v>1</v>
      </c>
      <c r="E354" s="16" t="s">
        <v>283</v>
      </c>
      <c r="F354" s="3" t="s">
        <v>15</v>
      </c>
      <c r="G354" s="3" t="s">
        <v>12</v>
      </c>
      <c r="H354" s="16">
        <v>16</v>
      </c>
      <c r="I354" s="4">
        <v>29.46</v>
      </c>
      <c r="J354" s="5">
        <v>-0.34200000000000003</v>
      </c>
      <c r="K354" s="48">
        <f>ROUND(LOG10(Table1[[#This Row],[Return (keep sorted by this column!)]]+1),2)</f>
        <v>-0.18</v>
      </c>
      <c r="L354" s="48">
        <f>COUNTIF(Table1[Return (keep sorted by this column!)],"&lt;"&amp;Table1[[#This Row],[Return (keep sorted by this column!)]])</f>
        <v>81</v>
      </c>
      <c r="M354" s="76">
        <f>IF(Table1[[#This Row],[Team]]="David",Table1[[#This Row],[Return (keep sorted by this column!)]],"")</f>
        <v>-0.34200000000000003</v>
      </c>
      <c r="N354" s="76" t="str">
        <f>IF(Table1[[#This Row],[Team]]="Tom",Table1[[#This Row],[Return (keep sorted by this column!)]],"")</f>
        <v/>
      </c>
      <c r="O354" s="5">
        <v>0.48299999999999998</v>
      </c>
      <c r="P354" s="68">
        <f>IF(Table1[[#This Row],[Team]]="David",Table1[[#This Row],[S&amp;P Return, same period]],"")</f>
        <v>0.48299999999999998</v>
      </c>
      <c r="Q354" s="68" t="str">
        <f>IF(Table1[[#This Row],[Team]]="Tom",Table1[[#This Row],[S&amp;P Return, same period]],"")</f>
        <v/>
      </c>
      <c r="R354" s="5">
        <v>-0.82499999999999996</v>
      </c>
      <c r="S354" s="14">
        <f>IF(Table1[[#This Row],[Team]]="David",Table1[[#This Row],[Difference Vs. S&amp;P Return]],"")</f>
        <v>-0.82499999999999996</v>
      </c>
      <c r="T354" s="14" t="str">
        <f>IF(Table1[[#This Row],[Team]]="Tom",Table1[[#This Row],[Difference Vs. S&amp;P Return]],"")</f>
        <v/>
      </c>
      <c r="U354" s="14">
        <f>ROUND((1+Table1[[#This Row],[Return (keep sorted by this column!)]])/(1+Table1[[#This Row],[S&amp;P Return, same period]])-1,1)</f>
        <v>-0.6</v>
      </c>
      <c r="V354" s="15">
        <f>IF(Table1[[#This Row],[Team]]="David",Table1[[#This Row],[Improvement Vs. S&amp;P Return]],"")</f>
        <v>-0.6</v>
      </c>
      <c r="W354" s="15" t="str">
        <f>IF(Table1[[#This Row],[Team]]="Tom",Table1[[#This Row],[Improvement Vs. S&amp;P Return]],"")</f>
        <v/>
      </c>
    </row>
    <row r="355" spans="1:23" ht="17" x14ac:dyDescent="0.2">
      <c r="A355" s="18">
        <v>42902</v>
      </c>
      <c r="B355" s="2" t="s">
        <v>153</v>
      </c>
      <c r="C355" s="2">
        <f>SUBTOTAL(103,Table1[[#This Row],[Recommendation Date]])</f>
        <v>1</v>
      </c>
      <c r="D355" s="2">
        <f>1</f>
        <v>1</v>
      </c>
      <c r="E355" s="16" t="s">
        <v>154</v>
      </c>
      <c r="F355" s="3" t="s">
        <v>130</v>
      </c>
      <c r="G355" s="3" t="s">
        <v>12</v>
      </c>
      <c r="H355" s="16">
        <v>13</v>
      </c>
      <c r="I355" s="4">
        <v>47.26</v>
      </c>
      <c r="J355" s="5">
        <v>-0.34399999999999997</v>
      </c>
      <c r="K355" s="48">
        <f>ROUND(LOG10(Table1[[#This Row],[Return (keep sorted by this column!)]]+1),2)</f>
        <v>-0.18</v>
      </c>
      <c r="L355" s="48">
        <f>COUNTIF(Table1[Return (keep sorted by this column!)],"&lt;"&amp;Table1[[#This Row],[Return (keep sorted by this column!)]])</f>
        <v>80</v>
      </c>
      <c r="M355" s="76">
        <f>IF(Table1[[#This Row],[Team]]="David",Table1[[#This Row],[Return (keep sorted by this column!)]],"")</f>
        <v>-0.34399999999999997</v>
      </c>
      <c r="N355" s="76" t="str">
        <f>IF(Table1[[#This Row],[Team]]="Tom",Table1[[#This Row],[Return (keep sorted by this column!)]],"")</f>
        <v/>
      </c>
      <c r="O355" s="5">
        <v>0.191</v>
      </c>
      <c r="P355" s="68">
        <f>IF(Table1[[#This Row],[Team]]="David",Table1[[#This Row],[S&amp;P Return, same period]],"")</f>
        <v>0.191</v>
      </c>
      <c r="Q355" s="68" t="str">
        <f>IF(Table1[[#This Row],[Team]]="Tom",Table1[[#This Row],[S&amp;P Return, same period]],"")</f>
        <v/>
      </c>
      <c r="R355" s="5">
        <v>-0.53400000000000003</v>
      </c>
      <c r="S355" s="14">
        <f>IF(Table1[[#This Row],[Team]]="David",Table1[[#This Row],[Difference Vs. S&amp;P Return]],"")</f>
        <v>-0.53400000000000003</v>
      </c>
      <c r="T355" s="14" t="str">
        <f>IF(Table1[[#This Row],[Team]]="Tom",Table1[[#This Row],[Difference Vs. S&amp;P Return]],"")</f>
        <v/>
      </c>
      <c r="U355" s="14">
        <f>ROUND((1+Table1[[#This Row],[Return (keep sorted by this column!)]])/(1+Table1[[#This Row],[S&amp;P Return, same period]])-1,1)</f>
        <v>-0.4</v>
      </c>
      <c r="V355" s="15">
        <f>IF(Table1[[#This Row],[Team]]="David",Table1[[#This Row],[Improvement Vs. S&amp;P Return]],"")</f>
        <v>-0.4</v>
      </c>
      <c r="W355" s="15" t="str">
        <f>IF(Table1[[#This Row],[Team]]="Tom",Table1[[#This Row],[Improvement Vs. S&amp;P Return]],"")</f>
        <v/>
      </c>
    </row>
    <row r="356" spans="1:23" ht="60" x14ac:dyDescent="0.2">
      <c r="A356" s="1">
        <v>40011</v>
      </c>
      <c r="B356" s="2" t="s">
        <v>501</v>
      </c>
      <c r="C356" s="2">
        <f>SUBTOTAL(103,Table1[[#This Row],[Recommendation Date]])</f>
        <v>1</v>
      </c>
      <c r="D356" s="2">
        <f>1</f>
        <v>1</v>
      </c>
      <c r="E356" s="16" t="s">
        <v>502</v>
      </c>
      <c r="F356" s="3" t="s">
        <v>503</v>
      </c>
      <c r="G356" s="3" t="s">
        <v>12</v>
      </c>
      <c r="H356" s="16">
        <v>17</v>
      </c>
      <c r="I356" s="4">
        <v>10.3</v>
      </c>
      <c r="J356" s="5">
        <v>-0.34799999999999998</v>
      </c>
      <c r="K356" s="48">
        <f>ROUND(LOG10(Table1[[#This Row],[Return (keep sorted by this column!)]]+1),2)</f>
        <v>-0.19</v>
      </c>
      <c r="L356" s="48">
        <f>COUNTIF(Table1[Return (keep sorted by this column!)],"&lt;"&amp;Table1[[#This Row],[Return (keep sorted by this column!)]])</f>
        <v>79</v>
      </c>
      <c r="M356" s="14">
        <f>IF(Table1[[#This Row],[Team]]="David",Table1[[#This Row],[Return (keep sorted by this column!)]],"")</f>
        <v>-0.34799999999999998</v>
      </c>
      <c r="N356" s="14" t="str">
        <f>IF(Table1[[#This Row],[Team]]="Tom",Table1[[#This Row],[Return (keep sorted by this column!)]],"")</f>
        <v/>
      </c>
      <c r="O356" s="5">
        <v>3.1539999999999999</v>
      </c>
      <c r="P356" s="23">
        <f>IF(Table1[[#This Row],[Team]]="David",Table1[[#This Row],[S&amp;P Return, same period]],"")</f>
        <v>3.1539999999999999</v>
      </c>
      <c r="Q356" s="23" t="str">
        <f>IF(Table1[[#This Row],[Team]]="Tom",Table1[[#This Row],[S&amp;P Return, same period]],"")</f>
        <v/>
      </c>
      <c r="R356" s="5">
        <v>-3.5019999999999998</v>
      </c>
      <c r="S356" s="14">
        <f>IF(Table1[[#This Row],[Team]]="David",Table1[[#This Row],[Difference Vs. S&amp;P Return]],"")</f>
        <v>-3.5019999999999998</v>
      </c>
      <c r="T356" s="14" t="str">
        <f>IF(Table1[[#This Row],[Team]]="Tom",Table1[[#This Row],[Difference Vs. S&amp;P Return]],"")</f>
        <v/>
      </c>
      <c r="U356" s="14">
        <f>ROUND((1+Table1[[#This Row],[Return (keep sorted by this column!)]])/(1+Table1[[#This Row],[S&amp;P Return, same period]])-1,1)</f>
        <v>-0.8</v>
      </c>
      <c r="V356" s="15">
        <f>IF(Table1[[#This Row],[Team]]="David",Table1[[#This Row],[Improvement Vs. S&amp;P Return]],"")</f>
        <v>-0.8</v>
      </c>
      <c r="W356" s="15" t="str">
        <f>IF(Table1[[#This Row],[Team]]="Tom",Table1[[#This Row],[Improvement Vs. S&amp;P Return]],"")</f>
        <v/>
      </c>
    </row>
    <row r="357" spans="1:23" ht="17" x14ac:dyDescent="0.2">
      <c r="A357" s="18">
        <v>42783</v>
      </c>
      <c r="B357" s="2" t="s">
        <v>170</v>
      </c>
      <c r="C357" s="2">
        <f>SUBTOTAL(103,Table1[[#This Row],[Recommendation Date]])</f>
        <v>1</v>
      </c>
      <c r="D357" s="2">
        <f>1</f>
        <v>1</v>
      </c>
      <c r="E357" s="16" t="s">
        <v>171</v>
      </c>
      <c r="F357" s="3" t="s">
        <v>41</v>
      </c>
      <c r="G357" s="3" t="s">
        <v>8</v>
      </c>
      <c r="H357" s="17"/>
      <c r="I357" s="4">
        <v>40.25</v>
      </c>
      <c r="J357" s="5">
        <v>-0.35299999999999998</v>
      </c>
      <c r="K357" s="48">
        <f>ROUND(LOG10(Table1[[#This Row],[Return (keep sorted by this column!)]]+1),2)</f>
        <v>-0.19</v>
      </c>
      <c r="L357" s="48">
        <f>COUNTIF(Table1[Return (keep sorted by this column!)],"&lt;"&amp;Table1[[#This Row],[Return (keep sorted by this column!)]])</f>
        <v>78</v>
      </c>
      <c r="M357" s="76" t="str">
        <f>IF(Table1[[#This Row],[Team]]="David",Table1[[#This Row],[Return (keep sorted by this column!)]],"")</f>
        <v/>
      </c>
      <c r="N357" s="76">
        <f>IF(Table1[[#This Row],[Team]]="Tom",Table1[[#This Row],[Return (keep sorted by this column!)]],"")</f>
        <v>-0.35299999999999998</v>
      </c>
      <c r="O357" s="5">
        <v>0.24099999999999999</v>
      </c>
      <c r="P357" s="68" t="str">
        <f>IF(Table1[[#This Row],[Team]]="David",Table1[[#This Row],[S&amp;P Return, same period]],"")</f>
        <v/>
      </c>
      <c r="Q357" s="68">
        <f>IF(Table1[[#This Row],[Team]]="Tom",Table1[[#This Row],[S&amp;P Return, same period]],"")</f>
        <v>0.24099999999999999</v>
      </c>
      <c r="R357" s="5">
        <v>-0.59399999999999997</v>
      </c>
      <c r="S357" s="14" t="str">
        <f>IF(Table1[[#This Row],[Team]]="David",Table1[[#This Row],[Difference Vs. S&amp;P Return]],"")</f>
        <v/>
      </c>
      <c r="T357" s="14">
        <f>IF(Table1[[#This Row],[Team]]="Tom",Table1[[#This Row],[Difference Vs. S&amp;P Return]],"")</f>
        <v>-0.59399999999999997</v>
      </c>
      <c r="U357" s="14">
        <f>ROUND((1+Table1[[#This Row],[Return (keep sorted by this column!)]])/(1+Table1[[#This Row],[S&amp;P Return, same period]])-1,1)</f>
        <v>-0.5</v>
      </c>
      <c r="V357" s="15" t="str">
        <f>IF(Table1[[#This Row],[Team]]="David",Table1[[#This Row],[Improvement Vs. S&amp;P Return]],"")</f>
        <v/>
      </c>
      <c r="W357" s="15">
        <f>IF(Table1[[#This Row],[Team]]="Tom",Table1[[#This Row],[Improvement Vs. S&amp;P Return]],"")</f>
        <v>-0.5</v>
      </c>
    </row>
    <row r="358" spans="1:23" ht="30" x14ac:dyDescent="0.2">
      <c r="A358" s="18">
        <v>42692</v>
      </c>
      <c r="B358" s="2" t="s">
        <v>181</v>
      </c>
      <c r="C358" s="2">
        <f>SUBTOTAL(103,Table1[[#This Row],[Recommendation Date]])</f>
        <v>1</v>
      </c>
      <c r="D358" s="2">
        <f>1</f>
        <v>1</v>
      </c>
      <c r="E358" s="16" t="s">
        <v>182</v>
      </c>
      <c r="F358" s="3" t="s">
        <v>58</v>
      </c>
      <c r="G358" s="3" t="s">
        <v>12</v>
      </c>
      <c r="H358" s="16">
        <v>12</v>
      </c>
      <c r="I358" s="4">
        <v>20.73</v>
      </c>
      <c r="J358" s="5">
        <v>-0.35399999999999998</v>
      </c>
      <c r="K358" s="48">
        <f>ROUND(LOG10(Table1[[#This Row],[Return (keep sorted by this column!)]]+1),2)</f>
        <v>-0.19</v>
      </c>
      <c r="L358" s="48">
        <f>COUNTIF(Table1[Return (keep sorted by this column!)],"&lt;"&amp;Table1[[#This Row],[Return (keep sorted by this column!)]])</f>
        <v>77</v>
      </c>
      <c r="M358" s="76">
        <f>IF(Table1[[#This Row],[Team]]="David",Table1[[#This Row],[Return (keep sorted by this column!)]],"")</f>
        <v>-0.35399999999999998</v>
      </c>
      <c r="N358" s="76" t="str">
        <f>IF(Table1[[#This Row],[Team]]="Tom",Table1[[#This Row],[Return (keep sorted by this column!)]],"")</f>
        <v/>
      </c>
      <c r="O358" s="5">
        <v>0.34399999999999997</v>
      </c>
      <c r="P358" s="68">
        <f>IF(Table1[[#This Row],[Team]]="David",Table1[[#This Row],[S&amp;P Return, same period]],"")</f>
        <v>0.34399999999999997</v>
      </c>
      <c r="Q358" s="68" t="str">
        <f>IF(Table1[[#This Row],[Team]]="Tom",Table1[[#This Row],[S&amp;P Return, same period]],"")</f>
        <v/>
      </c>
      <c r="R358" s="5">
        <v>-0.69799999999999995</v>
      </c>
      <c r="S358" s="14">
        <f>IF(Table1[[#This Row],[Team]]="David",Table1[[#This Row],[Difference Vs. S&amp;P Return]],"")</f>
        <v>-0.69799999999999995</v>
      </c>
      <c r="T358" s="14" t="str">
        <f>IF(Table1[[#This Row],[Team]]="Tom",Table1[[#This Row],[Difference Vs. S&amp;P Return]],"")</f>
        <v/>
      </c>
      <c r="U358" s="14">
        <f>ROUND((1+Table1[[#This Row],[Return (keep sorted by this column!)]])/(1+Table1[[#This Row],[S&amp;P Return, same period]])-1,1)</f>
        <v>-0.5</v>
      </c>
      <c r="V358" s="15">
        <f>IF(Table1[[#This Row],[Team]]="David",Table1[[#This Row],[Improvement Vs. S&amp;P Return]],"")</f>
        <v>-0.5</v>
      </c>
      <c r="W358" s="15" t="str">
        <f>IF(Table1[[#This Row],[Team]]="Tom",Table1[[#This Row],[Improvement Vs. S&amp;P Return]],"")</f>
        <v/>
      </c>
    </row>
    <row r="359" spans="1:23" ht="60" x14ac:dyDescent="0.2">
      <c r="A359" s="1">
        <v>38338</v>
      </c>
      <c r="B359" s="2" t="s">
        <v>429</v>
      </c>
      <c r="C359" s="2">
        <f>SUBTOTAL(103,Table1[[#This Row],[Recommendation Date]])</f>
        <v>1</v>
      </c>
      <c r="D359" s="2">
        <f>1</f>
        <v>1</v>
      </c>
      <c r="E359" s="16" t="s">
        <v>430</v>
      </c>
      <c r="F359" s="3" t="s">
        <v>150</v>
      </c>
      <c r="G359" s="3" t="s">
        <v>8</v>
      </c>
      <c r="H359" s="17"/>
      <c r="I359" s="4">
        <v>11.8</v>
      </c>
      <c r="J359" s="5">
        <v>-0.35799999999999998</v>
      </c>
      <c r="K359" s="48">
        <f>ROUND(LOG10(Table1[[#This Row],[Return (keep sorted by this column!)]]+1),2)</f>
        <v>-0.19</v>
      </c>
      <c r="L359" s="48">
        <f>COUNTIF(Table1[Return (keep sorted by this column!)],"&lt;"&amp;Table1[[#This Row],[Return (keep sorted by this column!)]])</f>
        <v>76</v>
      </c>
      <c r="M359" s="14" t="str">
        <f>IF(Table1[[#This Row],[Team]]="David",Table1[[#This Row],[Return (keep sorted by this column!)]],"")</f>
        <v/>
      </c>
      <c r="N359" s="14">
        <f>IF(Table1[[#This Row],[Team]]="Tom",Table1[[#This Row],[Return (keep sorted by this column!)]],"")</f>
        <v>-0.35799999999999998</v>
      </c>
      <c r="O359" s="5">
        <v>1.1499999999999999</v>
      </c>
      <c r="P359" s="23" t="str">
        <f>IF(Table1[[#This Row],[Team]]="David",Table1[[#This Row],[S&amp;P Return, same period]],"")</f>
        <v/>
      </c>
      <c r="Q359" s="23">
        <f>IF(Table1[[#This Row],[Team]]="Tom",Table1[[#This Row],[S&amp;P Return, same period]],"")</f>
        <v>1.1499999999999999</v>
      </c>
      <c r="R359" s="5">
        <v>-1.5089999999999999</v>
      </c>
      <c r="S359" s="14" t="str">
        <f>IF(Table1[[#This Row],[Team]]="David",Table1[[#This Row],[Difference Vs. S&amp;P Return]],"")</f>
        <v/>
      </c>
      <c r="T359" s="14">
        <f>IF(Table1[[#This Row],[Team]]="Tom",Table1[[#This Row],[Difference Vs. S&amp;P Return]],"")</f>
        <v>-1.5089999999999999</v>
      </c>
      <c r="U359" s="14">
        <f>ROUND((1+Table1[[#This Row],[Return (keep sorted by this column!)]])/(1+Table1[[#This Row],[S&amp;P Return, same period]])-1,1)</f>
        <v>-0.7</v>
      </c>
      <c r="V359" s="15" t="str">
        <f>IF(Table1[[#This Row],[Team]]="David",Table1[[#This Row],[Improvement Vs. S&amp;P Return]],"")</f>
        <v/>
      </c>
      <c r="W359" s="15">
        <f>IF(Table1[[#This Row],[Team]]="Tom",Table1[[#This Row],[Improvement Vs. S&amp;P Return]],"")</f>
        <v>-0.7</v>
      </c>
    </row>
    <row r="360" spans="1:23" ht="30" x14ac:dyDescent="0.2">
      <c r="A360" s="18">
        <v>41138</v>
      </c>
      <c r="B360" s="2" t="s">
        <v>230</v>
      </c>
      <c r="C360" s="2">
        <f>SUBTOTAL(103,Table1[[#This Row],[Recommendation Date]])</f>
        <v>1</v>
      </c>
      <c r="D360" s="2">
        <f>1</f>
        <v>1</v>
      </c>
      <c r="E360" s="16" t="s">
        <v>231</v>
      </c>
      <c r="F360" s="3" t="s">
        <v>232</v>
      </c>
      <c r="G360" s="3" t="s">
        <v>12</v>
      </c>
      <c r="H360" s="16">
        <v>10</v>
      </c>
      <c r="I360" s="4">
        <v>25.15</v>
      </c>
      <c r="J360" s="5">
        <v>-0.36</v>
      </c>
      <c r="K360" s="48">
        <f>ROUND(LOG10(Table1[[#This Row],[Return (keep sorted by this column!)]]+1),2)</f>
        <v>-0.19</v>
      </c>
      <c r="L360" s="48">
        <f>COUNTIF(Table1[Return (keep sorted by this column!)],"&lt;"&amp;Table1[[#This Row],[Return (keep sorted by this column!)]])</f>
        <v>75</v>
      </c>
      <c r="M360" s="76">
        <f>IF(Table1[[#This Row],[Team]]="David",Table1[[#This Row],[Return (keep sorted by this column!)]],"")</f>
        <v>-0.36</v>
      </c>
      <c r="N360" s="76" t="str">
        <f>IF(Table1[[#This Row],[Team]]="Tom",Table1[[#This Row],[Return (keep sorted by this column!)]],"")</f>
        <v/>
      </c>
      <c r="O360" s="5">
        <v>1.2649999999999999</v>
      </c>
      <c r="P360" s="68">
        <f>IF(Table1[[#This Row],[Team]]="David",Table1[[#This Row],[S&amp;P Return, same period]],"")</f>
        <v>1.2649999999999999</v>
      </c>
      <c r="Q360" s="68" t="str">
        <f>IF(Table1[[#This Row],[Team]]="Tom",Table1[[#This Row],[S&amp;P Return, same period]],"")</f>
        <v/>
      </c>
      <c r="R360" s="5">
        <v>-1.625</v>
      </c>
      <c r="S360" s="14">
        <f>IF(Table1[[#This Row],[Team]]="David",Table1[[#This Row],[Difference Vs. S&amp;P Return]],"")</f>
        <v>-1.625</v>
      </c>
      <c r="T360" s="14" t="str">
        <f>IF(Table1[[#This Row],[Team]]="Tom",Table1[[#This Row],[Difference Vs. S&amp;P Return]],"")</f>
        <v/>
      </c>
      <c r="U360" s="14">
        <f>ROUND((1+Table1[[#This Row],[Return (keep sorted by this column!)]])/(1+Table1[[#This Row],[S&amp;P Return, same period]])-1,1)</f>
        <v>-0.7</v>
      </c>
      <c r="V360" s="15">
        <f>IF(Table1[[#This Row],[Team]]="David",Table1[[#This Row],[Improvement Vs. S&amp;P Return]],"")</f>
        <v>-0.7</v>
      </c>
      <c r="W360" s="15" t="str">
        <f>IF(Table1[[#This Row],[Team]]="Tom",Table1[[#This Row],[Improvement Vs. S&amp;P Return]],"")</f>
        <v/>
      </c>
    </row>
    <row r="361" spans="1:23" ht="45" x14ac:dyDescent="0.2">
      <c r="A361" s="18">
        <v>42811</v>
      </c>
      <c r="B361" s="2" t="s">
        <v>165</v>
      </c>
      <c r="C361" s="2">
        <f>SUBTOTAL(103,Table1[[#This Row],[Recommendation Date]])</f>
        <v>1</v>
      </c>
      <c r="D361" s="2">
        <f>1</f>
        <v>1</v>
      </c>
      <c r="E361" s="16" t="s">
        <v>166</v>
      </c>
      <c r="F361" s="3" t="s">
        <v>66</v>
      </c>
      <c r="G361" s="3" t="s">
        <v>8</v>
      </c>
      <c r="H361" s="17"/>
      <c r="I361" s="4">
        <v>51.23</v>
      </c>
      <c r="J361" s="5">
        <v>-0.36099999999999999</v>
      </c>
      <c r="K361" s="48">
        <f>ROUND(LOG10(Table1[[#This Row],[Return (keep sorted by this column!)]]+1),2)</f>
        <v>-0.19</v>
      </c>
      <c r="L361" s="48">
        <f>COUNTIF(Table1[Return (keep sorted by this column!)],"&lt;"&amp;Table1[[#This Row],[Return (keep sorted by this column!)]])</f>
        <v>74</v>
      </c>
      <c r="M361" s="76" t="str">
        <f>IF(Table1[[#This Row],[Team]]="David",Table1[[#This Row],[Return (keep sorted by this column!)]],"")</f>
        <v/>
      </c>
      <c r="N361" s="76">
        <f>IF(Table1[[#This Row],[Team]]="Tom",Table1[[#This Row],[Return (keep sorted by this column!)]],"")</f>
        <v>-0.36099999999999999</v>
      </c>
      <c r="O361" s="5">
        <v>0.22500000000000001</v>
      </c>
      <c r="P361" s="68" t="str">
        <f>IF(Table1[[#This Row],[Team]]="David",Table1[[#This Row],[S&amp;P Return, same period]],"")</f>
        <v/>
      </c>
      <c r="Q361" s="68">
        <f>IF(Table1[[#This Row],[Team]]="Tom",Table1[[#This Row],[S&amp;P Return, same period]],"")</f>
        <v>0.22500000000000001</v>
      </c>
      <c r="R361" s="5">
        <v>-0.58499999999999996</v>
      </c>
      <c r="S361" s="14" t="str">
        <f>IF(Table1[[#This Row],[Team]]="David",Table1[[#This Row],[Difference Vs. S&amp;P Return]],"")</f>
        <v/>
      </c>
      <c r="T361" s="14">
        <f>IF(Table1[[#This Row],[Team]]="Tom",Table1[[#This Row],[Difference Vs. S&amp;P Return]],"")</f>
        <v>-0.58499999999999996</v>
      </c>
      <c r="U361" s="14">
        <f>ROUND((1+Table1[[#This Row],[Return (keep sorted by this column!)]])/(1+Table1[[#This Row],[S&amp;P Return, same period]])-1,1)</f>
        <v>-0.5</v>
      </c>
      <c r="V361" s="15" t="str">
        <f>IF(Table1[[#This Row],[Team]]="David",Table1[[#This Row],[Improvement Vs. S&amp;P Return]],"")</f>
        <v/>
      </c>
      <c r="W361" s="15">
        <f>IF(Table1[[#This Row],[Team]]="Tom",Table1[[#This Row],[Improvement Vs. S&amp;P Return]],"")</f>
        <v>-0.5</v>
      </c>
    </row>
    <row r="362" spans="1:23" ht="17" x14ac:dyDescent="0.2">
      <c r="A362" s="18">
        <v>40928</v>
      </c>
      <c r="B362" s="2" t="s">
        <v>375</v>
      </c>
      <c r="C362" s="2">
        <f>SUBTOTAL(103,Table1[[#This Row],[Recommendation Date]])</f>
        <v>1</v>
      </c>
      <c r="D362" s="2">
        <f>1</f>
        <v>1</v>
      </c>
      <c r="E362" s="16" t="s">
        <v>376</v>
      </c>
      <c r="F362" s="3" t="s">
        <v>377</v>
      </c>
      <c r="G362" s="3" t="s">
        <v>12</v>
      </c>
      <c r="H362" s="16">
        <v>19</v>
      </c>
      <c r="I362" s="4">
        <v>12.27</v>
      </c>
      <c r="J362" s="5">
        <v>-0.36399999999999999</v>
      </c>
      <c r="K362" s="48">
        <f>ROUND(LOG10(Table1[[#This Row],[Return (keep sorted by this column!)]]+1),2)</f>
        <v>-0.2</v>
      </c>
      <c r="L362" s="48">
        <f>COUNTIF(Table1[Return (keep sorted by this column!)],"&lt;"&amp;Table1[[#This Row],[Return (keep sorted by this column!)]])</f>
        <v>73</v>
      </c>
      <c r="M362" s="76">
        <f>IF(Table1[[#This Row],[Team]]="David",Table1[[#This Row],[Return (keep sorted by this column!)]],"")</f>
        <v>-0.36399999999999999</v>
      </c>
      <c r="N362" s="76" t="str">
        <f>IF(Table1[[#This Row],[Team]]="Tom",Table1[[#This Row],[Return (keep sorted by this column!)]],"")</f>
        <v/>
      </c>
      <c r="O362" s="5">
        <v>1.474</v>
      </c>
      <c r="P362" s="68">
        <f>IF(Table1[[#This Row],[Team]]="David",Table1[[#This Row],[S&amp;P Return, same period]],"")</f>
        <v>1.474</v>
      </c>
      <c r="Q362" s="68" t="str">
        <f>IF(Table1[[#This Row],[Team]]="Tom",Table1[[#This Row],[S&amp;P Return, same period]],"")</f>
        <v/>
      </c>
      <c r="R362" s="5">
        <v>-1.8380000000000001</v>
      </c>
      <c r="S362" s="14">
        <f>IF(Table1[[#This Row],[Team]]="David",Table1[[#This Row],[Difference Vs. S&amp;P Return]],"")</f>
        <v>-1.8380000000000001</v>
      </c>
      <c r="T362" s="14" t="str">
        <f>IF(Table1[[#This Row],[Team]]="Tom",Table1[[#This Row],[Difference Vs. S&amp;P Return]],"")</f>
        <v/>
      </c>
      <c r="U362" s="14">
        <f>ROUND((1+Table1[[#This Row],[Return (keep sorted by this column!)]])/(1+Table1[[#This Row],[S&amp;P Return, same period]])-1,1)</f>
        <v>-0.7</v>
      </c>
      <c r="V362" s="15">
        <f>IF(Table1[[#This Row],[Team]]="David",Table1[[#This Row],[Improvement Vs. S&amp;P Return]],"")</f>
        <v>-0.7</v>
      </c>
      <c r="W362" s="15" t="str">
        <f>IF(Table1[[#This Row],[Team]]="Tom",Table1[[#This Row],[Improvement Vs. S&amp;P Return]],"")</f>
        <v/>
      </c>
    </row>
    <row r="363" spans="1:23" ht="30" x14ac:dyDescent="0.2">
      <c r="A363" s="1">
        <v>38065</v>
      </c>
      <c r="B363" s="2" t="s">
        <v>685</v>
      </c>
      <c r="C363" s="2">
        <f>SUBTOTAL(103,Table1[[#This Row],[Recommendation Date]])</f>
        <v>1</v>
      </c>
      <c r="D363" s="2">
        <f>1</f>
        <v>1</v>
      </c>
      <c r="E363" s="16" t="s">
        <v>686</v>
      </c>
      <c r="F363" s="3" t="s">
        <v>58</v>
      </c>
      <c r="G363" s="3" t="s">
        <v>8</v>
      </c>
      <c r="H363" s="17"/>
      <c r="I363" s="4">
        <v>19.260000000000002</v>
      </c>
      <c r="J363" s="5">
        <v>-0.37</v>
      </c>
      <c r="K363" s="48">
        <f>ROUND(LOG10(Table1[[#This Row],[Return (keep sorted by this column!)]]+1),2)</f>
        <v>-0.2</v>
      </c>
      <c r="L363" s="48">
        <f>COUNTIF(Table1[Return (keep sorted by this column!)],"&lt;"&amp;Table1[[#This Row],[Return (keep sorted by this column!)]])</f>
        <v>72</v>
      </c>
      <c r="M363" s="14" t="str">
        <f>IF(Table1[[#This Row],[Team]]="David",Table1[[#This Row],[Return (keep sorted by this column!)]],"")</f>
        <v/>
      </c>
      <c r="N363" s="14">
        <f>IF(Table1[[#This Row],[Team]]="Tom",Table1[[#This Row],[Return (keep sorted by this column!)]],"")</f>
        <v>-0.37</v>
      </c>
      <c r="O363" s="5">
        <v>-0.158</v>
      </c>
      <c r="P363" s="23" t="str">
        <f>IF(Table1[[#This Row],[Team]]="David",Table1[[#This Row],[S&amp;P Return, same period]],"")</f>
        <v/>
      </c>
      <c r="Q363" s="23">
        <f>IF(Table1[[#This Row],[Team]]="Tom",Table1[[#This Row],[S&amp;P Return, same period]],"")</f>
        <v>-0.158</v>
      </c>
      <c r="R363" s="5">
        <v>-0.21199999999999999</v>
      </c>
      <c r="S363" s="14" t="str">
        <f>IF(Table1[[#This Row],[Team]]="David",Table1[[#This Row],[Difference Vs. S&amp;P Return]],"")</f>
        <v/>
      </c>
      <c r="T363" s="14">
        <f>IF(Table1[[#This Row],[Team]]="Tom",Table1[[#This Row],[Difference Vs. S&amp;P Return]],"")</f>
        <v>-0.21199999999999999</v>
      </c>
      <c r="U363" s="14">
        <f>ROUND((1+Table1[[#This Row],[Return (keep sorted by this column!)]])/(1+Table1[[#This Row],[S&amp;P Return, same period]])-1,1)</f>
        <v>-0.3</v>
      </c>
      <c r="V363" s="15" t="str">
        <f>IF(Table1[[#This Row],[Team]]="David",Table1[[#This Row],[Improvement Vs. S&amp;P Return]],"")</f>
        <v/>
      </c>
      <c r="W363" s="15">
        <f>IF(Table1[[#This Row],[Team]]="Tom",Table1[[#This Row],[Improvement Vs. S&amp;P Return]],"")</f>
        <v>-0.3</v>
      </c>
    </row>
    <row r="364" spans="1:23" ht="60" x14ac:dyDescent="0.2">
      <c r="A364" s="1">
        <v>37785</v>
      </c>
      <c r="B364" s="2" t="s">
        <v>712</v>
      </c>
      <c r="C364" s="2">
        <f>SUBTOTAL(103,Table1[[#This Row],[Recommendation Date]])</f>
        <v>1</v>
      </c>
      <c r="D364" s="2">
        <f>1</f>
        <v>1</v>
      </c>
      <c r="E364" s="16" t="s">
        <v>713</v>
      </c>
      <c r="F364" s="3" t="s">
        <v>252</v>
      </c>
      <c r="G364" s="3" t="s">
        <v>12</v>
      </c>
      <c r="H364" s="17"/>
      <c r="I364" s="4">
        <v>9.5</v>
      </c>
      <c r="J364" s="5">
        <v>-0.376</v>
      </c>
      <c r="K364" s="48">
        <f>ROUND(LOG10(Table1[[#This Row],[Return (keep sorted by this column!)]]+1),2)</f>
        <v>-0.2</v>
      </c>
      <c r="L364" s="48">
        <f>COUNTIF(Table1[Return (keep sorted by this column!)],"&lt;"&amp;Table1[[#This Row],[Return (keep sorted by this column!)]])</f>
        <v>70</v>
      </c>
      <c r="M364" s="14">
        <f>IF(Table1[[#This Row],[Team]]="David",Table1[[#This Row],[Return (keep sorted by this column!)]],"")</f>
        <v>-0.376</v>
      </c>
      <c r="N364" s="14" t="str">
        <f>IF(Table1[[#This Row],[Team]]="Tom",Table1[[#This Row],[Return (keep sorted by this column!)]],"")</f>
        <v/>
      </c>
      <c r="O364" s="5">
        <v>0.66700000000000004</v>
      </c>
      <c r="P364" s="23">
        <f>IF(Table1[[#This Row],[Team]]="David",Table1[[#This Row],[S&amp;P Return, same period]],"")</f>
        <v>0.66700000000000004</v>
      </c>
      <c r="Q364" s="23" t="str">
        <f>IF(Table1[[#This Row],[Team]]="Tom",Table1[[#This Row],[S&amp;P Return, same period]],"")</f>
        <v/>
      </c>
      <c r="R364" s="5">
        <v>-1.0429999999999999</v>
      </c>
      <c r="S364" s="14">
        <f>IF(Table1[[#This Row],[Team]]="David",Table1[[#This Row],[Difference Vs. S&amp;P Return]],"")</f>
        <v>-1.0429999999999999</v>
      </c>
      <c r="T364" s="14" t="str">
        <f>IF(Table1[[#This Row],[Team]]="Tom",Table1[[#This Row],[Difference Vs. S&amp;P Return]],"")</f>
        <v/>
      </c>
      <c r="U364" s="14">
        <f>ROUND((1+Table1[[#This Row],[Return (keep sorted by this column!)]])/(1+Table1[[#This Row],[S&amp;P Return, same period]])-1,1)</f>
        <v>-0.6</v>
      </c>
      <c r="V364" s="15">
        <f>IF(Table1[[#This Row],[Team]]="David",Table1[[#This Row],[Improvement Vs. S&amp;P Return]],"")</f>
        <v>-0.6</v>
      </c>
      <c r="W364" s="15" t="str">
        <f>IF(Table1[[#This Row],[Team]]="Tom",Table1[[#This Row],[Improvement Vs. S&amp;P Return]],"")</f>
        <v/>
      </c>
    </row>
    <row r="365" spans="1:23" ht="45" x14ac:dyDescent="0.2">
      <c r="A365" s="1">
        <v>38611</v>
      </c>
      <c r="B365" s="2" t="s">
        <v>641</v>
      </c>
      <c r="C365" s="2">
        <f>SUBTOTAL(103,Table1[[#This Row],[Recommendation Date]])</f>
        <v>1</v>
      </c>
      <c r="D365" s="2">
        <f>1</f>
        <v>1</v>
      </c>
      <c r="E365" s="16" t="s">
        <v>642</v>
      </c>
      <c r="F365" s="3" t="s">
        <v>119</v>
      </c>
      <c r="G365" s="3" t="s">
        <v>12</v>
      </c>
      <c r="H365" s="17"/>
      <c r="I365" s="4">
        <v>31.15</v>
      </c>
      <c r="J365" s="5">
        <v>-0.376</v>
      </c>
      <c r="K365" s="48">
        <f>ROUND(LOG10(Table1[[#This Row],[Return (keep sorted by this column!)]]+1),2)</f>
        <v>-0.2</v>
      </c>
      <c r="L365" s="48">
        <f>COUNTIF(Table1[Return (keep sorted by this column!)],"&lt;"&amp;Table1[[#This Row],[Return (keep sorted by this column!)]])</f>
        <v>70</v>
      </c>
      <c r="M365" s="14">
        <f>IF(Table1[[#This Row],[Team]]="David",Table1[[#This Row],[Return (keep sorted by this column!)]],"")</f>
        <v>-0.376</v>
      </c>
      <c r="N365" s="14" t="str">
        <f>IF(Table1[[#This Row],[Team]]="Tom",Table1[[#This Row],[Return (keep sorted by this column!)]],"")</f>
        <v/>
      </c>
      <c r="O365" s="5">
        <v>-0.23400000000000001</v>
      </c>
      <c r="P365" s="23">
        <f>IF(Table1[[#This Row],[Team]]="David",Table1[[#This Row],[S&amp;P Return, same period]],"")</f>
        <v>-0.23400000000000001</v>
      </c>
      <c r="Q365" s="23" t="str">
        <f>IF(Table1[[#This Row],[Team]]="Tom",Table1[[#This Row],[S&amp;P Return, same period]],"")</f>
        <v/>
      </c>
      <c r="R365" s="5">
        <v>-0.14199999999999999</v>
      </c>
      <c r="S365" s="14">
        <f>IF(Table1[[#This Row],[Team]]="David",Table1[[#This Row],[Difference Vs. S&amp;P Return]],"")</f>
        <v>-0.14199999999999999</v>
      </c>
      <c r="T365" s="14" t="str">
        <f>IF(Table1[[#This Row],[Team]]="Tom",Table1[[#This Row],[Difference Vs. S&amp;P Return]],"")</f>
        <v/>
      </c>
      <c r="U365" s="14">
        <f>ROUND((1+Table1[[#This Row],[Return (keep sorted by this column!)]])/(1+Table1[[#This Row],[S&amp;P Return, same period]])-1,1)</f>
        <v>-0.2</v>
      </c>
      <c r="V365" s="15">
        <f>IF(Table1[[#This Row],[Team]]="David",Table1[[#This Row],[Improvement Vs. S&amp;P Return]],"")</f>
        <v>-0.2</v>
      </c>
      <c r="W365" s="15" t="str">
        <f>IF(Table1[[#This Row],[Team]]="Tom",Table1[[#This Row],[Improvement Vs. S&amp;P Return]],"")</f>
        <v/>
      </c>
    </row>
    <row r="366" spans="1:23" ht="60" x14ac:dyDescent="0.2">
      <c r="A366" s="1">
        <v>38093</v>
      </c>
      <c r="B366" s="2" t="s">
        <v>614</v>
      </c>
      <c r="C366" s="2">
        <f>SUBTOTAL(103,Table1[[#This Row],[Recommendation Date]])</f>
        <v>1</v>
      </c>
      <c r="D366" s="2">
        <f>1</f>
        <v>1</v>
      </c>
      <c r="E366" s="16" t="s">
        <v>615</v>
      </c>
      <c r="F366" s="3" t="s">
        <v>252</v>
      </c>
      <c r="G366" s="3" t="s">
        <v>8</v>
      </c>
      <c r="H366" s="17"/>
      <c r="I366" s="4">
        <v>21.26</v>
      </c>
      <c r="J366" s="5">
        <v>-0.379</v>
      </c>
      <c r="K366" s="48">
        <f>ROUND(LOG10(Table1[[#This Row],[Return (keep sorted by this column!)]]+1),2)</f>
        <v>-0.21</v>
      </c>
      <c r="L366" s="48">
        <f>COUNTIF(Table1[Return (keep sorted by this column!)],"&lt;"&amp;Table1[[#This Row],[Return (keep sorted by this column!)]])</f>
        <v>69</v>
      </c>
      <c r="M366" s="14" t="str">
        <f>IF(Table1[[#This Row],[Team]]="David",Table1[[#This Row],[Return (keep sorted by this column!)]],"")</f>
        <v/>
      </c>
      <c r="N366" s="14">
        <f>IF(Table1[[#This Row],[Team]]="Tom",Table1[[#This Row],[Return (keep sorted by this column!)]],"")</f>
        <v>-0.379</v>
      </c>
      <c r="O366" s="5">
        <v>0.374</v>
      </c>
      <c r="P366" s="23" t="str">
        <f>IF(Table1[[#This Row],[Team]]="David",Table1[[#This Row],[S&amp;P Return, same period]],"")</f>
        <v/>
      </c>
      <c r="Q366" s="23">
        <f>IF(Table1[[#This Row],[Team]]="Tom",Table1[[#This Row],[S&amp;P Return, same period]],"")</f>
        <v>0.374</v>
      </c>
      <c r="R366" s="5">
        <v>-0.753</v>
      </c>
      <c r="S366" s="14" t="str">
        <f>IF(Table1[[#This Row],[Team]]="David",Table1[[#This Row],[Difference Vs. S&amp;P Return]],"")</f>
        <v/>
      </c>
      <c r="T366" s="14">
        <f>IF(Table1[[#This Row],[Team]]="Tom",Table1[[#This Row],[Difference Vs. S&amp;P Return]],"")</f>
        <v>-0.753</v>
      </c>
      <c r="U366" s="14">
        <f>ROUND((1+Table1[[#This Row],[Return (keep sorted by this column!)]])/(1+Table1[[#This Row],[S&amp;P Return, same period]])-1,1)</f>
        <v>-0.5</v>
      </c>
      <c r="V366" s="15" t="str">
        <f>IF(Table1[[#This Row],[Team]]="David",Table1[[#This Row],[Improvement Vs. S&amp;P Return]],"")</f>
        <v/>
      </c>
      <c r="W366" s="15">
        <f>IF(Table1[[#This Row],[Team]]="Tom",Table1[[#This Row],[Improvement Vs. S&amp;P Return]],"")</f>
        <v>-0.5</v>
      </c>
    </row>
    <row r="367" spans="1:23" ht="45" x14ac:dyDescent="0.2">
      <c r="A367" s="1">
        <v>39437</v>
      </c>
      <c r="B367" s="2" t="s">
        <v>506</v>
      </c>
      <c r="C367" s="2">
        <f>SUBTOTAL(103,Table1[[#This Row],[Recommendation Date]])</f>
        <v>1</v>
      </c>
      <c r="D367" s="2">
        <f>1</f>
        <v>1</v>
      </c>
      <c r="E367" s="16" t="s">
        <v>507</v>
      </c>
      <c r="F367" s="3" t="s">
        <v>252</v>
      </c>
      <c r="G367" s="3" t="s">
        <v>12</v>
      </c>
      <c r="H367" s="17"/>
      <c r="I367" s="4">
        <v>34.69</v>
      </c>
      <c r="J367" s="5">
        <v>-0.38200000000000001</v>
      </c>
      <c r="K367" s="48">
        <f>ROUND(LOG10(Table1[[#This Row],[Return (keep sorted by this column!)]]+1),2)</f>
        <v>-0.21</v>
      </c>
      <c r="L367" s="48">
        <f>COUNTIF(Table1[Return (keep sorted by this column!)],"&lt;"&amp;Table1[[#This Row],[Return (keep sorted by this column!)]])</f>
        <v>68</v>
      </c>
      <c r="M367" s="14">
        <f>IF(Table1[[#This Row],[Team]]="David",Table1[[#This Row],[Return (keep sorted by this column!)]],"")</f>
        <v>-0.38200000000000001</v>
      </c>
      <c r="N367" s="14" t="str">
        <f>IF(Table1[[#This Row],[Team]]="Tom",Table1[[#This Row],[Return (keep sorted by this column!)]],"")</f>
        <v/>
      </c>
      <c r="O367" s="5">
        <v>-0.23400000000000001</v>
      </c>
      <c r="P367" s="23">
        <f>IF(Table1[[#This Row],[Team]]="David",Table1[[#This Row],[S&amp;P Return, same period]],"")</f>
        <v>-0.23400000000000001</v>
      </c>
      <c r="Q367" s="23" t="str">
        <f>IF(Table1[[#This Row],[Team]]="Tom",Table1[[#This Row],[S&amp;P Return, same period]],"")</f>
        <v/>
      </c>
      <c r="R367" s="5">
        <v>-0.14799999999999999</v>
      </c>
      <c r="S367" s="14">
        <f>IF(Table1[[#This Row],[Team]]="David",Table1[[#This Row],[Difference Vs. S&amp;P Return]],"")</f>
        <v>-0.14799999999999999</v>
      </c>
      <c r="T367" s="14" t="str">
        <f>IF(Table1[[#This Row],[Team]]="Tom",Table1[[#This Row],[Difference Vs. S&amp;P Return]],"")</f>
        <v/>
      </c>
      <c r="U367" s="14">
        <f>ROUND((1+Table1[[#This Row],[Return (keep sorted by this column!)]])/(1+Table1[[#This Row],[S&amp;P Return, same period]])-1,1)</f>
        <v>-0.2</v>
      </c>
      <c r="V367" s="15">
        <f>IF(Table1[[#This Row],[Team]]="David",Table1[[#This Row],[Improvement Vs. S&amp;P Return]],"")</f>
        <v>-0.2</v>
      </c>
      <c r="W367" s="15" t="str">
        <f>IF(Table1[[#This Row],[Team]]="Tom",Table1[[#This Row],[Improvement Vs. S&amp;P Return]],"")</f>
        <v/>
      </c>
    </row>
    <row r="368" spans="1:23" ht="90" x14ac:dyDescent="0.2">
      <c r="A368" s="1">
        <v>39010</v>
      </c>
      <c r="B368" s="2" t="s">
        <v>604</v>
      </c>
      <c r="C368" s="2">
        <f>SUBTOTAL(103,Table1[[#This Row],[Recommendation Date]])</f>
        <v>1</v>
      </c>
      <c r="D368" s="2">
        <f>1</f>
        <v>1</v>
      </c>
      <c r="E368" s="16" t="s">
        <v>535</v>
      </c>
      <c r="F368" s="3" t="s">
        <v>536</v>
      </c>
      <c r="G368" s="3" t="s">
        <v>12</v>
      </c>
      <c r="H368" s="17"/>
      <c r="I368" s="4">
        <v>22.1</v>
      </c>
      <c r="J368" s="5">
        <v>-0.38600000000000001</v>
      </c>
      <c r="K368" s="48">
        <f>ROUND(LOG10(Table1[[#This Row],[Return (keep sorted by this column!)]]+1),2)</f>
        <v>-0.21</v>
      </c>
      <c r="L368" s="48">
        <f>COUNTIF(Table1[Return (keep sorted by this column!)],"&lt;"&amp;Table1[[#This Row],[Return (keep sorted by this column!)]])</f>
        <v>67</v>
      </c>
      <c r="M368" s="14">
        <f>IF(Table1[[#This Row],[Team]]="David",Table1[[#This Row],[Return (keep sorted by this column!)]],"")</f>
        <v>-0.38600000000000001</v>
      </c>
      <c r="N368" s="14" t="str">
        <f>IF(Table1[[#This Row],[Team]]="Tom",Table1[[#This Row],[Return (keep sorted by this column!)]],"")</f>
        <v/>
      </c>
      <c r="O368" s="5">
        <v>0.21199999999999999</v>
      </c>
      <c r="P368" s="23">
        <f>IF(Table1[[#This Row],[Team]]="David",Table1[[#This Row],[S&amp;P Return, same period]],"")</f>
        <v>0.21199999999999999</v>
      </c>
      <c r="Q368" s="23" t="str">
        <f>IF(Table1[[#This Row],[Team]]="Tom",Table1[[#This Row],[S&amp;P Return, same period]],"")</f>
        <v/>
      </c>
      <c r="R368" s="5">
        <v>-0.59799999999999998</v>
      </c>
      <c r="S368" s="14">
        <f>IF(Table1[[#This Row],[Team]]="David",Table1[[#This Row],[Difference Vs. S&amp;P Return]],"")</f>
        <v>-0.59799999999999998</v>
      </c>
      <c r="T368" s="14" t="str">
        <f>IF(Table1[[#This Row],[Team]]="Tom",Table1[[#This Row],[Difference Vs. S&amp;P Return]],"")</f>
        <v/>
      </c>
      <c r="U368" s="14">
        <f>ROUND((1+Table1[[#This Row],[Return (keep sorted by this column!)]])/(1+Table1[[#This Row],[S&amp;P Return, same period]])-1,1)</f>
        <v>-0.5</v>
      </c>
      <c r="V368" s="15">
        <f>IF(Table1[[#This Row],[Team]]="David",Table1[[#This Row],[Improvement Vs. S&amp;P Return]],"")</f>
        <v>-0.5</v>
      </c>
      <c r="W368" s="15" t="str">
        <f>IF(Table1[[#This Row],[Team]]="Tom",Table1[[#This Row],[Improvement Vs. S&amp;P Return]],"")</f>
        <v/>
      </c>
    </row>
    <row r="369" spans="1:23" ht="105" x14ac:dyDescent="0.2">
      <c r="A369" s="1">
        <v>41292</v>
      </c>
      <c r="B369" s="2" t="s">
        <v>354</v>
      </c>
      <c r="C369" s="2">
        <f>SUBTOTAL(103,Table1[[#This Row],[Recommendation Date]])</f>
        <v>1</v>
      </c>
      <c r="D369" s="2">
        <f>1</f>
        <v>1</v>
      </c>
      <c r="E369" s="3" t="s">
        <v>355</v>
      </c>
      <c r="F369" s="3" t="s">
        <v>267</v>
      </c>
      <c r="G369" s="3" t="s">
        <v>8</v>
      </c>
      <c r="H369" s="17"/>
      <c r="I369" s="3" t="s">
        <v>268</v>
      </c>
      <c r="J369" s="5">
        <v>-0.40100000000000002</v>
      </c>
      <c r="K369" s="48">
        <f>ROUND(LOG10(Table1[[#This Row],[Return (keep sorted by this column!)]]+1),2)</f>
        <v>-0.22</v>
      </c>
      <c r="L369" s="48">
        <f>COUNTIF(Table1[Return (keep sorted by this column!)],"&lt;"&amp;Table1[[#This Row],[Return (keep sorted by this column!)]])</f>
        <v>66</v>
      </c>
      <c r="M369" s="76" t="str">
        <f>IF(Table1[[#This Row],[Team]]="David",Table1[[#This Row],[Return (keep sorted by this column!)]],"")</f>
        <v/>
      </c>
      <c r="N369" s="76">
        <f>IF(Table1[[#This Row],[Team]]="Tom",Table1[[#This Row],[Return (keep sorted by this column!)]],"")</f>
        <v>-0.40100000000000002</v>
      </c>
      <c r="O369" s="5">
        <v>1.0580000000000001</v>
      </c>
      <c r="P369" s="68" t="str">
        <f>IF(Table1[[#This Row],[Team]]="David",Table1[[#This Row],[S&amp;P Return, same period]],"")</f>
        <v/>
      </c>
      <c r="Q369" s="68">
        <f>IF(Table1[[#This Row],[Team]]="Tom",Table1[[#This Row],[S&amp;P Return, same period]],"")</f>
        <v>1.0580000000000001</v>
      </c>
      <c r="R369" s="5">
        <v>-1.4590000000000001</v>
      </c>
      <c r="S369" s="14" t="str">
        <f>IF(Table1[[#This Row],[Team]]="David",Table1[[#This Row],[Difference Vs. S&amp;P Return]],"")</f>
        <v/>
      </c>
      <c r="T369" s="14">
        <f>IF(Table1[[#This Row],[Team]]="Tom",Table1[[#This Row],[Difference Vs. S&amp;P Return]],"")</f>
        <v>-1.4590000000000001</v>
      </c>
      <c r="U369" s="14">
        <f>ROUND((1+Table1[[#This Row],[Return (keep sorted by this column!)]])/(1+Table1[[#This Row],[S&amp;P Return, same period]])-1,1)</f>
        <v>-0.7</v>
      </c>
      <c r="V369" s="15" t="str">
        <f>IF(Table1[[#This Row],[Team]]="David",Table1[[#This Row],[Improvement Vs. S&amp;P Return]],"")</f>
        <v/>
      </c>
      <c r="W369" s="15">
        <f>IF(Table1[[#This Row],[Team]]="Tom",Table1[[#This Row],[Improvement Vs. S&amp;P Return]],"")</f>
        <v>-0.7</v>
      </c>
    </row>
    <row r="370" spans="1:23" ht="30" x14ac:dyDescent="0.2">
      <c r="A370" s="18">
        <v>42293</v>
      </c>
      <c r="B370" s="2" t="s">
        <v>242</v>
      </c>
      <c r="C370" s="2">
        <f>SUBTOTAL(103,Table1[[#This Row],[Recommendation Date]])</f>
        <v>1</v>
      </c>
      <c r="D370" s="2">
        <f>1</f>
        <v>1</v>
      </c>
      <c r="E370" s="16" t="s">
        <v>243</v>
      </c>
      <c r="F370" s="3" t="s">
        <v>244</v>
      </c>
      <c r="G370" s="3" t="s">
        <v>12</v>
      </c>
      <c r="H370" s="16">
        <v>13</v>
      </c>
      <c r="I370" s="4">
        <v>21.2</v>
      </c>
      <c r="J370" s="5">
        <v>-0.41299999999999998</v>
      </c>
      <c r="K370" s="48">
        <f>ROUND(LOG10(Table1[[#This Row],[Return (keep sorted by this column!)]]+1),2)</f>
        <v>-0.23</v>
      </c>
      <c r="L370" s="48">
        <f>COUNTIF(Table1[Return (keep sorted by this column!)],"&lt;"&amp;Table1[[#This Row],[Return (keep sorted by this column!)]])</f>
        <v>65</v>
      </c>
      <c r="M370" s="76">
        <f>IF(Table1[[#This Row],[Team]]="David",Table1[[#This Row],[Return (keep sorted by this column!)]],"")</f>
        <v>-0.41299999999999998</v>
      </c>
      <c r="N370" s="76" t="str">
        <f>IF(Table1[[#This Row],[Team]]="Tom",Table1[[#This Row],[Return (keep sorted by this column!)]],"")</f>
        <v/>
      </c>
      <c r="O370" s="5">
        <v>0.47799999999999998</v>
      </c>
      <c r="P370" s="68">
        <f>IF(Table1[[#This Row],[Team]]="David",Table1[[#This Row],[S&amp;P Return, same period]],"")</f>
        <v>0.47799999999999998</v>
      </c>
      <c r="Q370" s="68" t="str">
        <f>IF(Table1[[#This Row],[Team]]="Tom",Table1[[#This Row],[S&amp;P Return, same period]],"")</f>
        <v/>
      </c>
      <c r="R370" s="5">
        <v>-0.89100000000000001</v>
      </c>
      <c r="S370" s="14">
        <f>IF(Table1[[#This Row],[Team]]="David",Table1[[#This Row],[Difference Vs. S&amp;P Return]],"")</f>
        <v>-0.89100000000000001</v>
      </c>
      <c r="T370" s="14" t="str">
        <f>IF(Table1[[#This Row],[Team]]="Tom",Table1[[#This Row],[Difference Vs. S&amp;P Return]],"")</f>
        <v/>
      </c>
      <c r="U370" s="14">
        <f>ROUND((1+Table1[[#This Row],[Return (keep sorted by this column!)]])/(1+Table1[[#This Row],[S&amp;P Return, same period]])-1,1)</f>
        <v>-0.6</v>
      </c>
      <c r="V370" s="15">
        <f>IF(Table1[[#This Row],[Team]]="David",Table1[[#This Row],[Improvement Vs. S&amp;P Return]],"")</f>
        <v>-0.6</v>
      </c>
      <c r="W370" s="15" t="str">
        <f>IF(Table1[[#This Row],[Team]]="Tom",Table1[[#This Row],[Improvement Vs. S&amp;P Return]],"")</f>
        <v/>
      </c>
    </row>
    <row r="371" spans="1:23" ht="45" x14ac:dyDescent="0.2">
      <c r="A371" s="1">
        <v>39374</v>
      </c>
      <c r="B371" s="2" t="s">
        <v>561</v>
      </c>
      <c r="C371" s="2">
        <f>SUBTOTAL(103,Table1[[#This Row],[Recommendation Date]])</f>
        <v>1</v>
      </c>
      <c r="D371" s="2">
        <f>1</f>
        <v>1</v>
      </c>
      <c r="E371" s="16" t="s">
        <v>562</v>
      </c>
      <c r="F371" s="3" t="s">
        <v>252</v>
      </c>
      <c r="G371" s="3" t="s">
        <v>8</v>
      </c>
      <c r="H371" s="17"/>
      <c r="I371" s="4">
        <v>19.55</v>
      </c>
      <c r="J371" s="5">
        <v>-0.42599999999999999</v>
      </c>
      <c r="K371" s="48">
        <f>ROUND(LOG10(Table1[[#This Row],[Return (keep sorted by this column!)]]+1),2)</f>
        <v>-0.24</v>
      </c>
      <c r="L371" s="48">
        <f>COUNTIF(Table1[Return (keep sorted by this column!)],"&lt;"&amp;Table1[[#This Row],[Return (keep sorted by this column!)]])</f>
        <v>64</v>
      </c>
      <c r="M371" s="14" t="str">
        <f>IF(Table1[[#This Row],[Team]]="David",Table1[[#This Row],[Return (keep sorted by this column!)]],"")</f>
        <v/>
      </c>
      <c r="N371" s="14">
        <f>IF(Table1[[#This Row],[Team]]="Tom",Table1[[#This Row],[Return (keep sorted by this column!)]],"")</f>
        <v>-0.42599999999999999</v>
      </c>
      <c r="O371" s="5">
        <v>6.7000000000000004E-2</v>
      </c>
      <c r="P371" s="23" t="str">
        <f>IF(Table1[[#This Row],[Team]]="David",Table1[[#This Row],[S&amp;P Return, same period]],"")</f>
        <v/>
      </c>
      <c r="Q371" s="23">
        <f>IF(Table1[[#This Row],[Team]]="Tom",Table1[[#This Row],[S&amp;P Return, same period]],"")</f>
        <v>6.7000000000000004E-2</v>
      </c>
      <c r="R371" s="5">
        <v>-0.49299999999999999</v>
      </c>
      <c r="S371" s="14" t="str">
        <f>IF(Table1[[#This Row],[Team]]="David",Table1[[#This Row],[Difference Vs. S&amp;P Return]],"")</f>
        <v/>
      </c>
      <c r="T371" s="14">
        <f>IF(Table1[[#This Row],[Team]]="Tom",Table1[[#This Row],[Difference Vs. S&amp;P Return]],"")</f>
        <v>-0.49299999999999999</v>
      </c>
      <c r="U371" s="14">
        <f>ROUND((1+Table1[[#This Row],[Return (keep sorted by this column!)]])/(1+Table1[[#This Row],[S&amp;P Return, same period]])-1,1)</f>
        <v>-0.5</v>
      </c>
      <c r="V371" s="15" t="str">
        <f>IF(Table1[[#This Row],[Team]]="David",Table1[[#This Row],[Improvement Vs. S&amp;P Return]],"")</f>
        <v/>
      </c>
      <c r="W371" s="15">
        <f>IF(Table1[[#This Row],[Team]]="Tom",Table1[[#This Row],[Improvement Vs. S&amp;P Return]],"")</f>
        <v>-0.5</v>
      </c>
    </row>
    <row r="372" spans="1:23" ht="30" x14ac:dyDescent="0.2">
      <c r="A372" s="1">
        <v>38002</v>
      </c>
      <c r="B372" s="2" t="s">
        <v>692</v>
      </c>
      <c r="C372" s="2">
        <f>SUBTOTAL(103,Table1[[#This Row],[Recommendation Date]])</f>
        <v>1</v>
      </c>
      <c r="D372" s="2">
        <f>1</f>
        <v>1</v>
      </c>
      <c r="E372" s="16" t="s">
        <v>693</v>
      </c>
      <c r="F372" s="3" t="s">
        <v>252</v>
      </c>
      <c r="G372" s="3" t="s">
        <v>12</v>
      </c>
      <c r="H372" s="17"/>
      <c r="I372" s="4">
        <v>35.01</v>
      </c>
      <c r="J372" s="5">
        <v>-0.44400000000000001</v>
      </c>
      <c r="K372" s="48">
        <f>ROUND(LOG10(Table1[[#This Row],[Return (keep sorted by this column!)]]+1),2)</f>
        <v>-0.25</v>
      </c>
      <c r="L372" s="48">
        <f>COUNTIF(Table1[Return (keep sorted by this column!)],"&lt;"&amp;Table1[[#This Row],[Return (keep sorted by this column!)]])</f>
        <v>63</v>
      </c>
      <c r="M372" s="14">
        <f>IF(Table1[[#This Row],[Team]]="David",Table1[[#This Row],[Return (keep sorted by this column!)]],"")</f>
        <v>-0.44400000000000001</v>
      </c>
      <c r="N372" s="14" t="str">
        <f>IF(Table1[[#This Row],[Team]]="Tom",Table1[[#This Row],[Return (keep sorted by this column!)]],"")</f>
        <v/>
      </c>
      <c r="O372" s="5">
        <v>0.32</v>
      </c>
      <c r="P372" s="23">
        <f>IF(Table1[[#This Row],[Team]]="David",Table1[[#This Row],[S&amp;P Return, same period]],"")</f>
        <v>0.32</v>
      </c>
      <c r="Q372" s="23" t="str">
        <f>IF(Table1[[#This Row],[Team]]="Tom",Table1[[#This Row],[S&amp;P Return, same period]],"")</f>
        <v/>
      </c>
      <c r="R372" s="5">
        <v>-0.76400000000000001</v>
      </c>
      <c r="S372" s="14">
        <f>IF(Table1[[#This Row],[Team]]="David",Table1[[#This Row],[Difference Vs. S&amp;P Return]],"")</f>
        <v>-0.76400000000000001</v>
      </c>
      <c r="T372" s="14" t="str">
        <f>IF(Table1[[#This Row],[Team]]="Tom",Table1[[#This Row],[Difference Vs. S&amp;P Return]],"")</f>
        <v/>
      </c>
      <c r="U372" s="14">
        <f>ROUND((1+Table1[[#This Row],[Return (keep sorted by this column!)]])/(1+Table1[[#This Row],[S&amp;P Return, same period]])-1,1)</f>
        <v>-0.6</v>
      </c>
      <c r="V372" s="15">
        <f>IF(Table1[[#This Row],[Team]]="David",Table1[[#This Row],[Improvement Vs. S&amp;P Return]],"")</f>
        <v>-0.6</v>
      </c>
      <c r="W372" s="15" t="str">
        <f>IF(Table1[[#This Row],[Team]]="Tom",Table1[[#This Row],[Improvement Vs. S&amp;P Return]],"")</f>
        <v/>
      </c>
    </row>
    <row r="373" spans="1:23" ht="60" x14ac:dyDescent="0.2">
      <c r="A373" s="1">
        <v>38793</v>
      </c>
      <c r="B373" s="2" t="s">
        <v>622</v>
      </c>
      <c r="C373" s="2">
        <f>SUBTOTAL(103,Table1[[#This Row],[Recommendation Date]])</f>
        <v>1</v>
      </c>
      <c r="D373" s="2">
        <f>1</f>
        <v>1</v>
      </c>
      <c r="E373" s="16" t="s">
        <v>623</v>
      </c>
      <c r="F373" s="3" t="s">
        <v>624</v>
      </c>
      <c r="G373" s="3" t="s">
        <v>8</v>
      </c>
      <c r="H373" s="17"/>
      <c r="I373" s="4">
        <v>26.3</v>
      </c>
      <c r="J373" s="5">
        <v>-0.44600000000000001</v>
      </c>
      <c r="K373" s="48">
        <f>ROUND(LOG10(Table1[[#This Row],[Return (keep sorted by this column!)]]+1),2)</f>
        <v>-0.26</v>
      </c>
      <c r="L373" s="48">
        <f>COUNTIF(Table1[Return (keep sorted by this column!)],"&lt;"&amp;Table1[[#This Row],[Return (keep sorted by this column!)]])</f>
        <v>62</v>
      </c>
      <c r="M373" s="14" t="str">
        <f>IF(Table1[[#This Row],[Team]]="David",Table1[[#This Row],[Return (keep sorted by this column!)]],"")</f>
        <v/>
      </c>
      <c r="N373" s="14">
        <f>IF(Table1[[#This Row],[Team]]="Tom",Table1[[#This Row],[Return (keep sorted by this column!)]],"")</f>
        <v>-0.44600000000000001</v>
      </c>
      <c r="O373" s="5">
        <v>-6.4000000000000001E-2</v>
      </c>
      <c r="P373" s="23" t="str">
        <f>IF(Table1[[#This Row],[Team]]="David",Table1[[#This Row],[S&amp;P Return, same period]],"")</f>
        <v/>
      </c>
      <c r="Q373" s="23">
        <f>IF(Table1[[#This Row],[Team]]="Tom",Table1[[#This Row],[S&amp;P Return, same period]],"")</f>
        <v>-6.4000000000000001E-2</v>
      </c>
      <c r="R373" s="5">
        <v>-0.38200000000000001</v>
      </c>
      <c r="S373" s="14" t="str">
        <f>IF(Table1[[#This Row],[Team]]="David",Table1[[#This Row],[Difference Vs. S&amp;P Return]],"")</f>
        <v/>
      </c>
      <c r="T373" s="14">
        <f>IF(Table1[[#This Row],[Team]]="Tom",Table1[[#This Row],[Difference Vs. S&amp;P Return]],"")</f>
        <v>-0.38200000000000001</v>
      </c>
      <c r="U373" s="14">
        <f>ROUND((1+Table1[[#This Row],[Return (keep sorted by this column!)]])/(1+Table1[[#This Row],[S&amp;P Return, same period]])-1,1)</f>
        <v>-0.4</v>
      </c>
      <c r="V373" s="15" t="str">
        <f>IF(Table1[[#This Row],[Team]]="David",Table1[[#This Row],[Improvement Vs. S&amp;P Return]],"")</f>
        <v/>
      </c>
      <c r="W373" s="15">
        <f>IF(Table1[[#This Row],[Team]]="Tom",Table1[[#This Row],[Improvement Vs. S&amp;P Return]],"")</f>
        <v>-0.4</v>
      </c>
    </row>
    <row r="374" spans="1:23" ht="17" x14ac:dyDescent="0.2">
      <c r="A374" s="18">
        <v>43237</v>
      </c>
      <c r="B374" s="2" t="s">
        <v>110</v>
      </c>
      <c r="C374" s="2">
        <f>SUBTOTAL(103,Table1[[#This Row],[Recommendation Date]])</f>
        <v>1</v>
      </c>
      <c r="D374" s="2">
        <f>1</f>
        <v>1</v>
      </c>
      <c r="E374" s="16" t="s">
        <v>111</v>
      </c>
      <c r="F374" s="3" t="s">
        <v>66</v>
      </c>
      <c r="G374" s="3" t="s">
        <v>12</v>
      </c>
      <c r="H374" s="16">
        <v>11</v>
      </c>
      <c r="I374" s="4">
        <v>90.13</v>
      </c>
      <c r="J374" s="5">
        <v>-0.44800000000000001</v>
      </c>
      <c r="K374" s="48">
        <f>ROUND(LOG10(Table1[[#This Row],[Return (keep sorted by this column!)]]+1),2)</f>
        <v>-0.26</v>
      </c>
      <c r="L374" s="48">
        <f>COUNTIF(Table1[Return (keep sorted by this column!)],"&lt;"&amp;Table1[[#This Row],[Return (keep sorted by this column!)]])</f>
        <v>61</v>
      </c>
      <c r="M374" s="76">
        <f>IF(Table1[[#This Row],[Team]]="David",Table1[[#This Row],[Return (keep sorted by this column!)]],"")</f>
        <v>-0.44800000000000001</v>
      </c>
      <c r="N374" s="76" t="str">
        <f>IF(Table1[[#This Row],[Team]]="Tom",Table1[[#This Row],[Return (keep sorted by this column!)]],"")</f>
        <v/>
      </c>
      <c r="O374" s="5">
        <v>4.5999999999999999E-2</v>
      </c>
      <c r="P374" s="68">
        <f>IF(Table1[[#This Row],[Team]]="David",Table1[[#This Row],[S&amp;P Return, same period]],"")</f>
        <v>4.5999999999999999E-2</v>
      </c>
      <c r="Q374" s="68" t="str">
        <f>IF(Table1[[#This Row],[Team]]="Tom",Table1[[#This Row],[S&amp;P Return, same period]],"")</f>
        <v/>
      </c>
      <c r="R374" s="5">
        <v>-0.495</v>
      </c>
      <c r="S374" s="14">
        <f>IF(Table1[[#This Row],[Team]]="David",Table1[[#This Row],[Difference Vs. S&amp;P Return]],"")</f>
        <v>-0.495</v>
      </c>
      <c r="T374" s="14" t="str">
        <f>IF(Table1[[#This Row],[Team]]="Tom",Table1[[#This Row],[Difference Vs. S&amp;P Return]],"")</f>
        <v/>
      </c>
      <c r="U374" s="14">
        <f>ROUND((1+Table1[[#This Row],[Return (keep sorted by this column!)]])/(1+Table1[[#This Row],[S&amp;P Return, same period]])-1,1)</f>
        <v>-0.5</v>
      </c>
      <c r="V374" s="15">
        <f>IF(Table1[[#This Row],[Team]]="David",Table1[[#This Row],[Improvement Vs. S&amp;P Return]],"")</f>
        <v>-0.5</v>
      </c>
      <c r="W374" s="15" t="str">
        <f>IF(Table1[[#This Row],[Team]]="Tom",Table1[[#This Row],[Improvement Vs. S&amp;P Return]],"")</f>
        <v/>
      </c>
    </row>
    <row r="375" spans="1:23" ht="45" x14ac:dyDescent="0.2">
      <c r="A375" s="1">
        <v>38828</v>
      </c>
      <c r="B375" s="2" t="s">
        <v>618</v>
      </c>
      <c r="C375" s="2">
        <f>SUBTOTAL(103,Table1[[#This Row],[Recommendation Date]])</f>
        <v>1</v>
      </c>
      <c r="D375" s="2">
        <f>1</f>
        <v>1</v>
      </c>
      <c r="E375" s="16" t="s">
        <v>619</v>
      </c>
      <c r="F375" s="3" t="s">
        <v>252</v>
      </c>
      <c r="G375" s="3" t="s">
        <v>12</v>
      </c>
      <c r="H375" s="17"/>
      <c r="I375" s="4">
        <v>28.17</v>
      </c>
      <c r="J375" s="5">
        <v>-0.45</v>
      </c>
      <c r="K375" s="48">
        <f>ROUND(LOG10(Table1[[#This Row],[Return (keep sorted by this column!)]]+1),2)</f>
        <v>-0.26</v>
      </c>
      <c r="L375" s="48">
        <f>COUNTIF(Table1[Return (keep sorted by this column!)],"&lt;"&amp;Table1[[#This Row],[Return (keep sorted by this column!)]])</f>
        <v>60</v>
      </c>
      <c r="M375" s="14">
        <f>IF(Table1[[#This Row],[Team]]="David",Table1[[#This Row],[Return (keep sorted by this column!)]],"")</f>
        <v>-0.45</v>
      </c>
      <c r="N375" s="14" t="str">
        <f>IF(Table1[[#This Row],[Team]]="Tom",Table1[[#This Row],[Return (keep sorted by this column!)]],"")</f>
        <v/>
      </c>
      <c r="O375" s="5">
        <v>0.158</v>
      </c>
      <c r="P375" s="23">
        <f>IF(Table1[[#This Row],[Team]]="David",Table1[[#This Row],[S&amp;P Return, same period]],"")</f>
        <v>0.158</v>
      </c>
      <c r="Q375" s="23" t="str">
        <f>IF(Table1[[#This Row],[Team]]="Tom",Table1[[#This Row],[S&amp;P Return, same period]],"")</f>
        <v/>
      </c>
      <c r="R375" s="5">
        <v>-0.60799999999999998</v>
      </c>
      <c r="S375" s="14">
        <f>IF(Table1[[#This Row],[Team]]="David",Table1[[#This Row],[Difference Vs. S&amp;P Return]],"")</f>
        <v>-0.60799999999999998</v>
      </c>
      <c r="T375" s="14" t="str">
        <f>IF(Table1[[#This Row],[Team]]="Tom",Table1[[#This Row],[Difference Vs. S&amp;P Return]],"")</f>
        <v/>
      </c>
      <c r="U375" s="14">
        <f>ROUND((1+Table1[[#This Row],[Return (keep sorted by this column!)]])/(1+Table1[[#This Row],[S&amp;P Return, same period]])-1,1)</f>
        <v>-0.5</v>
      </c>
      <c r="V375" s="15">
        <f>IF(Table1[[#This Row],[Team]]="David",Table1[[#This Row],[Improvement Vs. S&amp;P Return]],"")</f>
        <v>-0.5</v>
      </c>
      <c r="W375" s="15" t="str">
        <f>IF(Table1[[#This Row],[Team]]="Tom",Table1[[#This Row],[Improvement Vs. S&amp;P Return]],"")</f>
        <v/>
      </c>
    </row>
    <row r="376" spans="1:23" ht="60" x14ac:dyDescent="0.2">
      <c r="A376" s="1">
        <v>40347</v>
      </c>
      <c r="B376" s="2" t="s">
        <v>461</v>
      </c>
      <c r="C376" s="2">
        <f>SUBTOTAL(103,Table1[[#This Row],[Recommendation Date]])</f>
        <v>1</v>
      </c>
      <c r="D376" s="2">
        <f>1</f>
        <v>1</v>
      </c>
      <c r="E376" s="16" t="s">
        <v>462</v>
      </c>
      <c r="F376" s="3" t="s">
        <v>58</v>
      </c>
      <c r="G376" s="3" t="s">
        <v>8</v>
      </c>
      <c r="H376" s="17"/>
      <c r="I376" s="3" t="s">
        <v>268</v>
      </c>
      <c r="J376" s="5">
        <v>-0.45200000000000001</v>
      </c>
      <c r="K376" s="48">
        <f>ROUND(LOG10(Table1[[#This Row],[Return (keep sorted by this column!)]]+1),2)</f>
        <v>-0.26</v>
      </c>
      <c r="L376" s="48">
        <f>COUNTIF(Table1[Return (keep sorted by this column!)],"&lt;"&amp;Table1[[#This Row],[Return (keep sorted by this column!)]])</f>
        <v>59</v>
      </c>
      <c r="M376" s="76" t="str">
        <f>IF(Table1[[#This Row],[Team]]="David",Table1[[#This Row],[Return (keep sorted by this column!)]],"")</f>
        <v/>
      </c>
      <c r="N376" s="76">
        <f>IF(Table1[[#This Row],[Team]]="Tom",Table1[[#This Row],[Return (keep sorted by this column!)]],"")</f>
        <v>-0.45200000000000001</v>
      </c>
      <c r="O376" s="5">
        <v>0.498</v>
      </c>
      <c r="P376" s="68" t="str">
        <f>IF(Table1[[#This Row],[Team]]="David",Table1[[#This Row],[S&amp;P Return, same period]],"")</f>
        <v/>
      </c>
      <c r="Q376" s="68">
        <f>IF(Table1[[#This Row],[Team]]="Tom",Table1[[#This Row],[S&amp;P Return, same period]],"")</f>
        <v>0.498</v>
      </c>
      <c r="R376" s="5">
        <v>-0.95</v>
      </c>
      <c r="S376" s="14" t="str">
        <f>IF(Table1[[#This Row],[Team]]="David",Table1[[#This Row],[Difference Vs. S&amp;P Return]],"")</f>
        <v/>
      </c>
      <c r="T376" s="14">
        <f>IF(Table1[[#This Row],[Team]]="Tom",Table1[[#This Row],[Difference Vs. S&amp;P Return]],"")</f>
        <v>-0.95</v>
      </c>
      <c r="U376" s="14">
        <f>ROUND((1+Table1[[#This Row],[Return (keep sorted by this column!)]])/(1+Table1[[#This Row],[S&amp;P Return, same period]])-1,1)</f>
        <v>-0.6</v>
      </c>
      <c r="V376" s="15" t="str">
        <f>IF(Table1[[#This Row],[Team]]="David",Table1[[#This Row],[Improvement Vs. S&amp;P Return]],"")</f>
        <v/>
      </c>
      <c r="W376" s="15">
        <f>IF(Table1[[#This Row],[Team]]="Tom",Table1[[#This Row],[Improvement Vs. S&amp;P Return]],"")</f>
        <v>-0.6</v>
      </c>
    </row>
    <row r="377" spans="1:23" ht="45" x14ac:dyDescent="0.2">
      <c r="A377" s="1">
        <v>37841</v>
      </c>
      <c r="B377" s="2" t="s">
        <v>710</v>
      </c>
      <c r="C377" s="2">
        <f>SUBTOTAL(103,Table1[[#This Row],[Recommendation Date]])</f>
        <v>1</v>
      </c>
      <c r="D377" s="2">
        <f>1</f>
        <v>1</v>
      </c>
      <c r="E377" s="16" t="s">
        <v>711</v>
      </c>
      <c r="F377" s="3" t="s">
        <v>252</v>
      </c>
      <c r="G377" s="3" t="s">
        <v>8</v>
      </c>
      <c r="H377" s="17"/>
      <c r="I377" s="4">
        <v>15.68</v>
      </c>
      <c r="J377" s="5">
        <v>-0.45600000000000002</v>
      </c>
      <c r="K377" s="48">
        <f>ROUND(LOG10(Table1[[#This Row],[Return (keep sorted by this column!)]]+1),2)</f>
        <v>-0.26</v>
      </c>
      <c r="L377" s="48">
        <f>COUNTIF(Table1[Return (keep sorted by this column!)],"&lt;"&amp;Table1[[#This Row],[Return (keep sorted by this column!)]])</f>
        <v>58</v>
      </c>
      <c r="M377" s="14" t="str">
        <f>IF(Table1[[#This Row],[Team]]="David",Table1[[#This Row],[Return (keep sorted by this column!)]],"")</f>
        <v/>
      </c>
      <c r="N377" s="14">
        <f>IF(Table1[[#This Row],[Team]]="Tom",Table1[[#This Row],[Return (keep sorted by this column!)]],"")</f>
        <v>-0.45600000000000002</v>
      </c>
      <c r="O377" s="5">
        <v>0.25600000000000001</v>
      </c>
      <c r="P377" s="23" t="str">
        <f>IF(Table1[[#This Row],[Team]]="David",Table1[[#This Row],[S&amp;P Return, same period]],"")</f>
        <v/>
      </c>
      <c r="Q377" s="23">
        <f>IF(Table1[[#This Row],[Team]]="Tom",Table1[[#This Row],[S&amp;P Return, same period]],"")</f>
        <v>0.25600000000000001</v>
      </c>
      <c r="R377" s="5">
        <v>-0.71199999999999997</v>
      </c>
      <c r="S377" s="14" t="str">
        <f>IF(Table1[[#This Row],[Team]]="David",Table1[[#This Row],[Difference Vs. S&amp;P Return]],"")</f>
        <v/>
      </c>
      <c r="T377" s="14">
        <f>IF(Table1[[#This Row],[Team]]="Tom",Table1[[#This Row],[Difference Vs. S&amp;P Return]],"")</f>
        <v>-0.71199999999999997</v>
      </c>
      <c r="U377" s="14">
        <f>ROUND((1+Table1[[#This Row],[Return (keep sorted by this column!)]])/(1+Table1[[#This Row],[S&amp;P Return, same period]])-1,1)</f>
        <v>-0.6</v>
      </c>
      <c r="V377" s="15" t="str">
        <f>IF(Table1[[#This Row],[Team]]="David",Table1[[#This Row],[Improvement Vs. S&amp;P Return]],"")</f>
        <v/>
      </c>
      <c r="W377" s="15">
        <f>IF(Table1[[#This Row],[Team]]="Tom",Table1[[#This Row],[Improvement Vs. S&amp;P Return]],"")</f>
        <v>-0.6</v>
      </c>
    </row>
    <row r="378" spans="1:23" ht="120" x14ac:dyDescent="0.2">
      <c r="A378" s="18">
        <v>41537</v>
      </c>
      <c r="B378" s="2" t="s">
        <v>333</v>
      </c>
      <c r="C378" s="2">
        <f>SUBTOTAL(103,Table1[[#This Row],[Recommendation Date]])</f>
        <v>1</v>
      </c>
      <c r="D378" s="2">
        <f>1</f>
        <v>1</v>
      </c>
      <c r="E378" s="3" t="s">
        <v>334</v>
      </c>
      <c r="F378" s="3" t="s">
        <v>267</v>
      </c>
      <c r="G378" s="3" t="s">
        <v>8</v>
      </c>
      <c r="H378" s="17"/>
      <c r="I378" s="3" t="s">
        <v>268</v>
      </c>
      <c r="J378" s="5">
        <v>-0.45700000000000002</v>
      </c>
      <c r="K378" s="48">
        <f>ROUND(LOG10(Table1[[#This Row],[Return (keep sorted by this column!)]]+1),2)</f>
        <v>-0.27</v>
      </c>
      <c r="L378" s="48">
        <f>COUNTIF(Table1[Return (keep sorted by this column!)],"&lt;"&amp;Table1[[#This Row],[Return (keep sorted by this column!)]])</f>
        <v>57</v>
      </c>
      <c r="M378" s="76" t="str">
        <f>IF(Table1[[#This Row],[Team]]="David",Table1[[#This Row],[Return (keep sorted by this column!)]],"")</f>
        <v/>
      </c>
      <c r="N378" s="76">
        <f>IF(Table1[[#This Row],[Team]]="Tom",Table1[[#This Row],[Return (keep sorted by this column!)]],"")</f>
        <v>-0.45700000000000002</v>
      </c>
      <c r="O378" s="5">
        <v>0.83399999999999996</v>
      </c>
      <c r="P378" s="68" t="str">
        <f>IF(Table1[[#This Row],[Team]]="David",Table1[[#This Row],[S&amp;P Return, same period]],"")</f>
        <v/>
      </c>
      <c r="Q378" s="68">
        <f>IF(Table1[[#This Row],[Team]]="Tom",Table1[[#This Row],[S&amp;P Return, same period]],"")</f>
        <v>0.83399999999999996</v>
      </c>
      <c r="R378" s="5">
        <v>-1.29</v>
      </c>
      <c r="S378" s="14" t="str">
        <f>IF(Table1[[#This Row],[Team]]="David",Table1[[#This Row],[Difference Vs. S&amp;P Return]],"")</f>
        <v/>
      </c>
      <c r="T378" s="14">
        <f>IF(Table1[[#This Row],[Team]]="Tom",Table1[[#This Row],[Difference Vs. S&amp;P Return]],"")</f>
        <v>-1.29</v>
      </c>
      <c r="U378" s="14">
        <f>ROUND((1+Table1[[#This Row],[Return (keep sorted by this column!)]])/(1+Table1[[#This Row],[S&amp;P Return, same period]])-1,1)</f>
        <v>-0.7</v>
      </c>
      <c r="V378" s="15" t="str">
        <f>IF(Table1[[#This Row],[Team]]="David",Table1[[#This Row],[Improvement Vs. S&amp;P Return]],"")</f>
        <v/>
      </c>
      <c r="W378" s="15">
        <f>IF(Table1[[#This Row],[Team]]="Tom",Table1[[#This Row],[Improvement Vs. S&amp;P Return]],"")</f>
        <v>-0.7</v>
      </c>
    </row>
    <row r="379" spans="1:23" ht="45" x14ac:dyDescent="0.2">
      <c r="A379" s="18">
        <v>43559</v>
      </c>
      <c r="B379" s="2" t="s">
        <v>64</v>
      </c>
      <c r="C379" s="2">
        <f>SUBTOTAL(103,Table1[[#This Row],[Recommendation Date]])</f>
        <v>1</v>
      </c>
      <c r="D379" s="2">
        <f>1</f>
        <v>1</v>
      </c>
      <c r="E379" s="16" t="s">
        <v>65</v>
      </c>
      <c r="F379" s="3" t="s">
        <v>66</v>
      </c>
      <c r="G379" s="3" t="s">
        <v>8</v>
      </c>
      <c r="H379" s="17"/>
      <c r="I379" s="4">
        <v>87.68</v>
      </c>
      <c r="J379" s="5">
        <v>-0.46400000000000002</v>
      </c>
      <c r="K379" s="48">
        <f>ROUND(LOG10(Table1[[#This Row],[Return (keep sorted by this column!)]]+1),2)</f>
        <v>-0.27</v>
      </c>
      <c r="L379" s="48">
        <f>COUNTIF(Table1[Return (keep sorted by this column!)],"&lt;"&amp;Table1[[#This Row],[Return (keep sorted by this column!)]])</f>
        <v>56</v>
      </c>
      <c r="M379" s="76" t="str">
        <f>IF(Table1[[#This Row],[Team]]="David",Table1[[#This Row],[Return (keep sorted by this column!)]],"")</f>
        <v/>
      </c>
      <c r="N379" s="76">
        <f>IF(Table1[[#This Row],[Team]]="Tom",Table1[[#This Row],[Return (keep sorted by this column!)]],"")</f>
        <v>-0.46400000000000002</v>
      </c>
      <c r="O379" s="5">
        <v>-2.8000000000000001E-2</v>
      </c>
      <c r="P379" s="68" t="str">
        <f>IF(Table1[[#This Row],[Team]]="David",Table1[[#This Row],[S&amp;P Return, same period]],"")</f>
        <v/>
      </c>
      <c r="Q379" s="68">
        <f>IF(Table1[[#This Row],[Team]]="Tom",Table1[[#This Row],[S&amp;P Return, same period]],"")</f>
        <v>-2.8000000000000001E-2</v>
      </c>
      <c r="R379" s="5">
        <v>-0.435</v>
      </c>
      <c r="S379" s="14" t="str">
        <f>IF(Table1[[#This Row],[Team]]="David",Table1[[#This Row],[Difference Vs. S&amp;P Return]],"")</f>
        <v/>
      </c>
      <c r="T379" s="14">
        <f>IF(Table1[[#This Row],[Team]]="Tom",Table1[[#This Row],[Difference Vs. S&amp;P Return]],"")</f>
        <v>-0.435</v>
      </c>
      <c r="U379" s="14">
        <f>ROUND((1+Table1[[#This Row],[Return (keep sorted by this column!)]])/(1+Table1[[#This Row],[S&amp;P Return, same period]])-1,1)</f>
        <v>-0.4</v>
      </c>
      <c r="V379" s="15" t="str">
        <f>IF(Table1[[#This Row],[Team]]="David",Table1[[#This Row],[Improvement Vs. S&amp;P Return]],"")</f>
        <v/>
      </c>
      <c r="W379" s="15">
        <f>IF(Table1[[#This Row],[Team]]="Tom",Table1[[#This Row],[Improvement Vs. S&amp;P Return]],"")</f>
        <v>-0.4</v>
      </c>
    </row>
    <row r="380" spans="1:23" ht="45" x14ac:dyDescent="0.2">
      <c r="A380" s="1">
        <v>37358</v>
      </c>
      <c r="B380" s="2" t="s">
        <v>651</v>
      </c>
      <c r="C380" s="2">
        <f>SUBTOTAL(103,Table1[[#This Row],[Recommendation Date]])</f>
        <v>1</v>
      </c>
      <c r="D380" s="2">
        <f>1</f>
        <v>1</v>
      </c>
      <c r="E380" s="16" t="s">
        <v>652</v>
      </c>
      <c r="F380" s="3" t="s">
        <v>95</v>
      </c>
      <c r="G380" s="3" t="s">
        <v>12</v>
      </c>
      <c r="H380" s="16">
        <v>8</v>
      </c>
      <c r="I380" s="4">
        <v>29.95</v>
      </c>
      <c r="J380" s="5">
        <v>-0.46899999999999997</v>
      </c>
      <c r="K380" s="48">
        <f>ROUND(LOG10(Table1[[#This Row],[Return (keep sorted by this column!)]]+1),2)</f>
        <v>-0.27</v>
      </c>
      <c r="L380" s="48">
        <f>COUNTIF(Table1[Return (keep sorted by this column!)],"&lt;"&amp;Table1[[#This Row],[Return (keep sorted by this column!)]])</f>
        <v>55</v>
      </c>
      <c r="M380" s="14">
        <f>IF(Table1[[#This Row],[Team]]="David",Table1[[#This Row],[Return (keep sorted by this column!)]],"")</f>
        <v>-0.46899999999999997</v>
      </c>
      <c r="N380" s="14" t="str">
        <f>IF(Table1[[#This Row],[Team]]="Tom",Table1[[#This Row],[Return (keep sorted by this column!)]],"")</f>
        <v/>
      </c>
      <c r="O380" s="5">
        <v>0.32900000000000001</v>
      </c>
      <c r="P380" s="23">
        <f>IF(Table1[[#This Row],[Team]]="David",Table1[[#This Row],[S&amp;P Return, same period]],"")</f>
        <v>0.32900000000000001</v>
      </c>
      <c r="Q380" s="23" t="str">
        <f>IF(Table1[[#This Row],[Team]]="Tom",Table1[[#This Row],[S&amp;P Return, same period]],"")</f>
        <v/>
      </c>
      <c r="R380" s="5">
        <v>-0.79800000000000004</v>
      </c>
      <c r="S380" s="14">
        <f>IF(Table1[[#This Row],[Team]]="David",Table1[[#This Row],[Difference Vs. S&amp;P Return]],"")</f>
        <v>-0.79800000000000004</v>
      </c>
      <c r="T380" s="14" t="str">
        <f>IF(Table1[[#This Row],[Team]]="Tom",Table1[[#This Row],[Difference Vs. S&amp;P Return]],"")</f>
        <v/>
      </c>
      <c r="U380" s="14">
        <f>ROUND((1+Table1[[#This Row],[Return (keep sorted by this column!)]])/(1+Table1[[#This Row],[S&amp;P Return, same period]])-1,1)</f>
        <v>-0.6</v>
      </c>
      <c r="V380" s="15">
        <f>IF(Table1[[#This Row],[Team]]="David",Table1[[#This Row],[Improvement Vs. S&amp;P Return]],"")</f>
        <v>-0.6</v>
      </c>
      <c r="W380" s="15" t="str">
        <f>IF(Table1[[#This Row],[Team]]="Tom",Table1[[#This Row],[Improvement Vs. S&amp;P Return]],"")</f>
        <v/>
      </c>
    </row>
    <row r="381" spans="1:23" ht="30" x14ac:dyDescent="0.2">
      <c r="A381" s="18">
        <v>43482</v>
      </c>
      <c r="B381" s="2" t="s">
        <v>77</v>
      </c>
      <c r="C381" s="2">
        <f>SUBTOTAL(103,Table1[[#This Row],[Recommendation Date]])</f>
        <v>1</v>
      </c>
      <c r="D381" s="2">
        <f>1</f>
        <v>1</v>
      </c>
      <c r="E381" s="16" t="s">
        <v>78</v>
      </c>
      <c r="F381" s="3" t="s">
        <v>79</v>
      </c>
      <c r="G381" s="3" t="s">
        <v>12</v>
      </c>
      <c r="H381" s="16">
        <v>10</v>
      </c>
      <c r="I381" s="4">
        <v>32.78</v>
      </c>
      <c r="J381" s="5">
        <v>-0.48599999999999999</v>
      </c>
      <c r="K381" s="48">
        <f>ROUND(LOG10(Table1[[#This Row],[Return (keep sorted by this column!)]]+1),2)</f>
        <v>-0.28999999999999998</v>
      </c>
      <c r="L381" s="48">
        <f>COUNTIF(Table1[Return (keep sorted by this column!)],"&lt;"&amp;Table1[[#This Row],[Return (keep sorted by this column!)]])</f>
        <v>54</v>
      </c>
      <c r="M381" s="76">
        <f>IF(Table1[[#This Row],[Team]]="David",Table1[[#This Row],[Return (keep sorted by this column!)]],"")</f>
        <v>-0.48599999999999999</v>
      </c>
      <c r="N381" s="76" t="str">
        <f>IF(Table1[[#This Row],[Team]]="Tom",Table1[[#This Row],[Return (keep sorted by this column!)]],"")</f>
        <v/>
      </c>
      <c r="O381" s="5">
        <v>6.6000000000000003E-2</v>
      </c>
      <c r="P381" s="68">
        <f>IF(Table1[[#This Row],[Team]]="David",Table1[[#This Row],[S&amp;P Return, same period]],"")</f>
        <v>6.6000000000000003E-2</v>
      </c>
      <c r="Q381" s="68" t="str">
        <f>IF(Table1[[#This Row],[Team]]="Tom",Table1[[#This Row],[S&amp;P Return, same period]],"")</f>
        <v/>
      </c>
      <c r="R381" s="5">
        <v>-0.55200000000000005</v>
      </c>
      <c r="S381" s="14">
        <f>IF(Table1[[#This Row],[Team]]="David",Table1[[#This Row],[Difference Vs. S&amp;P Return]],"")</f>
        <v>-0.55200000000000005</v>
      </c>
      <c r="T381" s="14" t="str">
        <f>IF(Table1[[#This Row],[Team]]="Tom",Table1[[#This Row],[Difference Vs. S&amp;P Return]],"")</f>
        <v/>
      </c>
      <c r="U381" s="14">
        <f>ROUND((1+Table1[[#This Row],[Return (keep sorted by this column!)]])/(1+Table1[[#This Row],[S&amp;P Return, same period]])-1,1)</f>
        <v>-0.5</v>
      </c>
      <c r="V381" s="15">
        <f>IF(Table1[[#This Row],[Team]]="David",Table1[[#This Row],[Improvement Vs. S&amp;P Return]],"")</f>
        <v>-0.5</v>
      </c>
      <c r="W381" s="15" t="str">
        <f>IF(Table1[[#This Row],[Team]]="Tom",Table1[[#This Row],[Improvement Vs. S&amp;P Return]],"")</f>
        <v/>
      </c>
    </row>
    <row r="382" spans="1:23" ht="60" x14ac:dyDescent="0.2">
      <c r="A382" s="1">
        <v>39402</v>
      </c>
      <c r="B382" s="2" t="s">
        <v>559</v>
      </c>
      <c r="C382" s="2">
        <f>SUBTOTAL(103,Table1[[#This Row],[Recommendation Date]])</f>
        <v>1</v>
      </c>
      <c r="D382" s="2">
        <f>1</f>
        <v>1</v>
      </c>
      <c r="E382" s="16" t="s">
        <v>560</v>
      </c>
      <c r="F382" s="3" t="s">
        <v>252</v>
      </c>
      <c r="G382" s="3" t="s">
        <v>12</v>
      </c>
      <c r="H382" s="17"/>
      <c r="I382" s="4">
        <v>21.9</v>
      </c>
      <c r="J382" s="5">
        <v>-0.501</v>
      </c>
      <c r="K382" s="48">
        <f>ROUND(LOG10(Table1[[#This Row],[Return (keep sorted by this column!)]]+1),2)</f>
        <v>-0.3</v>
      </c>
      <c r="L382" s="48">
        <f>COUNTIF(Table1[Return (keep sorted by this column!)],"&lt;"&amp;Table1[[#This Row],[Return (keep sorted by this column!)]])</f>
        <v>53</v>
      </c>
      <c r="M382" s="14">
        <f>IF(Table1[[#This Row],[Team]]="David",Table1[[#This Row],[Return (keep sorted by this column!)]],"")</f>
        <v>-0.501</v>
      </c>
      <c r="N382" s="14" t="str">
        <f>IF(Table1[[#This Row],[Team]]="Tom",Table1[[#This Row],[Return (keep sorted by this column!)]],"")</f>
        <v/>
      </c>
      <c r="O382" s="5">
        <v>-0.13600000000000001</v>
      </c>
      <c r="P382" s="23">
        <f>IF(Table1[[#This Row],[Team]]="David",Table1[[#This Row],[S&amp;P Return, same period]],"")</f>
        <v>-0.13600000000000001</v>
      </c>
      <c r="Q382" s="23" t="str">
        <f>IF(Table1[[#This Row],[Team]]="Tom",Table1[[#This Row],[S&amp;P Return, same period]],"")</f>
        <v/>
      </c>
      <c r="R382" s="5">
        <v>-0.36599999999999999</v>
      </c>
      <c r="S382" s="14">
        <f>IF(Table1[[#This Row],[Team]]="David",Table1[[#This Row],[Difference Vs. S&amp;P Return]],"")</f>
        <v>-0.36599999999999999</v>
      </c>
      <c r="T382" s="14" t="str">
        <f>IF(Table1[[#This Row],[Team]]="Tom",Table1[[#This Row],[Difference Vs. S&amp;P Return]],"")</f>
        <v/>
      </c>
      <c r="U382" s="14">
        <f>ROUND((1+Table1[[#This Row],[Return (keep sorted by this column!)]])/(1+Table1[[#This Row],[S&amp;P Return, same period]])-1,1)</f>
        <v>-0.4</v>
      </c>
      <c r="V382" s="15">
        <f>IF(Table1[[#This Row],[Team]]="David",Table1[[#This Row],[Improvement Vs. S&amp;P Return]],"")</f>
        <v>-0.4</v>
      </c>
      <c r="W382" s="15" t="str">
        <f>IF(Table1[[#This Row],[Team]]="Tom",Table1[[#This Row],[Improvement Vs. S&amp;P Return]],"")</f>
        <v/>
      </c>
    </row>
    <row r="383" spans="1:23" ht="45" x14ac:dyDescent="0.2">
      <c r="A383" s="1">
        <v>40711</v>
      </c>
      <c r="B383" s="2" t="s">
        <v>416</v>
      </c>
      <c r="C383" s="2">
        <f>SUBTOTAL(103,Table1[[#This Row],[Recommendation Date]])</f>
        <v>1</v>
      </c>
      <c r="D383" s="2">
        <f>1</f>
        <v>1</v>
      </c>
      <c r="E383" s="16" t="s">
        <v>417</v>
      </c>
      <c r="F383" s="3" t="s">
        <v>15</v>
      </c>
      <c r="G383" s="3" t="s">
        <v>8</v>
      </c>
      <c r="H383" s="17"/>
      <c r="I383" s="4">
        <v>56.12</v>
      </c>
      <c r="J383" s="5">
        <v>-0.50700000000000001</v>
      </c>
      <c r="K383" s="48">
        <f>ROUND(LOG10(Table1[[#This Row],[Return (keep sorted by this column!)]]+1),2)</f>
        <v>-0.31</v>
      </c>
      <c r="L383" s="48">
        <f>COUNTIF(Table1[Return (keep sorted by this column!)],"&lt;"&amp;Table1[[#This Row],[Return (keep sorted by this column!)]])</f>
        <v>52</v>
      </c>
      <c r="M383" s="76" t="str">
        <f>IF(Table1[[#This Row],[Team]]="David",Table1[[#This Row],[Return (keep sorted by this column!)]],"")</f>
        <v/>
      </c>
      <c r="N383" s="76">
        <f>IF(Table1[[#This Row],[Team]]="Tom",Table1[[#This Row],[Return (keep sorted by this column!)]],"")</f>
        <v>-0.50700000000000001</v>
      </c>
      <c r="O383" s="5">
        <v>0.81399999999999995</v>
      </c>
      <c r="P383" s="68" t="str">
        <f>IF(Table1[[#This Row],[Team]]="David",Table1[[#This Row],[S&amp;P Return, same period]],"")</f>
        <v/>
      </c>
      <c r="Q383" s="68">
        <f>IF(Table1[[#This Row],[Team]]="Tom",Table1[[#This Row],[S&amp;P Return, same period]],"")</f>
        <v>0.81399999999999995</v>
      </c>
      <c r="R383" s="5">
        <v>-1.3220000000000001</v>
      </c>
      <c r="S383" s="14" t="str">
        <f>IF(Table1[[#This Row],[Team]]="David",Table1[[#This Row],[Difference Vs. S&amp;P Return]],"")</f>
        <v/>
      </c>
      <c r="T383" s="14">
        <f>IF(Table1[[#This Row],[Team]]="Tom",Table1[[#This Row],[Difference Vs. S&amp;P Return]],"")</f>
        <v>-1.3220000000000001</v>
      </c>
      <c r="U383" s="14">
        <f>ROUND((1+Table1[[#This Row],[Return (keep sorted by this column!)]])/(1+Table1[[#This Row],[S&amp;P Return, same period]])-1,1)</f>
        <v>-0.7</v>
      </c>
      <c r="V383" s="15" t="str">
        <f>IF(Table1[[#This Row],[Team]]="David",Table1[[#This Row],[Improvement Vs. S&amp;P Return]],"")</f>
        <v/>
      </c>
      <c r="W383" s="15">
        <f>IF(Table1[[#This Row],[Team]]="Tom",Table1[[#This Row],[Improvement Vs. S&amp;P Return]],"")</f>
        <v>-0.7</v>
      </c>
    </row>
    <row r="384" spans="1:23" ht="17" x14ac:dyDescent="0.2">
      <c r="A384" s="18">
        <v>41901</v>
      </c>
      <c r="B384" s="2" t="s">
        <v>289</v>
      </c>
      <c r="C384" s="2">
        <f>SUBTOTAL(103,Table1[[#This Row],[Recommendation Date]])</f>
        <v>1</v>
      </c>
      <c r="D384" s="2">
        <f>1</f>
        <v>1</v>
      </c>
      <c r="E384" s="16" t="s">
        <v>290</v>
      </c>
      <c r="F384" s="3" t="s">
        <v>58</v>
      </c>
      <c r="G384" s="3" t="s">
        <v>12</v>
      </c>
      <c r="H384" s="16">
        <v>12</v>
      </c>
      <c r="I384" s="4">
        <v>54.5</v>
      </c>
      <c r="J384" s="5">
        <v>-0.50800000000000001</v>
      </c>
      <c r="K384" s="48">
        <f>ROUND(LOG10(Table1[[#This Row],[Return (keep sorted by this column!)]]+1),2)</f>
        <v>-0.31</v>
      </c>
      <c r="L384" s="48">
        <f>COUNTIF(Table1[Return (keep sorted by this column!)],"&lt;"&amp;Table1[[#This Row],[Return (keep sorted by this column!)]])</f>
        <v>50</v>
      </c>
      <c r="M384" s="76">
        <f>IF(Table1[[#This Row],[Team]]="David",Table1[[#This Row],[Return (keep sorted by this column!)]],"")</f>
        <v>-0.50800000000000001</v>
      </c>
      <c r="N384" s="76" t="str">
        <f>IF(Table1[[#This Row],[Team]]="Tom",Table1[[#This Row],[Return (keep sorted by this column!)]],"")</f>
        <v/>
      </c>
      <c r="O384" s="5">
        <v>0.52800000000000002</v>
      </c>
      <c r="P384" s="68">
        <f>IF(Table1[[#This Row],[Team]]="David",Table1[[#This Row],[S&amp;P Return, same period]],"")</f>
        <v>0.52800000000000002</v>
      </c>
      <c r="Q384" s="68" t="str">
        <f>IF(Table1[[#This Row],[Team]]="Tom",Table1[[#This Row],[S&amp;P Return, same period]],"")</f>
        <v/>
      </c>
      <c r="R384" s="5">
        <v>-1.036</v>
      </c>
      <c r="S384" s="14">
        <f>IF(Table1[[#This Row],[Team]]="David",Table1[[#This Row],[Difference Vs. S&amp;P Return]],"")</f>
        <v>-1.036</v>
      </c>
      <c r="T384" s="14" t="str">
        <f>IF(Table1[[#This Row],[Team]]="Tom",Table1[[#This Row],[Difference Vs. S&amp;P Return]],"")</f>
        <v/>
      </c>
      <c r="U384" s="14">
        <f>ROUND((1+Table1[[#This Row],[Return (keep sorted by this column!)]])/(1+Table1[[#This Row],[S&amp;P Return, same period]])-1,1)</f>
        <v>-0.7</v>
      </c>
      <c r="V384" s="15">
        <f>IF(Table1[[#This Row],[Team]]="David",Table1[[#This Row],[Improvement Vs. S&amp;P Return]],"")</f>
        <v>-0.7</v>
      </c>
      <c r="W384" s="15" t="str">
        <f>IF(Table1[[#This Row],[Team]]="Tom",Table1[[#This Row],[Improvement Vs. S&amp;P Return]],"")</f>
        <v/>
      </c>
    </row>
    <row r="385" spans="1:23" ht="45" x14ac:dyDescent="0.2">
      <c r="A385" s="1">
        <v>41474</v>
      </c>
      <c r="B385" s="2" t="s">
        <v>337</v>
      </c>
      <c r="C385" s="2">
        <f>SUBTOTAL(103,Table1[[#This Row],[Recommendation Date]])</f>
        <v>1</v>
      </c>
      <c r="D385" s="2">
        <f>1</f>
        <v>1</v>
      </c>
      <c r="E385" s="16" t="s">
        <v>338</v>
      </c>
      <c r="F385" s="3" t="s">
        <v>339</v>
      </c>
      <c r="G385" s="3" t="s">
        <v>8</v>
      </c>
      <c r="H385" s="17"/>
      <c r="I385" s="4">
        <v>30.76</v>
      </c>
      <c r="J385" s="5">
        <v>-0.50800000000000001</v>
      </c>
      <c r="K385" s="48">
        <f>ROUND(LOG10(Table1[[#This Row],[Return (keep sorted by this column!)]]+1),2)</f>
        <v>-0.31</v>
      </c>
      <c r="L385" s="48">
        <f>COUNTIF(Table1[Return (keep sorted by this column!)],"&lt;"&amp;Table1[[#This Row],[Return (keep sorted by this column!)]])</f>
        <v>50</v>
      </c>
      <c r="M385" s="76" t="str">
        <f>IF(Table1[[#This Row],[Team]]="David",Table1[[#This Row],[Return (keep sorted by this column!)]],"")</f>
        <v/>
      </c>
      <c r="N385" s="76">
        <f>IF(Table1[[#This Row],[Team]]="Tom",Table1[[#This Row],[Return (keep sorted by this column!)]],"")</f>
        <v>-0.50800000000000001</v>
      </c>
      <c r="O385" s="5">
        <v>0.77300000000000002</v>
      </c>
      <c r="P385" s="68" t="str">
        <f>IF(Table1[[#This Row],[Team]]="David",Table1[[#This Row],[S&amp;P Return, same period]],"")</f>
        <v/>
      </c>
      <c r="Q385" s="68">
        <f>IF(Table1[[#This Row],[Team]]="Tom",Table1[[#This Row],[S&amp;P Return, same period]],"")</f>
        <v>0.77300000000000002</v>
      </c>
      <c r="R385" s="5">
        <v>-1.28</v>
      </c>
      <c r="S385" s="14" t="str">
        <f>IF(Table1[[#This Row],[Team]]="David",Table1[[#This Row],[Difference Vs. S&amp;P Return]],"")</f>
        <v/>
      </c>
      <c r="T385" s="14">
        <f>IF(Table1[[#This Row],[Team]]="Tom",Table1[[#This Row],[Difference Vs. S&amp;P Return]],"")</f>
        <v>-1.28</v>
      </c>
      <c r="U385" s="14">
        <f>ROUND((1+Table1[[#This Row],[Return (keep sorted by this column!)]])/(1+Table1[[#This Row],[S&amp;P Return, same period]])-1,1)</f>
        <v>-0.7</v>
      </c>
      <c r="V385" s="15" t="str">
        <f>IF(Table1[[#This Row],[Team]]="David",Table1[[#This Row],[Improvement Vs. S&amp;P Return]],"")</f>
        <v/>
      </c>
      <c r="W385" s="15">
        <f>IF(Table1[[#This Row],[Team]]="Tom",Table1[[#This Row],[Improvement Vs. S&amp;P Return]],"")</f>
        <v>-0.7</v>
      </c>
    </row>
    <row r="386" spans="1:23" ht="75" x14ac:dyDescent="0.2">
      <c r="A386" s="1">
        <v>40683</v>
      </c>
      <c r="B386" s="2" t="s">
        <v>420</v>
      </c>
      <c r="C386" s="2">
        <f>SUBTOTAL(103,Table1[[#This Row],[Recommendation Date]])</f>
        <v>1</v>
      </c>
      <c r="D386" s="2">
        <f>1</f>
        <v>1</v>
      </c>
      <c r="E386" s="16" t="s">
        <v>421</v>
      </c>
      <c r="F386" s="3" t="s">
        <v>27</v>
      </c>
      <c r="G386" s="3" t="s">
        <v>12</v>
      </c>
      <c r="H386" s="17"/>
      <c r="I386" s="4">
        <v>55.66</v>
      </c>
      <c r="J386" s="5">
        <v>-0.51</v>
      </c>
      <c r="K386" s="48">
        <f>ROUND(LOG10(Table1[[#This Row],[Return (keep sorted by this column!)]]+1),2)</f>
        <v>-0.31</v>
      </c>
      <c r="L386" s="48">
        <f>COUNTIF(Table1[Return (keep sorted by this column!)],"&lt;"&amp;Table1[[#This Row],[Return (keep sorted by this column!)]])</f>
        <v>49</v>
      </c>
      <c r="M386" s="76">
        <f>IF(Table1[[#This Row],[Team]]="David",Table1[[#This Row],[Return (keep sorted by this column!)]],"")</f>
        <v>-0.51</v>
      </c>
      <c r="N386" s="76" t="str">
        <f>IF(Table1[[#This Row],[Team]]="Tom",Table1[[#This Row],[Return (keep sorted by this column!)]],"")</f>
        <v/>
      </c>
      <c r="O386" s="5">
        <v>0.39400000000000002</v>
      </c>
      <c r="P386" s="68">
        <f>IF(Table1[[#This Row],[Team]]="David",Table1[[#This Row],[S&amp;P Return, same period]],"")</f>
        <v>0.39400000000000002</v>
      </c>
      <c r="Q386" s="68" t="str">
        <f>IF(Table1[[#This Row],[Team]]="Tom",Table1[[#This Row],[S&amp;P Return, same period]],"")</f>
        <v/>
      </c>
      <c r="R386" s="5">
        <v>-0.90400000000000003</v>
      </c>
      <c r="S386" s="14">
        <f>IF(Table1[[#This Row],[Team]]="David",Table1[[#This Row],[Difference Vs. S&amp;P Return]],"")</f>
        <v>-0.90400000000000003</v>
      </c>
      <c r="T386" s="14" t="str">
        <f>IF(Table1[[#This Row],[Team]]="Tom",Table1[[#This Row],[Difference Vs. S&amp;P Return]],"")</f>
        <v/>
      </c>
      <c r="U386" s="14">
        <f>ROUND((1+Table1[[#This Row],[Return (keep sorted by this column!)]])/(1+Table1[[#This Row],[S&amp;P Return, same period]])-1,1)</f>
        <v>-0.6</v>
      </c>
      <c r="V386" s="15">
        <f>IF(Table1[[#This Row],[Team]]="David",Table1[[#This Row],[Improvement Vs. S&amp;P Return]],"")</f>
        <v>-0.6</v>
      </c>
      <c r="W386" s="15" t="str">
        <f>IF(Table1[[#This Row],[Team]]="Tom",Table1[[#This Row],[Improvement Vs. S&amp;P Return]],"")</f>
        <v/>
      </c>
    </row>
    <row r="387" spans="1:23" ht="45" x14ac:dyDescent="0.2">
      <c r="A387" s="1">
        <v>42083</v>
      </c>
      <c r="B387" s="2" t="s">
        <v>211</v>
      </c>
      <c r="C387" s="2">
        <f>SUBTOTAL(103,Table1[[#This Row],[Recommendation Date]])</f>
        <v>1</v>
      </c>
      <c r="D387" s="2">
        <f>1</f>
        <v>1</v>
      </c>
      <c r="E387" s="16" t="s">
        <v>212</v>
      </c>
      <c r="F387" s="3" t="s">
        <v>66</v>
      </c>
      <c r="G387" s="3" t="s">
        <v>8</v>
      </c>
      <c r="H387" s="17"/>
      <c r="I387" s="4">
        <v>86.35</v>
      </c>
      <c r="J387" s="5">
        <v>-0.51400000000000001</v>
      </c>
      <c r="K387" s="48">
        <f>ROUND(LOG10(Table1[[#This Row],[Return (keep sorted by this column!)]]+1),2)</f>
        <v>-0.31</v>
      </c>
      <c r="L387" s="48">
        <f>COUNTIF(Table1[Return (keep sorted by this column!)],"&lt;"&amp;Table1[[#This Row],[Return (keep sorted by this column!)]])</f>
        <v>48</v>
      </c>
      <c r="M387" s="76" t="str">
        <f>IF(Table1[[#This Row],[Team]]="David",Table1[[#This Row],[Return (keep sorted by this column!)]],"")</f>
        <v/>
      </c>
      <c r="N387" s="76">
        <f>IF(Table1[[#This Row],[Team]]="Tom",Table1[[#This Row],[Return (keep sorted by this column!)]],"")</f>
        <v>-0.51400000000000001</v>
      </c>
      <c r="O387" s="5">
        <v>0.36799999999999999</v>
      </c>
      <c r="P387" s="68" t="str">
        <f>IF(Table1[[#This Row],[Team]]="David",Table1[[#This Row],[S&amp;P Return, same period]],"")</f>
        <v/>
      </c>
      <c r="Q387" s="68">
        <f>IF(Table1[[#This Row],[Team]]="Tom",Table1[[#This Row],[S&amp;P Return, same period]],"")</f>
        <v>0.36799999999999999</v>
      </c>
      <c r="R387" s="5">
        <v>-0.88200000000000001</v>
      </c>
      <c r="S387" s="14" t="str">
        <f>IF(Table1[[#This Row],[Team]]="David",Table1[[#This Row],[Difference Vs. S&amp;P Return]],"")</f>
        <v/>
      </c>
      <c r="T387" s="14">
        <f>IF(Table1[[#This Row],[Team]]="Tom",Table1[[#This Row],[Difference Vs. S&amp;P Return]],"")</f>
        <v>-0.88200000000000001</v>
      </c>
      <c r="U387" s="14">
        <f>ROUND((1+Table1[[#This Row],[Return (keep sorted by this column!)]])/(1+Table1[[#This Row],[S&amp;P Return, same period]])-1,1)</f>
        <v>-0.6</v>
      </c>
      <c r="V387" s="15" t="str">
        <f>IF(Table1[[#This Row],[Team]]="David",Table1[[#This Row],[Improvement Vs. S&amp;P Return]],"")</f>
        <v/>
      </c>
      <c r="W387" s="15">
        <f>IF(Table1[[#This Row],[Team]]="Tom",Table1[[#This Row],[Improvement Vs. S&amp;P Return]],"")</f>
        <v>-0.6</v>
      </c>
    </row>
    <row r="388" spans="1:23" ht="60" x14ac:dyDescent="0.2">
      <c r="A388" s="1">
        <v>40620</v>
      </c>
      <c r="B388" s="2" t="s">
        <v>429</v>
      </c>
      <c r="C388" s="2">
        <f>SUBTOTAL(103,Table1[[#This Row],[Recommendation Date]])</f>
        <v>1</v>
      </c>
      <c r="D388" s="2">
        <f>1</f>
        <v>1</v>
      </c>
      <c r="E388" s="16" t="s">
        <v>430</v>
      </c>
      <c r="F388" s="3" t="s">
        <v>150</v>
      </c>
      <c r="G388" s="3" t="s">
        <v>8</v>
      </c>
      <c r="H388" s="17"/>
      <c r="I388" s="4">
        <v>15.91</v>
      </c>
      <c r="J388" s="5">
        <v>-0.52400000000000002</v>
      </c>
      <c r="K388" s="48">
        <f>ROUND(LOG10(Table1[[#This Row],[Return (keep sorted by this column!)]]+1),2)</f>
        <v>-0.32</v>
      </c>
      <c r="L388" s="48">
        <f>COUNTIF(Table1[Return (keep sorted by this column!)],"&lt;"&amp;Table1[[#This Row],[Return (keep sorted by this column!)]])</f>
        <v>47</v>
      </c>
      <c r="M388" s="76" t="str">
        <f>IF(Table1[[#This Row],[Team]]="David",Table1[[#This Row],[Return (keep sorted by this column!)]],"")</f>
        <v/>
      </c>
      <c r="N388" s="76">
        <f>IF(Table1[[#This Row],[Team]]="Tom",Table1[[#This Row],[Return (keep sorted by this column!)]],"")</f>
        <v>-0.52400000000000002</v>
      </c>
      <c r="O388" s="5">
        <v>0.76400000000000001</v>
      </c>
      <c r="P388" s="68" t="str">
        <f>IF(Table1[[#This Row],[Team]]="David",Table1[[#This Row],[S&amp;P Return, same period]],"")</f>
        <v/>
      </c>
      <c r="Q388" s="68">
        <f>IF(Table1[[#This Row],[Team]]="Tom",Table1[[#This Row],[S&amp;P Return, same period]],"")</f>
        <v>0.76400000000000001</v>
      </c>
      <c r="R388" s="5">
        <v>-1.2889999999999999</v>
      </c>
      <c r="S388" s="14" t="str">
        <f>IF(Table1[[#This Row],[Team]]="David",Table1[[#This Row],[Difference Vs. S&amp;P Return]],"")</f>
        <v/>
      </c>
      <c r="T388" s="14">
        <f>IF(Table1[[#This Row],[Team]]="Tom",Table1[[#This Row],[Difference Vs. S&amp;P Return]],"")</f>
        <v>-1.2889999999999999</v>
      </c>
      <c r="U388" s="14">
        <f>ROUND((1+Table1[[#This Row],[Return (keep sorted by this column!)]])/(1+Table1[[#This Row],[S&amp;P Return, same period]])-1,1)</f>
        <v>-0.7</v>
      </c>
      <c r="V388" s="15" t="str">
        <f>IF(Table1[[#This Row],[Team]]="David",Table1[[#This Row],[Improvement Vs. S&amp;P Return]],"")</f>
        <v/>
      </c>
      <c r="W388" s="15">
        <f>IF(Table1[[#This Row],[Team]]="Tom",Table1[[#This Row],[Improvement Vs. S&amp;P Return]],"")</f>
        <v>-0.7</v>
      </c>
    </row>
    <row r="389" spans="1:23" ht="17" x14ac:dyDescent="0.2">
      <c r="A389" s="18">
        <v>43349</v>
      </c>
      <c r="B389" s="2" t="s">
        <v>99</v>
      </c>
      <c r="C389" s="2">
        <f>SUBTOTAL(103,Table1[[#This Row],[Recommendation Date]])</f>
        <v>1</v>
      </c>
      <c r="D389" s="2">
        <f>1</f>
        <v>1</v>
      </c>
      <c r="E389" s="16" t="s">
        <v>100</v>
      </c>
      <c r="F389" s="3" t="s">
        <v>15</v>
      </c>
      <c r="G389" s="3" t="s">
        <v>8</v>
      </c>
      <c r="H389" s="17"/>
      <c r="I389" s="4">
        <v>45.19</v>
      </c>
      <c r="J389" s="5">
        <v>-0.53100000000000003</v>
      </c>
      <c r="K389" s="48">
        <f>ROUND(LOG10(Table1[[#This Row],[Return (keep sorted by this column!)]]+1),2)</f>
        <v>-0.33</v>
      </c>
      <c r="L389" s="48">
        <f>COUNTIF(Table1[Return (keep sorted by this column!)],"&lt;"&amp;Table1[[#This Row],[Return (keep sorted by this column!)]])</f>
        <v>46</v>
      </c>
      <c r="M389" s="76" t="str">
        <f>IF(Table1[[#This Row],[Team]]="David",Table1[[#This Row],[Return (keep sorted by this column!)]],"")</f>
        <v/>
      </c>
      <c r="N389" s="76">
        <f>IF(Table1[[#This Row],[Team]]="Tom",Table1[[#This Row],[Return (keep sorted by this column!)]],"")</f>
        <v>-0.53100000000000003</v>
      </c>
      <c r="O389" s="5">
        <v>-1.7000000000000001E-2</v>
      </c>
      <c r="P389" s="68" t="str">
        <f>IF(Table1[[#This Row],[Team]]="David",Table1[[#This Row],[S&amp;P Return, same period]],"")</f>
        <v/>
      </c>
      <c r="Q389" s="68">
        <f>IF(Table1[[#This Row],[Team]]="Tom",Table1[[#This Row],[S&amp;P Return, same period]],"")</f>
        <v>-1.7000000000000001E-2</v>
      </c>
      <c r="R389" s="5">
        <v>-0.51400000000000001</v>
      </c>
      <c r="S389" s="14" t="str">
        <f>IF(Table1[[#This Row],[Team]]="David",Table1[[#This Row],[Difference Vs. S&amp;P Return]],"")</f>
        <v/>
      </c>
      <c r="T389" s="14">
        <f>IF(Table1[[#This Row],[Team]]="Tom",Table1[[#This Row],[Difference Vs. S&amp;P Return]],"")</f>
        <v>-0.51400000000000001</v>
      </c>
      <c r="U389" s="14">
        <f>ROUND((1+Table1[[#This Row],[Return (keep sorted by this column!)]])/(1+Table1[[#This Row],[S&amp;P Return, same period]])-1,1)</f>
        <v>-0.5</v>
      </c>
      <c r="V389" s="15" t="str">
        <f>IF(Table1[[#This Row],[Team]]="David",Table1[[#This Row],[Improvement Vs. S&amp;P Return]],"")</f>
        <v/>
      </c>
      <c r="W389" s="15">
        <f>IF(Table1[[#This Row],[Team]]="Tom",Table1[[#This Row],[Improvement Vs. S&amp;P Return]],"")</f>
        <v>-0.5</v>
      </c>
    </row>
    <row r="390" spans="1:23" ht="75" x14ac:dyDescent="0.2">
      <c r="A390" s="1">
        <v>38856</v>
      </c>
      <c r="B390" s="2" t="s">
        <v>612</v>
      </c>
      <c r="C390" s="2">
        <f>SUBTOTAL(103,Table1[[#This Row],[Recommendation Date]])</f>
        <v>1</v>
      </c>
      <c r="D390" s="2">
        <f>1</f>
        <v>1</v>
      </c>
      <c r="E390" s="16" t="s">
        <v>613</v>
      </c>
      <c r="F390" s="3" t="s">
        <v>15</v>
      </c>
      <c r="G390" s="3" t="s">
        <v>12</v>
      </c>
      <c r="H390" s="17"/>
      <c r="I390" s="4">
        <v>20.95</v>
      </c>
      <c r="J390" s="5">
        <v>-0.53200000000000003</v>
      </c>
      <c r="K390" s="48">
        <f>ROUND(LOG10(Table1[[#This Row],[Return (keep sorted by this column!)]]+1),2)</f>
        <v>-0.33</v>
      </c>
      <c r="L390" s="48">
        <f>COUNTIF(Table1[Return (keep sorted by this column!)],"&lt;"&amp;Table1[[#This Row],[Return (keep sorted by this column!)]])</f>
        <v>45</v>
      </c>
      <c r="M390" s="14">
        <f>IF(Table1[[#This Row],[Team]]="David",Table1[[#This Row],[Return (keep sorted by this column!)]],"")</f>
        <v>-0.53200000000000003</v>
      </c>
      <c r="N390" s="14" t="str">
        <f>IF(Table1[[#This Row],[Team]]="Tom",Table1[[#This Row],[Return (keep sorted by this column!)]],"")</f>
        <v/>
      </c>
      <c r="O390" s="5">
        <v>-0.26100000000000001</v>
      </c>
      <c r="P390" s="23">
        <f>IF(Table1[[#This Row],[Team]]="David",Table1[[#This Row],[S&amp;P Return, same period]],"")</f>
        <v>-0.26100000000000001</v>
      </c>
      <c r="Q390" s="23" t="str">
        <f>IF(Table1[[#This Row],[Team]]="Tom",Table1[[#This Row],[S&amp;P Return, same period]],"")</f>
        <v/>
      </c>
      <c r="R390" s="5">
        <v>-0.27100000000000002</v>
      </c>
      <c r="S390" s="14">
        <f>IF(Table1[[#This Row],[Team]]="David",Table1[[#This Row],[Difference Vs. S&amp;P Return]],"")</f>
        <v>-0.27100000000000002</v>
      </c>
      <c r="T390" s="14" t="str">
        <f>IF(Table1[[#This Row],[Team]]="Tom",Table1[[#This Row],[Difference Vs. S&amp;P Return]],"")</f>
        <v/>
      </c>
      <c r="U390" s="14">
        <f>ROUND((1+Table1[[#This Row],[Return (keep sorted by this column!)]])/(1+Table1[[#This Row],[S&amp;P Return, same period]])-1,1)</f>
        <v>-0.4</v>
      </c>
      <c r="V390" s="15">
        <f>IF(Table1[[#This Row],[Team]]="David",Table1[[#This Row],[Improvement Vs. S&amp;P Return]],"")</f>
        <v>-0.4</v>
      </c>
      <c r="W390" s="15" t="str">
        <f>IF(Table1[[#This Row],[Team]]="Tom",Table1[[#This Row],[Improvement Vs. S&amp;P Return]],"")</f>
        <v/>
      </c>
    </row>
    <row r="391" spans="1:23" ht="30" x14ac:dyDescent="0.2">
      <c r="A391" s="18">
        <v>41537</v>
      </c>
      <c r="B391" s="2" t="s">
        <v>293</v>
      </c>
      <c r="C391" s="2">
        <f>SUBTOTAL(103,Table1[[#This Row],[Recommendation Date]])</f>
        <v>1</v>
      </c>
      <c r="D391" s="2">
        <f>1</f>
        <v>1</v>
      </c>
      <c r="E391" s="16" t="s">
        <v>294</v>
      </c>
      <c r="F391" s="3" t="s">
        <v>295</v>
      </c>
      <c r="G391" s="3" t="s">
        <v>12</v>
      </c>
      <c r="H391" s="16">
        <v>15</v>
      </c>
      <c r="I391" s="4">
        <v>14.74</v>
      </c>
      <c r="J391" s="5">
        <v>-0.54100000000000004</v>
      </c>
      <c r="K391" s="48">
        <f>ROUND(LOG10(Table1[[#This Row],[Return (keep sorted by this column!)]]+1),2)</f>
        <v>-0.34</v>
      </c>
      <c r="L391" s="48">
        <f>COUNTIF(Table1[Return (keep sorted by this column!)],"&lt;"&amp;Table1[[#This Row],[Return (keep sorted by this column!)]])</f>
        <v>43</v>
      </c>
      <c r="M391" s="76">
        <f>IF(Table1[[#This Row],[Team]]="David",Table1[[#This Row],[Return (keep sorted by this column!)]],"")</f>
        <v>-0.54100000000000004</v>
      </c>
      <c r="N391" s="76" t="str">
        <f>IF(Table1[[#This Row],[Team]]="Tom",Table1[[#This Row],[Return (keep sorted by this column!)]],"")</f>
        <v/>
      </c>
      <c r="O391" s="5">
        <v>0.83399999999999996</v>
      </c>
      <c r="P391" s="68">
        <f>IF(Table1[[#This Row],[Team]]="David",Table1[[#This Row],[S&amp;P Return, same period]],"")</f>
        <v>0.83399999999999996</v>
      </c>
      <c r="Q391" s="68" t="str">
        <f>IF(Table1[[#This Row],[Team]]="Tom",Table1[[#This Row],[S&amp;P Return, same period]],"")</f>
        <v/>
      </c>
      <c r="R391" s="5">
        <v>-1.375</v>
      </c>
      <c r="S391" s="14">
        <f>IF(Table1[[#This Row],[Team]]="David",Table1[[#This Row],[Difference Vs. S&amp;P Return]],"")</f>
        <v>-1.375</v>
      </c>
      <c r="T391" s="14" t="str">
        <f>IF(Table1[[#This Row],[Team]]="Tom",Table1[[#This Row],[Difference Vs. S&amp;P Return]],"")</f>
        <v/>
      </c>
      <c r="U391" s="14">
        <f>ROUND((1+Table1[[#This Row],[Return (keep sorted by this column!)]])/(1+Table1[[#This Row],[S&amp;P Return, same period]])-1,1)</f>
        <v>-0.7</v>
      </c>
      <c r="V391" s="15">
        <f>IF(Table1[[#This Row],[Team]]="David",Table1[[#This Row],[Improvement Vs. S&amp;P Return]],"")</f>
        <v>-0.7</v>
      </c>
      <c r="W391" s="15" t="str">
        <f>IF(Table1[[#This Row],[Team]]="Tom",Table1[[#This Row],[Improvement Vs. S&amp;P Return]],"")</f>
        <v/>
      </c>
    </row>
    <row r="392" spans="1:23" ht="45" x14ac:dyDescent="0.2">
      <c r="A392" s="1">
        <v>40648</v>
      </c>
      <c r="B392" s="2" t="s">
        <v>424</v>
      </c>
      <c r="C392" s="2">
        <f>SUBTOTAL(103,Table1[[#This Row],[Recommendation Date]])</f>
        <v>1</v>
      </c>
      <c r="D392" s="2">
        <f>1</f>
        <v>1</v>
      </c>
      <c r="E392" s="16" t="s">
        <v>425</v>
      </c>
      <c r="F392" s="3" t="s">
        <v>426</v>
      </c>
      <c r="G392" s="3" t="s">
        <v>8</v>
      </c>
      <c r="H392" s="17"/>
      <c r="I392" s="4">
        <v>15.14</v>
      </c>
      <c r="J392" s="5">
        <v>-0.54100000000000004</v>
      </c>
      <c r="K392" s="48">
        <f>ROUND(LOG10(Table1[[#This Row],[Return (keep sorted by this column!)]]+1),2)</f>
        <v>-0.34</v>
      </c>
      <c r="L392" s="48">
        <f>COUNTIF(Table1[Return (keep sorted by this column!)],"&lt;"&amp;Table1[[#This Row],[Return (keep sorted by this column!)]])</f>
        <v>43</v>
      </c>
      <c r="M392" s="76" t="str">
        <f>IF(Table1[[#This Row],[Team]]="David",Table1[[#This Row],[Return (keep sorted by this column!)]],"")</f>
        <v/>
      </c>
      <c r="N392" s="76">
        <f>IF(Table1[[#This Row],[Team]]="Tom",Table1[[#This Row],[Return (keep sorted by this column!)]],"")</f>
        <v>-0.54100000000000004</v>
      </c>
      <c r="O392" s="5">
        <v>1.143</v>
      </c>
      <c r="P392" s="68" t="str">
        <f>IF(Table1[[#This Row],[Team]]="David",Table1[[#This Row],[S&amp;P Return, same period]],"")</f>
        <v/>
      </c>
      <c r="Q392" s="68">
        <f>IF(Table1[[#This Row],[Team]]="Tom",Table1[[#This Row],[S&amp;P Return, same period]],"")</f>
        <v>1.143</v>
      </c>
      <c r="R392" s="5">
        <v>-1.6839999999999999</v>
      </c>
      <c r="S392" s="14" t="str">
        <f>IF(Table1[[#This Row],[Team]]="David",Table1[[#This Row],[Difference Vs. S&amp;P Return]],"")</f>
        <v/>
      </c>
      <c r="T392" s="14">
        <f>IF(Table1[[#This Row],[Team]]="Tom",Table1[[#This Row],[Difference Vs. S&amp;P Return]],"")</f>
        <v>-1.6839999999999999</v>
      </c>
      <c r="U392" s="14">
        <f>ROUND((1+Table1[[#This Row],[Return (keep sorted by this column!)]])/(1+Table1[[#This Row],[S&amp;P Return, same period]])-1,1)</f>
        <v>-0.8</v>
      </c>
      <c r="V392" s="15" t="str">
        <f>IF(Table1[[#This Row],[Team]]="David",Table1[[#This Row],[Improvement Vs. S&amp;P Return]],"")</f>
        <v/>
      </c>
      <c r="W392" s="15">
        <f>IF(Table1[[#This Row],[Team]]="Tom",Table1[[#This Row],[Improvement Vs. S&amp;P Return]],"")</f>
        <v>-0.8</v>
      </c>
    </row>
    <row r="393" spans="1:23" ht="45" x14ac:dyDescent="0.2">
      <c r="A393" s="1">
        <v>40228</v>
      </c>
      <c r="B393" s="2" t="s">
        <v>472</v>
      </c>
      <c r="C393" s="2">
        <f>SUBTOTAL(103,Table1[[#This Row],[Recommendation Date]])</f>
        <v>1</v>
      </c>
      <c r="D393" s="2">
        <f>1</f>
        <v>1</v>
      </c>
      <c r="E393" s="16" t="s">
        <v>473</v>
      </c>
      <c r="F393" s="3" t="s">
        <v>474</v>
      </c>
      <c r="G393" s="3" t="s">
        <v>12</v>
      </c>
      <c r="H393" s="17"/>
      <c r="I393" s="4">
        <v>17.09</v>
      </c>
      <c r="J393" s="5">
        <v>-0.54200000000000004</v>
      </c>
      <c r="K393" s="48">
        <f>ROUND(LOG10(Table1[[#This Row],[Return (keep sorted by this column!)]]+1),2)</f>
        <v>-0.34</v>
      </c>
      <c r="L393" s="48">
        <f>COUNTIF(Table1[Return (keep sorted by this column!)],"&lt;"&amp;Table1[[#This Row],[Return (keep sorted by this column!)]])</f>
        <v>42</v>
      </c>
      <c r="M393" s="76">
        <f>IF(Table1[[#This Row],[Team]]="David",Table1[[#This Row],[Return (keep sorted by this column!)]],"")</f>
        <v>-0.54200000000000004</v>
      </c>
      <c r="N393" s="76" t="str">
        <f>IF(Table1[[#This Row],[Team]]="Tom",Table1[[#This Row],[Return (keep sorted by this column!)]],"")</f>
        <v/>
      </c>
      <c r="O393" s="5">
        <v>1.1140000000000001</v>
      </c>
      <c r="P393" s="68">
        <f>IF(Table1[[#This Row],[Team]]="David",Table1[[#This Row],[S&amp;P Return, same period]],"")</f>
        <v>1.1140000000000001</v>
      </c>
      <c r="Q393" s="68" t="str">
        <f>IF(Table1[[#This Row],[Team]]="Tom",Table1[[#This Row],[S&amp;P Return, same period]],"")</f>
        <v/>
      </c>
      <c r="R393" s="5">
        <v>-1.6559999999999999</v>
      </c>
      <c r="S393" s="14">
        <f>IF(Table1[[#This Row],[Team]]="David",Table1[[#This Row],[Difference Vs. S&amp;P Return]],"")</f>
        <v>-1.6559999999999999</v>
      </c>
      <c r="T393" s="14" t="str">
        <f>IF(Table1[[#This Row],[Team]]="Tom",Table1[[#This Row],[Difference Vs. S&amp;P Return]],"")</f>
        <v/>
      </c>
      <c r="U393" s="14">
        <f>ROUND((1+Table1[[#This Row],[Return (keep sorted by this column!)]])/(1+Table1[[#This Row],[S&amp;P Return, same period]])-1,1)</f>
        <v>-0.8</v>
      </c>
      <c r="V393" s="15">
        <f>IF(Table1[[#This Row],[Team]]="David",Table1[[#This Row],[Improvement Vs. S&amp;P Return]],"")</f>
        <v>-0.8</v>
      </c>
      <c r="W393" s="15" t="str">
        <f>IF(Table1[[#This Row],[Team]]="Tom",Table1[[#This Row],[Improvement Vs. S&amp;P Return]],"")</f>
        <v/>
      </c>
    </row>
    <row r="394" spans="1:23" ht="17" x14ac:dyDescent="0.2">
      <c r="A394" s="18">
        <v>42937</v>
      </c>
      <c r="B394" s="2" t="s">
        <v>148</v>
      </c>
      <c r="C394" s="2">
        <f>SUBTOTAL(103,Table1[[#This Row],[Recommendation Date]])</f>
        <v>1</v>
      </c>
      <c r="D394" s="2">
        <f>1</f>
        <v>1</v>
      </c>
      <c r="E394" s="16" t="s">
        <v>149</v>
      </c>
      <c r="F394" s="3" t="s">
        <v>150</v>
      </c>
      <c r="G394" s="3" t="s">
        <v>8</v>
      </c>
      <c r="H394" s="17"/>
      <c r="I394" s="4">
        <v>88.47</v>
      </c>
      <c r="J394" s="5">
        <v>-0.55000000000000004</v>
      </c>
      <c r="K394" s="48">
        <f>ROUND(LOG10(Table1[[#This Row],[Return (keep sorted by this column!)]]+1),2)</f>
        <v>-0.35</v>
      </c>
      <c r="L394" s="48">
        <f>COUNTIF(Table1[Return (keep sorted by this column!)],"&lt;"&amp;Table1[[#This Row],[Return (keep sorted by this column!)]])</f>
        <v>41</v>
      </c>
      <c r="M394" s="76" t="str">
        <f>IF(Table1[[#This Row],[Team]]="David",Table1[[#This Row],[Return (keep sorted by this column!)]],"")</f>
        <v/>
      </c>
      <c r="N394" s="76">
        <f>IF(Table1[[#This Row],[Team]]="Tom",Table1[[#This Row],[Return (keep sorted by this column!)]],"")</f>
        <v>-0.55000000000000004</v>
      </c>
      <c r="O394" s="5">
        <v>0.17</v>
      </c>
      <c r="P394" s="68" t="str">
        <f>IF(Table1[[#This Row],[Team]]="David",Table1[[#This Row],[S&amp;P Return, same period]],"")</f>
        <v/>
      </c>
      <c r="Q394" s="68">
        <f>IF(Table1[[#This Row],[Team]]="Tom",Table1[[#This Row],[S&amp;P Return, same period]],"")</f>
        <v>0.17</v>
      </c>
      <c r="R394" s="5">
        <v>-0.72</v>
      </c>
      <c r="S394" s="14" t="str">
        <f>IF(Table1[[#This Row],[Team]]="David",Table1[[#This Row],[Difference Vs. S&amp;P Return]],"")</f>
        <v/>
      </c>
      <c r="T394" s="14">
        <f>IF(Table1[[#This Row],[Team]]="Tom",Table1[[#This Row],[Difference Vs. S&amp;P Return]],"")</f>
        <v>-0.72</v>
      </c>
      <c r="U394" s="14">
        <f>ROUND((1+Table1[[#This Row],[Return (keep sorted by this column!)]])/(1+Table1[[#This Row],[S&amp;P Return, same period]])-1,1)</f>
        <v>-0.6</v>
      </c>
      <c r="V394" s="15" t="str">
        <f>IF(Table1[[#This Row],[Team]]="David",Table1[[#This Row],[Improvement Vs. S&amp;P Return]],"")</f>
        <v/>
      </c>
      <c r="W394" s="15">
        <f>IF(Table1[[#This Row],[Team]]="Tom",Table1[[#This Row],[Improvement Vs. S&amp;P Return]],"")</f>
        <v>-0.6</v>
      </c>
    </row>
    <row r="395" spans="1:23" ht="45" x14ac:dyDescent="0.2">
      <c r="A395" s="1">
        <v>39101</v>
      </c>
      <c r="B395" s="2" t="s">
        <v>593</v>
      </c>
      <c r="C395" s="2">
        <f>SUBTOTAL(103,Table1[[#This Row],[Recommendation Date]])</f>
        <v>1</v>
      </c>
      <c r="D395" s="2">
        <f>1</f>
        <v>1</v>
      </c>
      <c r="E395" s="16" t="s">
        <v>73</v>
      </c>
      <c r="F395" s="3" t="s">
        <v>74</v>
      </c>
      <c r="G395" s="3" t="s">
        <v>12</v>
      </c>
      <c r="H395" s="16">
        <v>11</v>
      </c>
      <c r="I395" s="4">
        <v>32.25</v>
      </c>
      <c r="J395" s="5">
        <v>-0.57199999999999995</v>
      </c>
      <c r="K395" s="48">
        <f>ROUND(LOG10(Table1[[#This Row],[Return (keep sorted by this column!)]]+1),2)</f>
        <v>-0.37</v>
      </c>
      <c r="L395" s="48">
        <f>COUNTIF(Table1[Return (keep sorted by this column!)],"&lt;"&amp;Table1[[#This Row],[Return (keep sorted by this column!)]])</f>
        <v>40</v>
      </c>
      <c r="M395" s="14">
        <f>IF(Table1[[#This Row],[Team]]="David",Table1[[#This Row],[Return (keep sorted by this column!)]],"")</f>
        <v>-0.57199999999999995</v>
      </c>
      <c r="N395" s="14" t="str">
        <f>IF(Table1[[#This Row],[Team]]="Tom",Table1[[#This Row],[Return (keep sorted by this column!)]],"")</f>
        <v/>
      </c>
      <c r="O395" s="5">
        <v>0.248</v>
      </c>
      <c r="P395" s="23">
        <f>IF(Table1[[#This Row],[Team]]="David",Table1[[#This Row],[S&amp;P Return, same period]],"")</f>
        <v>0.248</v>
      </c>
      <c r="Q395" s="23" t="str">
        <f>IF(Table1[[#This Row],[Team]]="Tom",Table1[[#This Row],[S&amp;P Return, same period]],"")</f>
        <v/>
      </c>
      <c r="R395" s="5">
        <v>-0.82</v>
      </c>
      <c r="S395" s="14">
        <f>IF(Table1[[#This Row],[Team]]="David",Table1[[#This Row],[Difference Vs. S&amp;P Return]],"")</f>
        <v>-0.82</v>
      </c>
      <c r="T395" s="14" t="str">
        <f>IF(Table1[[#This Row],[Team]]="Tom",Table1[[#This Row],[Difference Vs. S&amp;P Return]],"")</f>
        <v/>
      </c>
      <c r="U395" s="14">
        <f>ROUND((1+Table1[[#This Row],[Return (keep sorted by this column!)]])/(1+Table1[[#This Row],[S&amp;P Return, same period]])-1,1)</f>
        <v>-0.7</v>
      </c>
      <c r="V395" s="15">
        <f>IF(Table1[[#This Row],[Team]]="David",Table1[[#This Row],[Improvement Vs. S&amp;P Return]],"")</f>
        <v>-0.7</v>
      </c>
      <c r="W395" s="15" t="str">
        <f>IF(Table1[[#This Row],[Team]]="Tom",Table1[[#This Row],[Improvement Vs. S&amp;P Return]],"")</f>
        <v/>
      </c>
    </row>
    <row r="396" spans="1:23" ht="45" x14ac:dyDescent="0.2">
      <c r="A396" s="18">
        <v>42328</v>
      </c>
      <c r="B396" s="2" t="s">
        <v>237</v>
      </c>
      <c r="C396" s="2">
        <f>SUBTOTAL(103,Table1[[#This Row],[Recommendation Date]])</f>
        <v>1</v>
      </c>
      <c r="D396" s="2">
        <f>1</f>
        <v>1</v>
      </c>
      <c r="E396" s="16" t="s">
        <v>238</v>
      </c>
      <c r="F396" s="3" t="s">
        <v>239</v>
      </c>
      <c r="G396" s="3" t="s">
        <v>12</v>
      </c>
      <c r="H396" s="16">
        <v>10</v>
      </c>
      <c r="I396" s="4">
        <v>113.75</v>
      </c>
      <c r="J396" s="5">
        <v>-0.57499999999999996</v>
      </c>
      <c r="K396" s="48">
        <f>ROUND(LOG10(Table1[[#This Row],[Return (keep sorted by this column!)]]+1),2)</f>
        <v>-0.37</v>
      </c>
      <c r="L396" s="48">
        <f>COUNTIF(Table1[Return (keep sorted by this column!)],"&lt;"&amp;Table1[[#This Row],[Return (keep sorted by this column!)]])</f>
        <v>39</v>
      </c>
      <c r="M396" s="76">
        <f>IF(Table1[[#This Row],[Team]]="David",Table1[[#This Row],[Return (keep sorted by this column!)]],"")</f>
        <v>-0.57499999999999996</v>
      </c>
      <c r="N396" s="76" t="str">
        <f>IF(Table1[[#This Row],[Team]]="Tom",Table1[[#This Row],[Return (keep sorted by this column!)]],"")</f>
        <v/>
      </c>
      <c r="O396" s="5">
        <v>0.435</v>
      </c>
      <c r="P396" s="68">
        <f>IF(Table1[[#This Row],[Team]]="David",Table1[[#This Row],[S&amp;P Return, same period]],"")</f>
        <v>0.435</v>
      </c>
      <c r="Q396" s="68" t="str">
        <f>IF(Table1[[#This Row],[Team]]="Tom",Table1[[#This Row],[S&amp;P Return, same period]],"")</f>
        <v/>
      </c>
      <c r="R396" s="5">
        <v>-1.01</v>
      </c>
      <c r="S396" s="14">
        <f>IF(Table1[[#This Row],[Team]]="David",Table1[[#This Row],[Difference Vs. S&amp;P Return]],"")</f>
        <v>-1.01</v>
      </c>
      <c r="T396" s="14" t="str">
        <f>IF(Table1[[#This Row],[Team]]="Tom",Table1[[#This Row],[Difference Vs. S&amp;P Return]],"")</f>
        <v/>
      </c>
      <c r="U396" s="14">
        <f>ROUND((1+Table1[[#This Row],[Return (keep sorted by this column!)]])/(1+Table1[[#This Row],[S&amp;P Return, same period]])-1,1)</f>
        <v>-0.7</v>
      </c>
      <c r="V396" s="15">
        <f>IF(Table1[[#This Row],[Team]]="David",Table1[[#This Row],[Improvement Vs. S&amp;P Return]],"")</f>
        <v>-0.7</v>
      </c>
      <c r="W396" s="15" t="str">
        <f>IF(Table1[[#This Row],[Team]]="Tom",Table1[[#This Row],[Improvement Vs. S&amp;P Return]],"")</f>
        <v/>
      </c>
    </row>
    <row r="397" spans="1:23" ht="60" x14ac:dyDescent="0.2">
      <c r="A397" s="1">
        <v>38037</v>
      </c>
      <c r="B397" s="2" t="s">
        <v>679</v>
      </c>
      <c r="C397" s="2">
        <f>SUBTOTAL(103,Table1[[#This Row],[Recommendation Date]])</f>
        <v>1</v>
      </c>
      <c r="D397" s="2">
        <f>1</f>
        <v>1</v>
      </c>
      <c r="E397" s="16" t="s">
        <v>182</v>
      </c>
      <c r="F397" s="3" t="s">
        <v>58</v>
      </c>
      <c r="G397" s="3" t="s">
        <v>12</v>
      </c>
      <c r="H397" s="16">
        <v>12</v>
      </c>
      <c r="I397" s="4">
        <v>15.73</v>
      </c>
      <c r="J397" s="5">
        <v>-0.59299999999999997</v>
      </c>
      <c r="K397" s="48">
        <f>ROUND(LOG10(Table1[[#This Row],[Return (keep sorted by this column!)]]+1),2)</f>
        <v>-0.39</v>
      </c>
      <c r="L397" s="48">
        <f>COUNTIF(Table1[Return (keep sorted by this column!)],"&lt;"&amp;Table1[[#This Row],[Return (keep sorted by this column!)]])</f>
        <v>38</v>
      </c>
      <c r="M397" s="14">
        <f>IF(Table1[[#This Row],[Team]]="David",Table1[[#This Row],[Return (keep sorted by this column!)]],"")</f>
        <v>-0.59299999999999997</v>
      </c>
      <c r="N397" s="14" t="str">
        <f>IF(Table1[[#This Row],[Team]]="Tom",Table1[[#This Row],[Return (keep sorted by this column!)]],"")</f>
        <v/>
      </c>
      <c r="O397" s="5">
        <v>0.39300000000000002</v>
      </c>
      <c r="P397" s="23">
        <f>IF(Table1[[#This Row],[Team]]="David",Table1[[#This Row],[S&amp;P Return, same period]],"")</f>
        <v>0.39300000000000002</v>
      </c>
      <c r="Q397" s="23" t="str">
        <f>IF(Table1[[#This Row],[Team]]="Tom",Table1[[#This Row],[S&amp;P Return, same period]],"")</f>
        <v/>
      </c>
      <c r="R397" s="5">
        <v>-0.98599999999999999</v>
      </c>
      <c r="S397" s="14">
        <f>IF(Table1[[#This Row],[Team]]="David",Table1[[#This Row],[Difference Vs. S&amp;P Return]],"")</f>
        <v>-0.98599999999999999</v>
      </c>
      <c r="T397" s="14" t="str">
        <f>IF(Table1[[#This Row],[Team]]="Tom",Table1[[#This Row],[Difference Vs. S&amp;P Return]],"")</f>
        <v/>
      </c>
      <c r="U397" s="14">
        <f>ROUND((1+Table1[[#This Row],[Return (keep sorted by this column!)]])/(1+Table1[[#This Row],[S&amp;P Return, same period]])-1,1)</f>
        <v>-0.7</v>
      </c>
      <c r="V397" s="15">
        <f>IF(Table1[[#This Row],[Team]]="David",Table1[[#This Row],[Improvement Vs. S&amp;P Return]],"")</f>
        <v>-0.7</v>
      </c>
      <c r="W397" s="15" t="str">
        <f>IF(Table1[[#This Row],[Team]]="Tom",Table1[[#This Row],[Improvement Vs. S&amp;P Return]],"")</f>
        <v/>
      </c>
    </row>
    <row r="398" spans="1:23" ht="17" x14ac:dyDescent="0.2">
      <c r="A398" s="18">
        <v>41075</v>
      </c>
      <c r="B398" s="2" t="s">
        <v>375</v>
      </c>
      <c r="C398" s="2">
        <f>SUBTOTAL(103,Table1[[#This Row],[Recommendation Date]])</f>
        <v>1</v>
      </c>
      <c r="D398" s="2">
        <f>1</f>
        <v>1</v>
      </c>
      <c r="E398" s="16" t="s">
        <v>376</v>
      </c>
      <c r="F398" s="3" t="s">
        <v>377</v>
      </c>
      <c r="G398" s="3" t="s">
        <v>12</v>
      </c>
      <c r="H398" s="16">
        <v>19</v>
      </c>
      <c r="I398" s="4">
        <v>19.739999999999998</v>
      </c>
      <c r="J398" s="5">
        <v>-0.60499999999999998</v>
      </c>
      <c r="K398" s="48">
        <f>ROUND(LOG10(Table1[[#This Row],[Return (keep sorted by this column!)]]+1),2)</f>
        <v>-0.4</v>
      </c>
      <c r="L398" s="48">
        <f>COUNTIF(Table1[Return (keep sorted by this column!)],"&lt;"&amp;Table1[[#This Row],[Return (keep sorted by this column!)]])</f>
        <v>37</v>
      </c>
      <c r="M398" s="76">
        <f>IF(Table1[[#This Row],[Team]]="David",Table1[[#This Row],[Return (keep sorted by this column!)]],"")</f>
        <v>-0.60499999999999998</v>
      </c>
      <c r="N398" s="76" t="str">
        <f>IF(Table1[[#This Row],[Team]]="Tom",Table1[[#This Row],[Return (keep sorted by this column!)]],"")</f>
        <v/>
      </c>
      <c r="O398" s="5">
        <v>1.401</v>
      </c>
      <c r="P398" s="68">
        <f>IF(Table1[[#This Row],[Team]]="David",Table1[[#This Row],[S&amp;P Return, same period]],"")</f>
        <v>1.401</v>
      </c>
      <c r="Q398" s="68" t="str">
        <f>IF(Table1[[#This Row],[Team]]="Tom",Table1[[#This Row],[S&amp;P Return, same period]],"")</f>
        <v/>
      </c>
      <c r="R398" s="5">
        <v>-2.0059999999999998</v>
      </c>
      <c r="S398" s="14">
        <f>IF(Table1[[#This Row],[Team]]="David",Table1[[#This Row],[Difference Vs. S&amp;P Return]],"")</f>
        <v>-2.0059999999999998</v>
      </c>
      <c r="T398" s="14" t="str">
        <f>IF(Table1[[#This Row],[Team]]="Tom",Table1[[#This Row],[Difference Vs. S&amp;P Return]],"")</f>
        <v/>
      </c>
      <c r="U398" s="14">
        <f>ROUND((1+Table1[[#This Row],[Return (keep sorted by this column!)]])/(1+Table1[[#This Row],[S&amp;P Return, same period]])-1,1)</f>
        <v>-0.8</v>
      </c>
      <c r="V398" s="15">
        <f>IF(Table1[[#This Row],[Team]]="David",Table1[[#This Row],[Improvement Vs. S&amp;P Return]],"")</f>
        <v>-0.8</v>
      </c>
      <c r="W398" s="15" t="str">
        <f>IF(Table1[[#This Row],[Team]]="Tom",Table1[[#This Row],[Improvement Vs. S&amp;P Return]],"")</f>
        <v/>
      </c>
    </row>
    <row r="399" spans="1:23" ht="45" x14ac:dyDescent="0.2">
      <c r="A399" s="1">
        <v>38975</v>
      </c>
      <c r="B399" s="2" t="s">
        <v>605</v>
      </c>
      <c r="C399" s="2">
        <f>SUBTOTAL(103,Table1[[#This Row],[Recommendation Date]])</f>
        <v>1</v>
      </c>
      <c r="D399" s="2">
        <f>1</f>
        <v>1</v>
      </c>
      <c r="E399" s="16" t="s">
        <v>606</v>
      </c>
      <c r="F399" s="3" t="s">
        <v>607</v>
      </c>
      <c r="G399" s="3" t="s">
        <v>8</v>
      </c>
      <c r="H399" s="17"/>
      <c r="I399" s="4">
        <v>19.59</v>
      </c>
      <c r="J399" s="5">
        <v>-0.60899999999999999</v>
      </c>
      <c r="K399" s="48">
        <f>ROUND(LOG10(Table1[[#This Row],[Return (keep sorted by this column!)]]+1),2)</f>
        <v>-0.41</v>
      </c>
      <c r="L399" s="48">
        <f>COUNTIF(Table1[Return (keep sorted by this column!)],"&lt;"&amp;Table1[[#This Row],[Return (keep sorted by this column!)]])</f>
        <v>35</v>
      </c>
      <c r="M399" s="14" t="str">
        <f>IF(Table1[[#This Row],[Team]]="David",Table1[[#This Row],[Return (keep sorted by this column!)]],"")</f>
        <v/>
      </c>
      <c r="N399" s="14">
        <f>IF(Table1[[#This Row],[Team]]="Tom",Table1[[#This Row],[Return (keep sorted by this column!)]],"")</f>
        <v>-0.60899999999999999</v>
      </c>
      <c r="O399" s="5">
        <v>3.3000000000000002E-2</v>
      </c>
      <c r="P399" s="23" t="str">
        <f>IF(Table1[[#This Row],[Team]]="David",Table1[[#This Row],[S&amp;P Return, same period]],"")</f>
        <v/>
      </c>
      <c r="Q399" s="23">
        <f>IF(Table1[[#This Row],[Team]]="Tom",Table1[[#This Row],[S&amp;P Return, same period]],"")</f>
        <v>3.3000000000000002E-2</v>
      </c>
      <c r="R399" s="5">
        <v>-0.64200000000000002</v>
      </c>
      <c r="S399" s="14" t="str">
        <f>IF(Table1[[#This Row],[Team]]="David",Table1[[#This Row],[Difference Vs. S&amp;P Return]],"")</f>
        <v/>
      </c>
      <c r="T399" s="14">
        <f>IF(Table1[[#This Row],[Team]]="Tom",Table1[[#This Row],[Difference Vs. S&amp;P Return]],"")</f>
        <v>-0.64200000000000002</v>
      </c>
      <c r="U399" s="14">
        <f>ROUND((1+Table1[[#This Row],[Return (keep sorted by this column!)]])/(1+Table1[[#This Row],[S&amp;P Return, same period]])-1,1)</f>
        <v>-0.6</v>
      </c>
      <c r="V399" s="15" t="str">
        <f>IF(Table1[[#This Row],[Team]]="David",Table1[[#This Row],[Improvement Vs. S&amp;P Return]],"")</f>
        <v/>
      </c>
      <c r="W399" s="15">
        <f>IF(Table1[[#This Row],[Team]]="Tom",Table1[[#This Row],[Improvement Vs. S&amp;P Return]],"")</f>
        <v>-0.6</v>
      </c>
    </row>
    <row r="400" spans="1:23" ht="60" x14ac:dyDescent="0.2">
      <c r="A400" s="1">
        <v>39283</v>
      </c>
      <c r="B400" s="2" t="s">
        <v>576</v>
      </c>
      <c r="C400" s="2">
        <f>SUBTOTAL(103,Table1[[#This Row],[Recommendation Date]])</f>
        <v>1</v>
      </c>
      <c r="D400" s="2">
        <f>1</f>
        <v>1</v>
      </c>
      <c r="E400" s="16" t="s">
        <v>577</v>
      </c>
      <c r="F400" s="3" t="s">
        <v>15</v>
      </c>
      <c r="G400" s="3" t="s">
        <v>8</v>
      </c>
      <c r="H400" s="17"/>
      <c r="I400" s="4">
        <v>18.55</v>
      </c>
      <c r="J400" s="5">
        <v>-0.60899999999999999</v>
      </c>
      <c r="K400" s="48">
        <f>ROUND(LOG10(Table1[[#This Row],[Return (keep sorted by this column!)]]+1),2)</f>
        <v>-0.41</v>
      </c>
      <c r="L400" s="48">
        <f>COUNTIF(Table1[Return (keep sorted by this column!)],"&lt;"&amp;Table1[[#This Row],[Return (keep sorted by this column!)]])</f>
        <v>35</v>
      </c>
      <c r="M400" s="14" t="str">
        <f>IF(Table1[[#This Row],[Team]]="David",Table1[[#This Row],[Return (keep sorted by this column!)]],"")</f>
        <v/>
      </c>
      <c r="N400" s="14">
        <f>IF(Table1[[#This Row],[Team]]="Tom",Table1[[#This Row],[Return (keep sorted by this column!)]],"")</f>
        <v>-0.60899999999999999</v>
      </c>
      <c r="O400" s="5">
        <v>-0.38800000000000001</v>
      </c>
      <c r="P400" s="23" t="str">
        <f>IF(Table1[[#This Row],[Team]]="David",Table1[[#This Row],[S&amp;P Return, same period]],"")</f>
        <v/>
      </c>
      <c r="Q400" s="23">
        <f>IF(Table1[[#This Row],[Team]]="Tom",Table1[[#This Row],[S&amp;P Return, same period]],"")</f>
        <v>-0.38800000000000001</v>
      </c>
      <c r="R400" s="5">
        <v>-0.221</v>
      </c>
      <c r="S400" s="14" t="str">
        <f>IF(Table1[[#This Row],[Team]]="David",Table1[[#This Row],[Difference Vs. S&amp;P Return]],"")</f>
        <v/>
      </c>
      <c r="T400" s="14">
        <f>IF(Table1[[#This Row],[Team]]="Tom",Table1[[#This Row],[Difference Vs. S&amp;P Return]],"")</f>
        <v>-0.221</v>
      </c>
      <c r="U400" s="14">
        <f>ROUND((1+Table1[[#This Row],[Return (keep sorted by this column!)]])/(1+Table1[[#This Row],[S&amp;P Return, same period]])-1,1)</f>
        <v>-0.4</v>
      </c>
      <c r="V400" s="15" t="str">
        <f>IF(Table1[[#This Row],[Team]]="David",Table1[[#This Row],[Improvement Vs. S&amp;P Return]],"")</f>
        <v/>
      </c>
      <c r="W400" s="15">
        <f>IF(Table1[[#This Row],[Team]]="Tom",Table1[[#This Row],[Improvement Vs. S&amp;P Return]],"")</f>
        <v>-0.4</v>
      </c>
    </row>
    <row r="401" spans="1:23" ht="45" x14ac:dyDescent="0.2">
      <c r="A401" s="1">
        <v>39129</v>
      </c>
      <c r="B401" s="2" t="s">
        <v>591</v>
      </c>
      <c r="C401" s="2">
        <f>SUBTOTAL(103,Table1[[#This Row],[Recommendation Date]])</f>
        <v>1</v>
      </c>
      <c r="D401" s="2">
        <f>1</f>
        <v>1</v>
      </c>
      <c r="E401" s="16" t="s">
        <v>592</v>
      </c>
      <c r="F401" s="3" t="s">
        <v>252</v>
      </c>
      <c r="G401" s="3" t="s">
        <v>12</v>
      </c>
      <c r="H401" s="17"/>
      <c r="I401" s="4">
        <v>45.91</v>
      </c>
      <c r="J401" s="5">
        <v>-0.626</v>
      </c>
      <c r="K401" s="48">
        <f>ROUND(LOG10(Table1[[#This Row],[Return (keep sorted by this column!)]]+1),2)</f>
        <v>-0.43</v>
      </c>
      <c r="L401" s="48">
        <f>COUNTIF(Table1[Return (keep sorted by this column!)],"&lt;"&amp;Table1[[#This Row],[Return (keep sorted by this column!)]])</f>
        <v>34</v>
      </c>
      <c r="M401" s="14">
        <f>IF(Table1[[#This Row],[Team]]="David",Table1[[#This Row],[Return (keep sorted by this column!)]],"")</f>
        <v>-0.626</v>
      </c>
      <c r="N401" s="14" t="str">
        <f>IF(Table1[[#This Row],[Team]]="Tom",Table1[[#This Row],[Return (keep sorted by this column!)]],"")</f>
        <v/>
      </c>
      <c r="O401" s="5">
        <v>2.7E-2</v>
      </c>
      <c r="P401" s="23">
        <f>IF(Table1[[#This Row],[Team]]="David",Table1[[#This Row],[S&amp;P Return, same period]],"")</f>
        <v>2.7E-2</v>
      </c>
      <c r="Q401" s="23" t="str">
        <f>IF(Table1[[#This Row],[Team]]="Tom",Table1[[#This Row],[S&amp;P Return, same period]],"")</f>
        <v/>
      </c>
      <c r="R401" s="5">
        <v>-0.65200000000000002</v>
      </c>
      <c r="S401" s="14">
        <f>IF(Table1[[#This Row],[Team]]="David",Table1[[#This Row],[Difference Vs. S&amp;P Return]],"")</f>
        <v>-0.65200000000000002</v>
      </c>
      <c r="T401" s="14" t="str">
        <f>IF(Table1[[#This Row],[Team]]="Tom",Table1[[#This Row],[Difference Vs. S&amp;P Return]],"")</f>
        <v/>
      </c>
      <c r="U401" s="14">
        <f>ROUND((1+Table1[[#This Row],[Return (keep sorted by this column!)]])/(1+Table1[[#This Row],[S&amp;P Return, same period]])-1,1)</f>
        <v>-0.6</v>
      </c>
      <c r="V401" s="15">
        <f>IF(Table1[[#This Row],[Team]]="David",Table1[[#This Row],[Improvement Vs. S&amp;P Return]],"")</f>
        <v>-0.6</v>
      </c>
      <c r="W401" s="15" t="str">
        <f>IF(Table1[[#This Row],[Team]]="Tom",Table1[[#This Row],[Improvement Vs. S&amp;P Return]],"")</f>
        <v/>
      </c>
    </row>
    <row r="402" spans="1:23" ht="17" x14ac:dyDescent="0.2">
      <c r="A402" s="18">
        <v>43300</v>
      </c>
      <c r="B402" s="2" t="s">
        <v>105</v>
      </c>
      <c r="C402" s="2">
        <f>SUBTOTAL(103,Table1[[#This Row],[Recommendation Date]])</f>
        <v>1</v>
      </c>
      <c r="D402" s="2">
        <f>1</f>
        <v>1</v>
      </c>
      <c r="E402" s="16" t="s">
        <v>106</v>
      </c>
      <c r="F402" s="3" t="s">
        <v>66</v>
      </c>
      <c r="G402" s="3" t="s">
        <v>12</v>
      </c>
      <c r="H402" s="16">
        <v>15</v>
      </c>
      <c r="I402" s="4">
        <v>10.33</v>
      </c>
      <c r="J402" s="5">
        <v>-0.627</v>
      </c>
      <c r="K402" s="48">
        <f>ROUND(LOG10(Table1[[#This Row],[Return (keep sorted by this column!)]]+1),2)</f>
        <v>-0.43</v>
      </c>
      <c r="L402" s="48">
        <f>COUNTIF(Table1[Return (keep sorted by this column!)],"&lt;"&amp;Table1[[#This Row],[Return (keep sorted by this column!)]])</f>
        <v>33</v>
      </c>
      <c r="M402" s="76">
        <f>IF(Table1[[#This Row],[Team]]="David",Table1[[#This Row],[Return (keep sorted by this column!)]],"")</f>
        <v>-0.627</v>
      </c>
      <c r="N402" s="76" t="str">
        <f>IF(Table1[[#This Row],[Team]]="Tom",Table1[[#This Row],[Return (keep sorted by this column!)]],"")</f>
        <v/>
      </c>
      <c r="O402" s="5">
        <v>1.2E-2</v>
      </c>
      <c r="P402" s="68">
        <f>IF(Table1[[#This Row],[Team]]="David",Table1[[#This Row],[S&amp;P Return, same period]],"")</f>
        <v>1.2E-2</v>
      </c>
      <c r="Q402" s="68" t="str">
        <f>IF(Table1[[#This Row],[Team]]="Tom",Table1[[#This Row],[S&amp;P Return, same period]],"")</f>
        <v/>
      </c>
      <c r="R402" s="5">
        <v>-0.63900000000000001</v>
      </c>
      <c r="S402" s="14">
        <f>IF(Table1[[#This Row],[Team]]="David",Table1[[#This Row],[Difference Vs. S&amp;P Return]],"")</f>
        <v>-0.63900000000000001</v>
      </c>
      <c r="T402" s="14" t="str">
        <f>IF(Table1[[#This Row],[Team]]="Tom",Table1[[#This Row],[Difference Vs. S&amp;P Return]],"")</f>
        <v/>
      </c>
      <c r="U402" s="14">
        <f>ROUND((1+Table1[[#This Row],[Return (keep sorted by this column!)]])/(1+Table1[[#This Row],[S&amp;P Return, same period]])-1,1)</f>
        <v>-0.6</v>
      </c>
      <c r="V402" s="15">
        <f>IF(Table1[[#This Row],[Team]]="David",Table1[[#This Row],[Improvement Vs. S&amp;P Return]],"")</f>
        <v>-0.6</v>
      </c>
      <c r="W402" s="15" t="str">
        <f>IF(Table1[[#This Row],[Team]]="Tom",Table1[[#This Row],[Improvement Vs. S&amp;P Return]],"")</f>
        <v/>
      </c>
    </row>
    <row r="403" spans="1:23" ht="45" x14ac:dyDescent="0.2">
      <c r="A403" s="18">
        <v>42328</v>
      </c>
      <c r="B403" s="2" t="s">
        <v>235</v>
      </c>
      <c r="C403" s="2">
        <f>SUBTOTAL(103,Table1[[#This Row],[Recommendation Date]])</f>
        <v>1</v>
      </c>
      <c r="D403" s="2">
        <f>1</f>
        <v>1</v>
      </c>
      <c r="E403" s="16" t="s">
        <v>236</v>
      </c>
      <c r="F403" s="3" t="s">
        <v>66</v>
      </c>
      <c r="G403" s="3" t="s">
        <v>8</v>
      </c>
      <c r="H403" s="17"/>
      <c r="I403" s="4">
        <v>169.96</v>
      </c>
      <c r="J403" s="5">
        <v>-0.63300000000000001</v>
      </c>
      <c r="K403" s="48">
        <f>ROUND(LOG10(Table1[[#This Row],[Return (keep sorted by this column!)]]+1),2)</f>
        <v>-0.44</v>
      </c>
      <c r="L403" s="48">
        <f>COUNTIF(Table1[Return (keep sorted by this column!)],"&lt;"&amp;Table1[[#This Row],[Return (keep sorted by this column!)]])</f>
        <v>32</v>
      </c>
      <c r="M403" s="76" t="str">
        <f>IF(Table1[[#This Row],[Team]]="David",Table1[[#This Row],[Return (keep sorted by this column!)]],"")</f>
        <v/>
      </c>
      <c r="N403" s="76">
        <f>IF(Table1[[#This Row],[Team]]="Tom",Table1[[#This Row],[Return (keep sorted by this column!)]],"")</f>
        <v>-0.63300000000000001</v>
      </c>
      <c r="O403" s="5">
        <v>0.435</v>
      </c>
      <c r="P403" s="68" t="str">
        <f>IF(Table1[[#This Row],[Team]]="David",Table1[[#This Row],[S&amp;P Return, same period]],"")</f>
        <v/>
      </c>
      <c r="Q403" s="68">
        <f>IF(Table1[[#This Row],[Team]]="Tom",Table1[[#This Row],[S&amp;P Return, same period]],"")</f>
        <v>0.435</v>
      </c>
      <c r="R403" s="5">
        <v>-1.0669999999999999</v>
      </c>
      <c r="S403" s="14" t="str">
        <f>IF(Table1[[#This Row],[Team]]="David",Table1[[#This Row],[Difference Vs. S&amp;P Return]],"")</f>
        <v/>
      </c>
      <c r="T403" s="14">
        <f>IF(Table1[[#This Row],[Team]]="Tom",Table1[[#This Row],[Difference Vs. S&amp;P Return]],"")</f>
        <v>-1.0669999999999999</v>
      </c>
      <c r="U403" s="14">
        <f>ROUND((1+Table1[[#This Row],[Return (keep sorted by this column!)]])/(1+Table1[[#This Row],[S&amp;P Return, same period]])-1,1)</f>
        <v>-0.7</v>
      </c>
      <c r="V403" s="15" t="str">
        <f>IF(Table1[[#This Row],[Team]]="David",Table1[[#This Row],[Improvement Vs. S&amp;P Return]],"")</f>
        <v/>
      </c>
      <c r="W403" s="15">
        <f>IF(Table1[[#This Row],[Team]]="Tom",Table1[[#This Row],[Improvement Vs. S&amp;P Return]],"")</f>
        <v>-0.7</v>
      </c>
    </row>
    <row r="404" spans="1:23" ht="45" x14ac:dyDescent="0.2">
      <c r="A404" s="1">
        <v>37876</v>
      </c>
      <c r="B404" s="2" t="s">
        <v>651</v>
      </c>
      <c r="C404" s="2">
        <f>SUBTOTAL(103,Table1[[#This Row],[Recommendation Date]])</f>
        <v>1</v>
      </c>
      <c r="D404" s="2">
        <f>1</f>
        <v>1</v>
      </c>
      <c r="E404" s="16" t="s">
        <v>652</v>
      </c>
      <c r="F404" s="3" t="s">
        <v>95</v>
      </c>
      <c r="G404" s="3" t="s">
        <v>12</v>
      </c>
      <c r="H404" s="16">
        <v>8</v>
      </c>
      <c r="I404" s="4">
        <v>44.64</v>
      </c>
      <c r="J404" s="5">
        <v>-0.64400000000000002</v>
      </c>
      <c r="K404" s="48">
        <f>ROUND(LOG10(Table1[[#This Row],[Return (keep sorted by this column!)]]+1),2)</f>
        <v>-0.45</v>
      </c>
      <c r="L404" s="48">
        <f>COUNTIF(Table1[Return (keep sorted by this column!)],"&lt;"&amp;Table1[[#This Row],[Return (keep sorted by this column!)]])</f>
        <v>31</v>
      </c>
      <c r="M404" s="14">
        <f>IF(Table1[[#This Row],[Team]]="David",Table1[[#This Row],[Return (keep sorted by this column!)]],"")</f>
        <v>-0.64400000000000002</v>
      </c>
      <c r="N404" s="14" t="str">
        <f>IF(Table1[[#This Row],[Team]]="Tom",Table1[[#This Row],[Return (keep sorted by this column!)]],"")</f>
        <v/>
      </c>
      <c r="O404" s="5">
        <v>0.41299999999999998</v>
      </c>
      <c r="P404" s="23">
        <f>IF(Table1[[#This Row],[Team]]="David",Table1[[#This Row],[S&amp;P Return, same period]],"")</f>
        <v>0.41299999999999998</v>
      </c>
      <c r="Q404" s="23" t="str">
        <f>IF(Table1[[#This Row],[Team]]="Tom",Table1[[#This Row],[S&amp;P Return, same period]],"")</f>
        <v/>
      </c>
      <c r="R404" s="5">
        <v>-1.0569999999999999</v>
      </c>
      <c r="S404" s="14">
        <f>IF(Table1[[#This Row],[Team]]="David",Table1[[#This Row],[Difference Vs. S&amp;P Return]],"")</f>
        <v>-1.0569999999999999</v>
      </c>
      <c r="T404" s="14" t="str">
        <f>IF(Table1[[#This Row],[Team]]="Tom",Table1[[#This Row],[Difference Vs. S&amp;P Return]],"")</f>
        <v/>
      </c>
      <c r="U404" s="14">
        <f>ROUND((1+Table1[[#This Row],[Return (keep sorted by this column!)]])/(1+Table1[[#This Row],[S&amp;P Return, same period]])-1,1)</f>
        <v>-0.7</v>
      </c>
      <c r="V404" s="15">
        <f>IF(Table1[[#This Row],[Team]]="David",Table1[[#This Row],[Improvement Vs. S&amp;P Return]],"")</f>
        <v>-0.7</v>
      </c>
      <c r="W404" s="15" t="str">
        <f>IF(Table1[[#This Row],[Team]]="Tom",Table1[[#This Row],[Improvement Vs. S&amp;P Return]],"")</f>
        <v/>
      </c>
    </row>
    <row r="405" spans="1:23" ht="60" x14ac:dyDescent="0.2">
      <c r="A405" s="1">
        <v>38856</v>
      </c>
      <c r="B405" s="2" t="s">
        <v>614</v>
      </c>
      <c r="C405" s="2">
        <f>SUBTOTAL(103,Table1[[#This Row],[Recommendation Date]])</f>
        <v>1</v>
      </c>
      <c r="D405" s="2">
        <f>1</f>
        <v>1</v>
      </c>
      <c r="E405" s="16" t="s">
        <v>615</v>
      </c>
      <c r="F405" s="3" t="s">
        <v>252</v>
      </c>
      <c r="G405" s="3" t="s">
        <v>8</v>
      </c>
      <c r="H405" s="17"/>
      <c r="I405" s="4">
        <v>37.28</v>
      </c>
      <c r="J405" s="5">
        <v>-0.64600000000000002</v>
      </c>
      <c r="K405" s="48">
        <f>ROUND(LOG10(Table1[[#This Row],[Return (keep sorted by this column!)]]+1),2)</f>
        <v>-0.45</v>
      </c>
      <c r="L405" s="48">
        <f>COUNTIF(Table1[Return (keep sorted by this column!)],"&lt;"&amp;Table1[[#This Row],[Return (keep sorted by this column!)]])</f>
        <v>30</v>
      </c>
      <c r="M405" s="14" t="str">
        <f>IF(Table1[[#This Row],[Team]]="David",Table1[[#This Row],[Return (keep sorted by this column!)]],"")</f>
        <v/>
      </c>
      <c r="N405" s="14">
        <f>IF(Table1[[#This Row],[Team]]="Tom",Table1[[#This Row],[Return (keep sorted by this column!)]],"")</f>
        <v>-0.64600000000000002</v>
      </c>
      <c r="O405" s="5">
        <v>0.184</v>
      </c>
      <c r="P405" s="23" t="str">
        <f>IF(Table1[[#This Row],[Team]]="David",Table1[[#This Row],[S&amp;P Return, same period]],"")</f>
        <v/>
      </c>
      <c r="Q405" s="23">
        <f>IF(Table1[[#This Row],[Team]]="Tom",Table1[[#This Row],[S&amp;P Return, same period]],"")</f>
        <v>0.184</v>
      </c>
      <c r="R405" s="5">
        <v>-0.83</v>
      </c>
      <c r="S405" s="14" t="str">
        <f>IF(Table1[[#This Row],[Team]]="David",Table1[[#This Row],[Difference Vs. S&amp;P Return]],"")</f>
        <v/>
      </c>
      <c r="T405" s="14">
        <f>IF(Table1[[#This Row],[Team]]="Tom",Table1[[#This Row],[Difference Vs. S&amp;P Return]],"")</f>
        <v>-0.83</v>
      </c>
      <c r="U405" s="14">
        <f>ROUND((1+Table1[[#This Row],[Return (keep sorted by this column!)]])/(1+Table1[[#This Row],[S&amp;P Return, same period]])-1,1)</f>
        <v>-0.7</v>
      </c>
      <c r="V405" s="15" t="str">
        <f>IF(Table1[[#This Row],[Team]]="David",Table1[[#This Row],[Improvement Vs. S&amp;P Return]],"")</f>
        <v/>
      </c>
      <c r="W405" s="15">
        <f>IF(Table1[[#This Row],[Team]]="Tom",Table1[[#This Row],[Improvement Vs. S&amp;P Return]],"")</f>
        <v>-0.7</v>
      </c>
    </row>
    <row r="406" spans="1:23" ht="17" x14ac:dyDescent="0.2">
      <c r="A406" s="18">
        <v>42629</v>
      </c>
      <c r="B406" s="2" t="s">
        <v>191</v>
      </c>
      <c r="C406" s="2">
        <f>SUBTOTAL(103,Table1[[#This Row],[Recommendation Date]])</f>
        <v>1</v>
      </c>
      <c r="D406" s="2">
        <f>1</f>
        <v>1</v>
      </c>
      <c r="E406" s="16" t="s">
        <v>192</v>
      </c>
      <c r="F406" s="3" t="s">
        <v>66</v>
      </c>
      <c r="G406" s="3" t="s">
        <v>12</v>
      </c>
      <c r="H406" s="16">
        <v>13</v>
      </c>
      <c r="I406" s="4">
        <v>49.52</v>
      </c>
      <c r="J406" s="5">
        <v>-0.64800000000000002</v>
      </c>
      <c r="K406" s="48">
        <f>ROUND(LOG10(Table1[[#This Row],[Return (keep sorted by this column!)]]+1),2)</f>
        <v>-0.45</v>
      </c>
      <c r="L406" s="48">
        <f>COUNTIF(Table1[Return (keep sorted by this column!)],"&lt;"&amp;Table1[[#This Row],[Return (keep sorted by this column!)]])</f>
        <v>29</v>
      </c>
      <c r="M406" s="76">
        <f>IF(Table1[[#This Row],[Team]]="David",Table1[[#This Row],[Return (keep sorted by this column!)]],"")</f>
        <v>-0.64800000000000002</v>
      </c>
      <c r="N406" s="76" t="str">
        <f>IF(Table1[[#This Row],[Team]]="Tom",Table1[[#This Row],[Return (keep sorted by this column!)]],"")</f>
        <v/>
      </c>
      <c r="O406" s="5">
        <v>0.376</v>
      </c>
      <c r="P406" s="68">
        <f>IF(Table1[[#This Row],[Team]]="David",Table1[[#This Row],[S&amp;P Return, same period]],"")</f>
        <v>0.376</v>
      </c>
      <c r="Q406" s="68" t="str">
        <f>IF(Table1[[#This Row],[Team]]="Tom",Table1[[#This Row],[S&amp;P Return, same period]],"")</f>
        <v/>
      </c>
      <c r="R406" s="5">
        <v>-1.024</v>
      </c>
      <c r="S406" s="14">
        <f>IF(Table1[[#This Row],[Team]]="David",Table1[[#This Row],[Difference Vs. S&amp;P Return]],"")</f>
        <v>-1.024</v>
      </c>
      <c r="T406" s="14" t="str">
        <f>IF(Table1[[#This Row],[Team]]="Tom",Table1[[#This Row],[Difference Vs. S&amp;P Return]],"")</f>
        <v/>
      </c>
      <c r="U406" s="14">
        <f>ROUND((1+Table1[[#This Row],[Return (keep sorted by this column!)]])/(1+Table1[[#This Row],[S&amp;P Return, same period]])-1,1)</f>
        <v>-0.7</v>
      </c>
      <c r="V406" s="15">
        <f>IF(Table1[[#This Row],[Team]]="David",Table1[[#This Row],[Improvement Vs. S&amp;P Return]],"")</f>
        <v>-0.7</v>
      </c>
      <c r="W406" s="15" t="str">
        <f>IF(Table1[[#This Row],[Team]]="Tom",Table1[[#This Row],[Improvement Vs. S&amp;P Return]],"")</f>
        <v/>
      </c>
    </row>
    <row r="407" spans="1:23" ht="60" x14ac:dyDescent="0.2">
      <c r="A407" s="1">
        <v>38156</v>
      </c>
      <c r="B407" s="2" t="s">
        <v>679</v>
      </c>
      <c r="C407" s="2">
        <f>SUBTOTAL(103,Table1[[#This Row],[Recommendation Date]])</f>
        <v>1</v>
      </c>
      <c r="D407" s="2">
        <f>1</f>
        <v>1</v>
      </c>
      <c r="E407" s="16" t="s">
        <v>182</v>
      </c>
      <c r="F407" s="3" t="s">
        <v>58</v>
      </c>
      <c r="G407" s="3" t="s">
        <v>12</v>
      </c>
      <c r="H407" s="16">
        <v>12</v>
      </c>
      <c r="I407" s="4">
        <v>18.5</v>
      </c>
      <c r="J407" s="5">
        <v>-0.65400000000000003</v>
      </c>
      <c r="K407" s="48">
        <f>ROUND(LOG10(Table1[[#This Row],[Return (keep sorted by this column!)]]+1),2)</f>
        <v>-0.46</v>
      </c>
      <c r="L407" s="48">
        <f>COUNTIF(Table1[Return (keep sorted by this column!)],"&lt;"&amp;Table1[[#This Row],[Return (keep sorted by this column!)]])</f>
        <v>28</v>
      </c>
      <c r="M407" s="14">
        <f>IF(Table1[[#This Row],[Team]]="David",Table1[[#This Row],[Return (keep sorted by this column!)]],"")</f>
        <v>-0.65400000000000003</v>
      </c>
      <c r="N407" s="14" t="str">
        <f>IF(Table1[[#This Row],[Team]]="Tom",Table1[[#This Row],[Return (keep sorted by this column!)]],"")</f>
        <v/>
      </c>
      <c r="O407" s="5">
        <v>0.39600000000000002</v>
      </c>
      <c r="P407" s="23">
        <f>IF(Table1[[#This Row],[Team]]="David",Table1[[#This Row],[S&amp;P Return, same period]],"")</f>
        <v>0.39600000000000002</v>
      </c>
      <c r="Q407" s="23" t="str">
        <f>IF(Table1[[#This Row],[Team]]="Tom",Table1[[#This Row],[S&amp;P Return, same period]],"")</f>
        <v/>
      </c>
      <c r="R407" s="5">
        <v>-1.05</v>
      </c>
      <c r="S407" s="14">
        <f>IF(Table1[[#This Row],[Team]]="David",Table1[[#This Row],[Difference Vs. S&amp;P Return]],"")</f>
        <v>-1.05</v>
      </c>
      <c r="T407" s="14" t="str">
        <f>IF(Table1[[#This Row],[Team]]="Tom",Table1[[#This Row],[Difference Vs. S&amp;P Return]],"")</f>
        <v/>
      </c>
      <c r="U407" s="14">
        <f>ROUND((1+Table1[[#This Row],[Return (keep sorted by this column!)]])/(1+Table1[[#This Row],[S&amp;P Return, same period]])-1,1)</f>
        <v>-0.8</v>
      </c>
      <c r="V407" s="15">
        <f>IF(Table1[[#This Row],[Team]]="David",Table1[[#This Row],[Improvement Vs. S&amp;P Return]],"")</f>
        <v>-0.8</v>
      </c>
      <c r="W407" s="15" t="str">
        <f>IF(Table1[[#This Row],[Team]]="Tom",Table1[[#This Row],[Improvement Vs. S&amp;P Return]],"")</f>
        <v/>
      </c>
    </row>
    <row r="408" spans="1:23" ht="60" x14ac:dyDescent="0.2">
      <c r="A408" s="1">
        <v>39346</v>
      </c>
      <c r="B408" s="2" t="s">
        <v>565</v>
      </c>
      <c r="C408" s="2">
        <f>SUBTOTAL(103,Table1[[#This Row],[Recommendation Date]])</f>
        <v>1</v>
      </c>
      <c r="D408" s="2">
        <f>1</f>
        <v>1</v>
      </c>
      <c r="E408" s="16" t="s">
        <v>566</v>
      </c>
      <c r="F408" s="3" t="s">
        <v>33</v>
      </c>
      <c r="G408" s="3" t="s">
        <v>12</v>
      </c>
      <c r="H408" s="17"/>
      <c r="I408" s="4">
        <v>38.380000000000003</v>
      </c>
      <c r="J408" s="5">
        <v>-0.66900000000000004</v>
      </c>
      <c r="K408" s="48">
        <f>ROUND(LOG10(Table1[[#This Row],[Return (keep sorted by this column!)]]+1),2)</f>
        <v>-0.48</v>
      </c>
      <c r="L408" s="48">
        <f>COUNTIF(Table1[Return (keep sorted by this column!)],"&lt;"&amp;Table1[[#This Row],[Return (keep sorted by this column!)]])</f>
        <v>27</v>
      </c>
      <c r="M408" s="14">
        <f>IF(Table1[[#This Row],[Team]]="David",Table1[[#This Row],[Return (keep sorted by this column!)]],"")</f>
        <v>-0.66900000000000004</v>
      </c>
      <c r="N408" s="14" t="str">
        <f>IF(Table1[[#This Row],[Team]]="Tom",Table1[[#This Row],[Return (keep sorted by this column!)]],"")</f>
        <v/>
      </c>
      <c r="O408" s="5">
        <v>-0.40200000000000002</v>
      </c>
      <c r="P408" s="23">
        <f>IF(Table1[[#This Row],[Team]]="David",Table1[[#This Row],[S&amp;P Return, same period]],"")</f>
        <v>-0.40200000000000002</v>
      </c>
      <c r="Q408" s="23" t="str">
        <f>IF(Table1[[#This Row],[Team]]="Tom",Table1[[#This Row],[S&amp;P Return, same period]],"")</f>
        <v/>
      </c>
      <c r="R408" s="5">
        <v>-0.26700000000000002</v>
      </c>
      <c r="S408" s="14">
        <f>IF(Table1[[#This Row],[Team]]="David",Table1[[#This Row],[Difference Vs. S&amp;P Return]],"")</f>
        <v>-0.26700000000000002</v>
      </c>
      <c r="T408" s="14" t="str">
        <f>IF(Table1[[#This Row],[Team]]="Tom",Table1[[#This Row],[Difference Vs. S&amp;P Return]],"")</f>
        <v/>
      </c>
      <c r="U408" s="14">
        <f>ROUND((1+Table1[[#This Row],[Return (keep sorted by this column!)]])/(1+Table1[[#This Row],[S&amp;P Return, same period]])-1,1)</f>
        <v>-0.4</v>
      </c>
      <c r="V408" s="15">
        <f>IF(Table1[[#This Row],[Team]]="David",Table1[[#This Row],[Improvement Vs. S&amp;P Return]],"")</f>
        <v>-0.4</v>
      </c>
      <c r="W408" s="15" t="str">
        <f>IF(Table1[[#This Row],[Team]]="Tom",Table1[[#This Row],[Improvement Vs. S&amp;P Return]],"")</f>
        <v/>
      </c>
    </row>
    <row r="409" spans="1:23" ht="17" x14ac:dyDescent="0.2">
      <c r="A409" s="18">
        <v>42391</v>
      </c>
      <c r="B409" s="2" t="s">
        <v>225</v>
      </c>
      <c r="C409" s="2">
        <f>SUBTOTAL(103,Table1[[#This Row],[Recommendation Date]])</f>
        <v>1</v>
      </c>
      <c r="D409" s="2">
        <f>1</f>
        <v>1</v>
      </c>
      <c r="E409" s="16" t="s">
        <v>226</v>
      </c>
      <c r="F409" s="3" t="s">
        <v>227</v>
      </c>
      <c r="G409" s="3" t="s">
        <v>8</v>
      </c>
      <c r="H409" s="17"/>
      <c r="I409" s="4">
        <v>30.11</v>
      </c>
      <c r="J409" s="5">
        <v>-0.67100000000000004</v>
      </c>
      <c r="K409" s="48">
        <f>ROUND(LOG10(Table1[[#This Row],[Return (keep sorted by this column!)]]+1),2)</f>
        <v>-0.48</v>
      </c>
      <c r="L409" s="48">
        <f>COUNTIF(Table1[Return (keep sorted by this column!)],"&lt;"&amp;Table1[[#This Row],[Return (keep sorted by this column!)]])</f>
        <v>26</v>
      </c>
      <c r="M409" s="76" t="str">
        <f>IF(Table1[[#This Row],[Team]]="David",Table1[[#This Row],[Return (keep sorted by this column!)]],"")</f>
        <v/>
      </c>
      <c r="N409" s="76">
        <f>IF(Table1[[#This Row],[Team]]="Tom",Table1[[#This Row],[Return (keep sorted by this column!)]],"")</f>
        <v>-0.67100000000000004</v>
      </c>
      <c r="O409" s="5">
        <v>0.56699999999999995</v>
      </c>
      <c r="P409" s="68" t="str">
        <f>IF(Table1[[#This Row],[Team]]="David",Table1[[#This Row],[S&amp;P Return, same period]],"")</f>
        <v/>
      </c>
      <c r="Q409" s="68">
        <f>IF(Table1[[#This Row],[Team]]="Tom",Table1[[#This Row],[S&amp;P Return, same period]],"")</f>
        <v>0.56699999999999995</v>
      </c>
      <c r="R409" s="5">
        <v>-1.238</v>
      </c>
      <c r="S409" s="14" t="str">
        <f>IF(Table1[[#This Row],[Team]]="David",Table1[[#This Row],[Difference Vs. S&amp;P Return]],"")</f>
        <v/>
      </c>
      <c r="T409" s="14">
        <f>IF(Table1[[#This Row],[Team]]="Tom",Table1[[#This Row],[Difference Vs. S&amp;P Return]],"")</f>
        <v>-1.238</v>
      </c>
      <c r="U409" s="14">
        <f>ROUND((1+Table1[[#This Row],[Return (keep sorted by this column!)]])/(1+Table1[[#This Row],[S&amp;P Return, same period]])-1,1)</f>
        <v>-0.8</v>
      </c>
      <c r="V409" s="15" t="str">
        <f>IF(Table1[[#This Row],[Team]]="David",Table1[[#This Row],[Improvement Vs. S&amp;P Return]],"")</f>
        <v/>
      </c>
      <c r="W409" s="15">
        <f>IF(Table1[[#This Row],[Team]]="Tom",Table1[[#This Row],[Improvement Vs. S&amp;P Return]],"")</f>
        <v>-0.8</v>
      </c>
    </row>
    <row r="410" spans="1:23" ht="17" x14ac:dyDescent="0.2">
      <c r="A410" s="18">
        <v>41838</v>
      </c>
      <c r="B410" s="2" t="s">
        <v>225</v>
      </c>
      <c r="C410" s="2">
        <f>SUBTOTAL(103,Table1[[#This Row],[Recommendation Date]])</f>
        <v>1</v>
      </c>
      <c r="D410" s="2">
        <f>1</f>
        <v>1</v>
      </c>
      <c r="E410" s="16" t="s">
        <v>226</v>
      </c>
      <c r="F410" s="3" t="s">
        <v>227</v>
      </c>
      <c r="G410" s="3" t="s">
        <v>8</v>
      </c>
      <c r="H410" s="17"/>
      <c r="I410" s="4">
        <v>32.11</v>
      </c>
      <c r="J410" s="5">
        <v>-0.69099999999999995</v>
      </c>
      <c r="K410" s="48">
        <f>ROUND(LOG10(Table1[[#This Row],[Return (keep sorted by this column!)]]+1),2)</f>
        <v>-0.51</v>
      </c>
      <c r="L410" s="48">
        <f>COUNTIF(Table1[Return (keep sorted by this column!)],"&lt;"&amp;Table1[[#This Row],[Return (keep sorted by this column!)]])</f>
        <v>25</v>
      </c>
      <c r="M410" s="76" t="str">
        <f>IF(Table1[[#This Row],[Team]]="David",Table1[[#This Row],[Return (keep sorted by this column!)]],"")</f>
        <v/>
      </c>
      <c r="N410" s="76">
        <f>IF(Table1[[#This Row],[Team]]="Tom",Table1[[#This Row],[Return (keep sorted by this column!)]],"")</f>
        <v>-0.69099999999999995</v>
      </c>
      <c r="O410" s="5">
        <v>0.55800000000000005</v>
      </c>
      <c r="P410" s="68" t="str">
        <f>IF(Table1[[#This Row],[Team]]="David",Table1[[#This Row],[S&amp;P Return, same period]],"")</f>
        <v/>
      </c>
      <c r="Q410" s="68">
        <f>IF(Table1[[#This Row],[Team]]="Tom",Table1[[#This Row],[S&amp;P Return, same period]],"")</f>
        <v>0.55800000000000005</v>
      </c>
      <c r="R410" s="5">
        <v>-1.25</v>
      </c>
      <c r="S410" s="14" t="str">
        <f>IF(Table1[[#This Row],[Team]]="David",Table1[[#This Row],[Difference Vs. S&amp;P Return]],"")</f>
        <v/>
      </c>
      <c r="T410" s="14">
        <f>IF(Table1[[#This Row],[Team]]="Tom",Table1[[#This Row],[Difference Vs. S&amp;P Return]],"")</f>
        <v>-1.25</v>
      </c>
      <c r="U410" s="14">
        <f>ROUND((1+Table1[[#This Row],[Return (keep sorted by this column!)]])/(1+Table1[[#This Row],[S&amp;P Return, same period]])-1,1)</f>
        <v>-0.8</v>
      </c>
      <c r="V410" s="15" t="str">
        <f>IF(Table1[[#This Row],[Team]]="David",Table1[[#This Row],[Improvement Vs. S&amp;P Return]],"")</f>
        <v/>
      </c>
      <c r="W410" s="15">
        <f>IF(Table1[[#This Row],[Team]]="Tom",Table1[[#This Row],[Improvement Vs. S&amp;P Return]],"")</f>
        <v>-0.8</v>
      </c>
    </row>
    <row r="411" spans="1:23" ht="30" x14ac:dyDescent="0.2">
      <c r="A411" s="18">
        <v>41866</v>
      </c>
      <c r="B411" s="2" t="s">
        <v>293</v>
      </c>
      <c r="C411" s="2">
        <f>SUBTOTAL(103,Table1[[#This Row],[Recommendation Date]])</f>
        <v>1</v>
      </c>
      <c r="D411" s="2">
        <f>1</f>
        <v>1</v>
      </c>
      <c r="E411" s="16" t="s">
        <v>294</v>
      </c>
      <c r="F411" s="3" t="s">
        <v>295</v>
      </c>
      <c r="G411" s="3" t="s">
        <v>12</v>
      </c>
      <c r="H411" s="16">
        <v>15</v>
      </c>
      <c r="I411" s="4">
        <v>23.52</v>
      </c>
      <c r="J411" s="5">
        <v>-0.71299999999999997</v>
      </c>
      <c r="K411" s="48">
        <f>ROUND(LOG10(Table1[[#This Row],[Return (keep sorted by this column!)]]+1),2)</f>
        <v>-0.54</v>
      </c>
      <c r="L411" s="48">
        <f>COUNTIF(Table1[Return (keep sorted by this column!)],"&lt;"&amp;Table1[[#This Row],[Return (keep sorted by this column!)]])</f>
        <v>24</v>
      </c>
      <c r="M411" s="76">
        <f>IF(Table1[[#This Row],[Team]]="David",Table1[[#This Row],[Return (keep sorted by this column!)]],"")</f>
        <v>-0.71299999999999997</v>
      </c>
      <c r="N411" s="76" t="str">
        <f>IF(Table1[[#This Row],[Team]]="Tom",Table1[[#This Row],[Return (keep sorted by this column!)]],"")</f>
        <v/>
      </c>
      <c r="O411" s="5">
        <v>0.57399999999999995</v>
      </c>
      <c r="P411" s="68">
        <f>IF(Table1[[#This Row],[Team]]="David",Table1[[#This Row],[S&amp;P Return, same period]],"")</f>
        <v>0.57399999999999995</v>
      </c>
      <c r="Q411" s="68" t="str">
        <f>IF(Table1[[#This Row],[Team]]="Tom",Table1[[#This Row],[S&amp;P Return, same period]],"")</f>
        <v/>
      </c>
      <c r="R411" s="5">
        <v>-1.2869999999999999</v>
      </c>
      <c r="S411" s="14">
        <f>IF(Table1[[#This Row],[Team]]="David",Table1[[#This Row],[Difference Vs. S&amp;P Return]],"")</f>
        <v>-1.2869999999999999</v>
      </c>
      <c r="T411" s="14" t="str">
        <f>IF(Table1[[#This Row],[Team]]="Tom",Table1[[#This Row],[Difference Vs. S&amp;P Return]],"")</f>
        <v/>
      </c>
      <c r="U411" s="14">
        <f>ROUND((1+Table1[[#This Row],[Return (keep sorted by this column!)]])/(1+Table1[[#This Row],[S&amp;P Return, same period]])-1,1)</f>
        <v>-0.8</v>
      </c>
      <c r="V411" s="15">
        <f>IF(Table1[[#This Row],[Team]]="David",Table1[[#This Row],[Improvement Vs. S&amp;P Return]],"")</f>
        <v>-0.8</v>
      </c>
      <c r="W411" s="15" t="str">
        <f>IF(Table1[[#This Row],[Team]]="Tom",Table1[[#This Row],[Improvement Vs. S&amp;P Return]],"")</f>
        <v/>
      </c>
    </row>
    <row r="412" spans="1:23" ht="17" x14ac:dyDescent="0.2">
      <c r="A412" s="18">
        <v>42237</v>
      </c>
      <c r="B412" s="2" t="s">
        <v>248</v>
      </c>
      <c r="C412" s="2">
        <f>SUBTOTAL(103,Table1[[#This Row],[Recommendation Date]])</f>
        <v>1</v>
      </c>
      <c r="D412" s="2">
        <f>1</f>
        <v>1</v>
      </c>
      <c r="E412" s="16" t="s">
        <v>249</v>
      </c>
      <c r="F412" s="3" t="s">
        <v>130</v>
      </c>
      <c r="G412" s="3" t="s">
        <v>12</v>
      </c>
      <c r="H412" s="16">
        <v>17</v>
      </c>
      <c r="I412" s="4">
        <v>51.5</v>
      </c>
      <c r="J412" s="5">
        <v>-0.72099999999999997</v>
      </c>
      <c r="K412" s="48">
        <f>ROUND(LOG10(Table1[[#This Row],[Return (keep sorted by this column!)]]+1),2)</f>
        <v>-0.55000000000000004</v>
      </c>
      <c r="L412" s="48">
        <f>COUNTIF(Table1[Return (keep sorted by this column!)],"&lt;"&amp;Table1[[#This Row],[Return (keep sorted by this column!)]])</f>
        <v>23</v>
      </c>
      <c r="M412" s="76">
        <f>IF(Table1[[#This Row],[Team]]="David",Table1[[#This Row],[Return (keep sorted by this column!)]],"")</f>
        <v>-0.72099999999999997</v>
      </c>
      <c r="N412" s="76" t="str">
        <f>IF(Table1[[#This Row],[Team]]="Tom",Table1[[#This Row],[Return (keep sorted by this column!)]],"")</f>
        <v/>
      </c>
      <c r="O412" s="5">
        <v>0.52900000000000003</v>
      </c>
      <c r="P412" s="68">
        <f>IF(Table1[[#This Row],[Team]]="David",Table1[[#This Row],[S&amp;P Return, same period]],"")</f>
        <v>0.52900000000000003</v>
      </c>
      <c r="Q412" s="68" t="str">
        <f>IF(Table1[[#This Row],[Team]]="Tom",Table1[[#This Row],[S&amp;P Return, same period]],"")</f>
        <v/>
      </c>
      <c r="R412" s="5">
        <v>-1.25</v>
      </c>
      <c r="S412" s="14">
        <f>IF(Table1[[#This Row],[Team]]="David",Table1[[#This Row],[Difference Vs. S&amp;P Return]],"")</f>
        <v>-1.25</v>
      </c>
      <c r="T412" s="14" t="str">
        <f>IF(Table1[[#This Row],[Team]]="Tom",Table1[[#This Row],[Difference Vs. S&amp;P Return]],"")</f>
        <v/>
      </c>
      <c r="U412" s="14">
        <f>ROUND((1+Table1[[#This Row],[Return (keep sorted by this column!)]])/(1+Table1[[#This Row],[S&amp;P Return, same period]])-1,1)</f>
        <v>-0.8</v>
      </c>
      <c r="V412" s="15">
        <f>IF(Table1[[#This Row],[Team]]="David",Table1[[#This Row],[Improvement Vs. S&amp;P Return]],"")</f>
        <v>-0.8</v>
      </c>
      <c r="W412" s="15" t="str">
        <f>IF(Table1[[#This Row],[Team]]="Tom",Table1[[#This Row],[Improvement Vs. S&amp;P Return]],"")</f>
        <v/>
      </c>
    </row>
    <row r="413" spans="1:23" ht="45" x14ac:dyDescent="0.2">
      <c r="A413" s="18">
        <v>40648</v>
      </c>
      <c r="B413" s="2" t="s">
        <v>422</v>
      </c>
      <c r="C413" s="2">
        <f>SUBTOTAL(103,Table1[[#This Row],[Recommendation Date]])</f>
        <v>1</v>
      </c>
      <c r="D413" s="2">
        <f>1</f>
        <v>1</v>
      </c>
      <c r="E413" s="3" t="s">
        <v>423</v>
      </c>
      <c r="F413" s="3" t="s">
        <v>267</v>
      </c>
      <c r="G413" s="3" t="s">
        <v>12</v>
      </c>
      <c r="H413" s="16">
        <v>11</v>
      </c>
      <c r="I413" s="3" t="s">
        <v>268</v>
      </c>
      <c r="J413" s="5">
        <v>-0.72299999999999998</v>
      </c>
      <c r="K413" s="48">
        <f>ROUND(LOG10(Table1[[#This Row],[Return (keep sorted by this column!)]]+1),2)</f>
        <v>-0.56000000000000005</v>
      </c>
      <c r="L413" s="48">
        <f>COUNTIF(Table1[Return (keep sorted by this column!)],"&lt;"&amp;Table1[[#This Row],[Return (keep sorted by this column!)]])</f>
        <v>22</v>
      </c>
      <c r="M413" s="76">
        <f>IF(Table1[[#This Row],[Team]]="David",Table1[[#This Row],[Return (keep sorted by this column!)]],"")</f>
        <v>-0.72299999999999998</v>
      </c>
      <c r="N413" s="76" t="str">
        <f>IF(Table1[[#This Row],[Team]]="Tom",Table1[[#This Row],[Return (keep sorted by this column!)]],"")</f>
        <v/>
      </c>
      <c r="O413" s="5">
        <v>1.5069999999999999</v>
      </c>
      <c r="P413" s="68">
        <f>IF(Table1[[#This Row],[Team]]="David",Table1[[#This Row],[S&amp;P Return, same period]],"")</f>
        <v>1.5069999999999999</v>
      </c>
      <c r="Q413" s="68" t="str">
        <f>IF(Table1[[#This Row],[Team]]="Tom",Table1[[#This Row],[S&amp;P Return, same period]],"")</f>
        <v/>
      </c>
      <c r="R413" s="5">
        <v>-2.23</v>
      </c>
      <c r="S413" s="14">
        <f>IF(Table1[[#This Row],[Team]]="David",Table1[[#This Row],[Difference Vs. S&amp;P Return]],"")</f>
        <v>-2.23</v>
      </c>
      <c r="T413" s="14" t="str">
        <f>IF(Table1[[#This Row],[Team]]="Tom",Table1[[#This Row],[Difference Vs. S&amp;P Return]],"")</f>
        <v/>
      </c>
      <c r="U413" s="14">
        <f>ROUND((1+Table1[[#This Row],[Return (keep sorted by this column!)]])/(1+Table1[[#This Row],[S&amp;P Return, same period]])-1,1)</f>
        <v>-0.9</v>
      </c>
      <c r="V413" s="15">
        <f>IF(Table1[[#This Row],[Team]]="David",Table1[[#This Row],[Improvement Vs. S&amp;P Return]],"")</f>
        <v>-0.9</v>
      </c>
      <c r="W413" s="15" t="str">
        <f>IF(Table1[[#This Row],[Team]]="Tom",Table1[[#This Row],[Improvement Vs. S&amp;P Return]],"")</f>
        <v/>
      </c>
    </row>
    <row r="414" spans="1:23" ht="45" x14ac:dyDescent="0.2">
      <c r="A414" s="1">
        <v>38520</v>
      </c>
      <c r="B414" s="2" t="s">
        <v>651</v>
      </c>
      <c r="C414" s="2">
        <f>SUBTOTAL(103,Table1[[#This Row],[Recommendation Date]])</f>
        <v>1</v>
      </c>
      <c r="D414" s="2">
        <f>1</f>
        <v>1</v>
      </c>
      <c r="E414" s="16" t="s">
        <v>652</v>
      </c>
      <c r="F414" s="3" t="s">
        <v>95</v>
      </c>
      <c r="G414" s="3" t="s">
        <v>12</v>
      </c>
      <c r="H414" s="16">
        <v>8</v>
      </c>
      <c r="I414" s="4">
        <v>57.58</v>
      </c>
      <c r="J414" s="5">
        <v>-0.72399999999999998</v>
      </c>
      <c r="K414" s="48">
        <f>ROUND(LOG10(Table1[[#This Row],[Return (keep sorted by this column!)]]+1),2)</f>
        <v>-0.56000000000000005</v>
      </c>
      <c r="L414" s="48">
        <f>COUNTIF(Table1[Return (keep sorted by this column!)],"&lt;"&amp;Table1[[#This Row],[Return (keep sorted by this column!)]])</f>
        <v>21</v>
      </c>
      <c r="M414" s="14">
        <f>IF(Table1[[#This Row],[Team]]="David",Table1[[#This Row],[Return (keep sorted by this column!)]],"")</f>
        <v>-0.72399999999999998</v>
      </c>
      <c r="N414" s="14" t="str">
        <f>IF(Table1[[#This Row],[Team]]="Tom",Table1[[#This Row],[Return (keep sorted by this column!)]],"")</f>
        <v/>
      </c>
      <c r="O414" s="5">
        <v>0.14699999999999999</v>
      </c>
      <c r="P414" s="23">
        <f>IF(Table1[[#This Row],[Team]]="David",Table1[[#This Row],[S&amp;P Return, same period]],"")</f>
        <v>0.14699999999999999</v>
      </c>
      <c r="Q414" s="23" t="str">
        <f>IF(Table1[[#This Row],[Team]]="Tom",Table1[[#This Row],[S&amp;P Return, same period]],"")</f>
        <v/>
      </c>
      <c r="R414" s="5">
        <v>-0.87</v>
      </c>
      <c r="S414" s="14">
        <f>IF(Table1[[#This Row],[Team]]="David",Table1[[#This Row],[Difference Vs. S&amp;P Return]],"")</f>
        <v>-0.87</v>
      </c>
      <c r="T414" s="14" t="str">
        <f>IF(Table1[[#This Row],[Team]]="Tom",Table1[[#This Row],[Difference Vs. S&amp;P Return]],"")</f>
        <v/>
      </c>
      <c r="U414" s="14">
        <f>ROUND((1+Table1[[#This Row],[Return (keep sorted by this column!)]])/(1+Table1[[#This Row],[S&amp;P Return, same period]])-1,1)</f>
        <v>-0.8</v>
      </c>
      <c r="V414" s="15">
        <f>IF(Table1[[#This Row],[Team]]="David",Table1[[#This Row],[Improvement Vs. S&amp;P Return]],"")</f>
        <v>-0.8</v>
      </c>
      <c r="W414" s="15" t="str">
        <f>IF(Table1[[#This Row],[Team]]="Tom",Table1[[#This Row],[Improvement Vs. S&amp;P Return]],"")</f>
        <v/>
      </c>
    </row>
    <row r="415" spans="1:23" ht="17" x14ac:dyDescent="0.2">
      <c r="A415" s="18">
        <v>42055</v>
      </c>
      <c r="B415" s="2" t="s">
        <v>258</v>
      </c>
      <c r="C415" s="2">
        <f>SUBTOTAL(103,Table1[[#This Row],[Recommendation Date]])</f>
        <v>1</v>
      </c>
      <c r="D415" s="2">
        <f>1</f>
        <v>1</v>
      </c>
      <c r="E415" s="16" t="s">
        <v>259</v>
      </c>
      <c r="F415" s="3" t="s">
        <v>66</v>
      </c>
      <c r="G415" s="3" t="s">
        <v>12</v>
      </c>
      <c r="H415" s="16">
        <v>16</v>
      </c>
      <c r="I415" s="4">
        <v>46.15</v>
      </c>
      <c r="J415" s="5">
        <v>-0.72899999999999998</v>
      </c>
      <c r="K415" s="48">
        <f>ROUND(LOG10(Table1[[#This Row],[Return (keep sorted by this column!)]]+1),2)</f>
        <v>-0.56999999999999995</v>
      </c>
      <c r="L415" s="48">
        <f>COUNTIF(Table1[Return (keep sorted by this column!)],"&lt;"&amp;Table1[[#This Row],[Return (keep sorted by this column!)]])</f>
        <v>20</v>
      </c>
      <c r="M415" s="76">
        <f>IF(Table1[[#This Row],[Team]]="David",Table1[[#This Row],[Return (keep sorted by this column!)]],"")</f>
        <v>-0.72899999999999998</v>
      </c>
      <c r="N415" s="76" t="str">
        <f>IF(Table1[[#This Row],[Team]]="Tom",Table1[[#This Row],[Return (keep sorted by this column!)]],"")</f>
        <v/>
      </c>
      <c r="O415" s="5">
        <v>0.443</v>
      </c>
      <c r="P415" s="68">
        <f>IF(Table1[[#This Row],[Team]]="David",Table1[[#This Row],[S&amp;P Return, same period]],"")</f>
        <v>0.443</v>
      </c>
      <c r="Q415" s="68" t="str">
        <f>IF(Table1[[#This Row],[Team]]="Tom",Table1[[#This Row],[S&amp;P Return, same period]],"")</f>
        <v/>
      </c>
      <c r="R415" s="5">
        <v>-1.1719999999999999</v>
      </c>
      <c r="S415" s="14">
        <f>IF(Table1[[#This Row],[Team]]="David",Table1[[#This Row],[Difference Vs. S&amp;P Return]],"")</f>
        <v>-1.1719999999999999</v>
      </c>
      <c r="T415" s="14" t="str">
        <f>IF(Table1[[#This Row],[Team]]="Tom",Table1[[#This Row],[Difference Vs. S&amp;P Return]],"")</f>
        <v/>
      </c>
      <c r="U415" s="14">
        <f>ROUND((1+Table1[[#This Row],[Return (keep sorted by this column!)]])/(1+Table1[[#This Row],[S&amp;P Return, same period]])-1,1)</f>
        <v>-0.8</v>
      </c>
      <c r="V415" s="15">
        <f>IF(Table1[[#This Row],[Team]]="David",Table1[[#This Row],[Improvement Vs. S&amp;P Return]],"")</f>
        <v>-0.8</v>
      </c>
      <c r="W415" s="15" t="str">
        <f>IF(Table1[[#This Row],[Team]]="Tom",Table1[[#This Row],[Improvement Vs. S&amp;P Return]],"")</f>
        <v/>
      </c>
    </row>
    <row r="416" spans="1:23" ht="60" x14ac:dyDescent="0.2">
      <c r="A416" s="1">
        <v>39311</v>
      </c>
      <c r="B416" s="2" t="s">
        <v>569</v>
      </c>
      <c r="C416" s="2">
        <f>SUBTOTAL(103,Table1[[#This Row],[Recommendation Date]])</f>
        <v>1</v>
      </c>
      <c r="D416" s="2">
        <f>1</f>
        <v>1</v>
      </c>
      <c r="E416" s="16" t="s">
        <v>570</v>
      </c>
      <c r="F416" s="3" t="s">
        <v>252</v>
      </c>
      <c r="G416" s="3" t="s">
        <v>12</v>
      </c>
      <c r="H416" s="17"/>
      <c r="I416" s="4">
        <v>31.48</v>
      </c>
      <c r="J416" s="5">
        <v>-0.74</v>
      </c>
      <c r="K416" s="48">
        <f>ROUND(LOG10(Table1[[#This Row],[Return (keep sorted by this column!)]]+1),2)</f>
        <v>-0.59</v>
      </c>
      <c r="L416" s="48">
        <f>COUNTIF(Table1[Return (keep sorted by this column!)],"&lt;"&amp;Table1[[#This Row],[Return (keep sorted by this column!)]])</f>
        <v>19</v>
      </c>
      <c r="M416" s="14">
        <f>IF(Table1[[#This Row],[Team]]="David",Table1[[#This Row],[Return (keep sorted by this column!)]],"")</f>
        <v>-0.74</v>
      </c>
      <c r="N416" s="14" t="str">
        <f>IF(Table1[[#This Row],[Team]]="Tom",Table1[[#This Row],[Return (keep sorted by this column!)]],"")</f>
        <v/>
      </c>
      <c r="O416" s="5">
        <v>1.123</v>
      </c>
      <c r="P416" s="23">
        <f>IF(Table1[[#This Row],[Team]]="David",Table1[[#This Row],[S&amp;P Return, same period]],"")</f>
        <v>1.123</v>
      </c>
      <c r="Q416" s="23" t="str">
        <f>IF(Table1[[#This Row],[Team]]="Tom",Table1[[#This Row],[S&amp;P Return, same period]],"")</f>
        <v/>
      </c>
      <c r="R416" s="5">
        <v>-1.863</v>
      </c>
      <c r="S416" s="14">
        <f>IF(Table1[[#This Row],[Team]]="David",Table1[[#This Row],[Difference Vs. S&amp;P Return]],"")</f>
        <v>-1.863</v>
      </c>
      <c r="T416" s="14" t="str">
        <f>IF(Table1[[#This Row],[Team]]="Tom",Table1[[#This Row],[Difference Vs. S&amp;P Return]],"")</f>
        <v/>
      </c>
      <c r="U416" s="14">
        <f>ROUND((1+Table1[[#This Row],[Return (keep sorted by this column!)]])/(1+Table1[[#This Row],[S&amp;P Return, same period]])-1,1)</f>
        <v>-0.9</v>
      </c>
      <c r="V416" s="15">
        <f>IF(Table1[[#This Row],[Team]]="David",Table1[[#This Row],[Improvement Vs. S&amp;P Return]],"")</f>
        <v>-0.9</v>
      </c>
      <c r="W416" s="15" t="str">
        <f>IF(Table1[[#This Row],[Team]]="Tom",Table1[[#This Row],[Improvement Vs. S&amp;P Return]],"")</f>
        <v/>
      </c>
    </row>
    <row r="417" spans="1:23" ht="60" x14ac:dyDescent="0.2">
      <c r="A417" s="1">
        <v>41565</v>
      </c>
      <c r="B417" s="2" t="s">
        <v>331</v>
      </c>
      <c r="C417" s="2">
        <f>SUBTOTAL(103,Table1[[#This Row],[Recommendation Date]])</f>
        <v>1</v>
      </c>
      <c r="D417" s="2">
        <f>1</f>
        <v>1</v>
      </c>
      <c r="E417" s="16" t="s">
        <v>332</v>
      </c>
      <c r="F417" s="3" t="s">
        <v>27</v>
      </c>
      <c r="G417" s="3" t="s">
        <v>8</v>
      </c>
      <c r="H417" s="17"/>
      <c r="I417" s="4">
        <v>113.02</v>
      </c>
      <c r="J417" s="5">
        <v>-0.751</v>
      </c>
      <c r="K417" s="48">
        <f>ROUND(LOG10(Table1[[#This Row],[Return (keep sorted by this column!)]]+1),2)</f>
        <v>-0.6</v>
      </c>
      <c r="L417" s="48">
        <f>COUNTIF(Table1[Return (keep sorted by this column!)],"&lt;"&amp;Table1[[#This Row],[Return (keep sorted by this column!)]])</f>
        <v>18</v>
      </c>
      <c r="M417" s="76" t="str">
        <f>IF(Table1[[#This Row],[Team]]="David",Table1[[#This Row],[Return (keep sorted by this column!)]],"")</f>
        <v/>
      </c>
      <c r="N417" s="76">
        <f>IF(Table1[[#This Row],[Team]]="Tom",Table1[[#This Row],[Return (keep sorted by this column!)]],"")</f>
        <v>-0.751</v>
      </c>
      <c r="O417" s="5">
        <v>1.17</v>
      </c>
      <c r="P417" s="68" t="str">
        <f>IF(Table1[[#This Row],[Team]]="David",Table1[[#This Row],[S&amp;P Return, same period]],"")</f>
        <v/>
      </c>
      <c r="Q417" s="68">
        <f>IF(Table1[[#This Row],[Team]]="Tom",Table1[[#This Row],[S&amp;P Return, same period]],"")</f>
        <v>1.17</v>
      </c>
      <c r="R417" s="5">
        <v>-1.921</v>
      </c>
      <c r="S417" s="14" t="str">
        <f>IF(Table1[[#This Row],[Team]]="David",Table1[[#This Row],[Difference Vs. S&amp;P Return]],"")</f>
        <v/>
      </c>
      <c r="T417" s="14">
        <f>IF(Table1[[#This Row],[Team]]="Tom",Table1[[#This Row],[Difference Vs. S&amp;P Return]],"")</f>
        <v>-1.921</v>
      </c>
      <c r="U417" s="14">
        <f>ROUND((1+Table1[[#This Row],[Return (keep sorted by this column!)]])/(1+Table1[[#This Row],[S&amp;P Return, same period]])-1,1)</f>
        <v>-0.9</v>
      </c>
      <c r="V417" s="15" t="str">
        <f>IF(Table1[[#This Row],[Team]]="David",Table1[[#This Row],[Improvement Vs. S&amp;P Return]],"")</f>
        <v/>
      </c>
      <c r="W417" s="15">
        <f>IF(Table1[[#This Row],[Team]]="Tom",Table1[[#This Row],[Improvement Vs. S&amp;P Return]],"")</f>
        <v>-0.9</v>
      </c>
    </row>
    <row r="418" spans="1:23" ht="150" x14ac:dyDescent="0.2">
      <c r="A418" s="1">
        <v>41775</v>
      </c>
      <c r="B418" s="2" t="s">
        <v>301</v>
      </c>
      <c r="C418" s="2">
        <f>SUBTOTAL(103,Table1[[#This Row],[Recommendation Date]])</f>
        <v>1</v>
      </c>
      <c r="D418" s="2">
        <f>1</f>
        <v>1</v>
      </c>
      <c r="E418" s="3" t="s">
        <v>302</v>
      </c>
      <c r="F418" s="3" t="s">
        <v>267</v>
      </c>
      <c r="G418" s="3" t="s">
        <v>12</v>
      </c>
      <c r="H418" s="16">
        <v>18</v>
      </c>
      <c r="I418" s="3" t="s">
        <v>268</v>
      </c>
      <c r="J418" s="5">
        <v>-0.76100000000000001</v>
      </c>
      <c r="K418" s="48">
        <f>ROUND(LOG10(Table1[[#This Row],[Return (keep sorted by this column!)]]+1),2)</f>
        <v>-0.62</v>
      </c>
      <c r="L418" s="48">
        <f>COUNTIF(Table1[Return (keep sorted by this column!)],"&lt;"&amp;Table1[[#This Row],[Return (keep sorted by this column!)]])</f>
        <v>17</v>
      </c>
      <c r="M418" s="76">
        <f>IF(Table1[[#This Row],[Team]]="David",Table1[[#This Row],[Return (keep sorted by this column!)]],"")</f>
        <v>-0.76100000000000001</v>
      </c>
      <c r="N418" s="76" t="str">
        <f>IF(Table1[[#This Row],[Team]]="Tom",Table1[[#This Row],[Return (keep sorted by this column!)]],"")</f>
        <v/>
      </c>
      <c r="O418" s="5">
        <v>0.64700000000000002</v>
      </c>
      <c r="P418" s="68">
        <f>IF(Table1[[#This Row],[Team]]="David",Table1[[#This Row],[S&amp;P Return, same period]],"")</f>
        <v>0.64700000000000002</v>
      </c>
      <c r="Q418" s="68" t="str">
        <f>IF(Table1[[#This Row],[Team]]="Tom",Table1[[#This Row],[S&amp;P Return, same period]],"")</f>
        <v/>
      </c>
      <c r="R418" s="5">
        <v>-1.4079999999999999</v>
      </c>
      <c r="S418" s="14">
        <f>IF(Table1[[#This Row],[Team]]="David",Table1[[#This Row],[Difference Vs. S&amp;P Return]],"")</f>
        <v>-1.4079999999999999</v>
      </c>
      <c r="T418" s="14" t="str">
        <f>IF(Table1[[#This Row],[Team]]="Tom",Table1[[#This Row],[Difference Vs. S&amp;P Return]],"")</f>
        <v/>
      </c>
      <c r="U418" s="14">
        <f>ROUND((1+Table1[[#This Row],[Return (keep sorted by this column!)]])/(1+Table1[[#This Row],[S&amp;P Return, same period]])-1,1)</f>
        <v>-0.9</v>
      </c>
      <c r="V418" s="15">
        <f>IF(Table1[[#This Row],[Team]]="David",Table1[[#This Row],[Improvement Vs. S&amp;P Return]],"")</f>
        <v>-0.9</v>
      </c>
      <c r="W418" s="15" t="str">
        <f>IF(Table1[[#This Row],[Team]]="Tom",Table1[[#This Row],[Improvement Vs. S&amp;P Return]],"")</f>
        <v/>
      </c>
    </row>
    <row r="419" spans="1:23" ht="17" x14ac:dyDescent="0.2">
      <c r="A419" s="18">
        <v>42174</v>
      </c>
      <c r="B419" s="2" t="s">
        <v>258</v>
      </c>
      <c r="C419" s="2">
        <f>SUBTOTAL(103,Table1[[#This Row],[Recommendation Date]])</f>
        <v>1</v>
      </c>
      <c r="D419" s="2">
        <f>1</f>
        <v>1</v>
      </c>
      <c r="E419" s="16" t="s">
        <v>259</v>
      </c>
      <c r="F419" s="3" t="s">
        <v>66</v>
      </c>
      <c r="G419" s="3" t="s">
        <v>12</v>
      </c>
      <c r="H419" s="16">
        <v>16</v>
      </c>
      <c r="I419" s="4">
        <v>53.65</v>
      </c>
      <c r="J419" s="5">
        <v>-0.76700000000000002</v>
      </c>
      <c r="K419" s="48">
        <f>ROUND(LOG10(Table1[[#This Row],[Return (keep sorted by this column!)]]+1),2)</f>
        <v>-0.63</v>
      </c>
      <c r="L419" s="48">
        <f>COUNTIF(Table1[Return (keep sorted by this column!)],"&lt;"&amp;Table1[[#This Row],[Return (keep sorted by this column!)]])</f>
        <v>16</v>
      </c>
      <c r="M419" s="76">
        <f>IF(Table1[[#This Row],[Team]]="David",Table1[[#This Row],[Return (keep sorted by this column!)]],"")</f>
        <v>-0.76700000000000002</v>
      </c>
      <c r="N419" s="76" t="str">
        <f>IF(Table1[[#This Row],[Team]]="Tom",Table1[[#This Row],[Return (keep sorted by this column!)]],"")</f>
        <v/>
      </c>
      <c r="O419" s="5">
        <v>0.434</v>
      </c>
      <c r="P419" s="68">
        <f>IF(Table1[[#This Row],[Team]]="David",Table1[[#This Row],[S&amp;P Return, same period]],"")</f>
        <v>0.434</v>
      </c>
      <c r="Q419" s="68" t="str">
        <f>IF(Table1[[#This Row],[Team]]="Tom",Table1[[#This Row],[S&amp;P Return, same period]],"")</f>
        <v/>
      </c>
      <c r="R419" s="5">
        <v>-1.2</v>
      </c>
      <c r="S419" s="14">
        <f>IF(Table1[[#This Row],[Team]]="David",Table1[[#This Row],[Difference Vs. S&amp;P Return]],"")</f>
        <v>-1.2</v>
      </c>
      <c r="T419" s="14" t="str">
        <f>IF(Table1[[#This Row],[Team]]="Tom",Table1[[#This Row],[Difference Vs. S&amp;P Return]],"")</f>
        <v/>
      </c>
      <c r="U419" s="14">
        <f>ROUND((1+Table1[[#This Row],[Return (keep sorted by this column!)]])/(1+Table1[[#This Row],[S&amp;P Return, same period]])-1,1)</f>
        <v>-0.8</v>
      </c>
      <c r="V419" s="15">
        <f>IF(Table1[[#This Row],[Team]]="David",Table1[[#This Row],[Improvement Vs. S&amp;P Return]],"")</f>
        <v>-0.8</v>
      </c>
      <c r="W419" s="15" t="str">
        <f>IF(Table1[[#This Row],[Team]]="Tom",Table1[[#This Row],[Improvement Vs. S&amp;P Return]],"")</f>
        <v/>
      </c>
    </row>
    <row r="420" spans="1:23" ht="30" x14ac:dyDescent="0.2">
      <c r="A420" s="18">
        <v>43678</v>
      </c>
      <c r="B420" s="2" t="s">
        <v>48</v>
      </c>
      <c r="C420" s="2">
        <f>SUBTOTAL(103,Table1[[#This Row],[Recommendation Date]])</f>
        <v>1</v>
      </c>
      <c r="D420" s="2">
        <f>1</f>
        <v>1</v>
      </c>
      <c r="E420" s="16" t="s">
        <v>49</v>
      </c>
      <c r="F420" s="3" t="s">
        <v>50</v>
      </c>
      <c r="G420" s="3" t="s">
        <v>8</v>
      </c>
      <c r="H420" s="17"/>
      <c r="I420" s="4">
        <v>20.32</v>
      </c>
      <c r="J420" s="5">
        <v>-0.77400000000000002</v>
      </c>
      <c r="K420" s="48">
        <f>ROUND(LOG10(Table1[[#This Row],[Return (keep sorted by this column!)]]+1),2)</f>
        <v>-0.65</v>
      </c>
      <c r="L420" s="48">
        <f>COUNTIF(Table1[Return (keep sorted by this column!)],"&lt;"&amp;Table1[[#This Row],[Return (keep sorted by this column!)]])</f>
        <v>15</v>
      </c>
      <c r="M420" s="76" t="str">
        <f>IF(Table1[[#This Row],[Team]]="David",Table1[[#This Row],[Return (keep sorted by this column!)]],"")</f>
        <v/>
      </c>
      <c r="N420" s="76">
        <f>IF(Table1[[#This Row],[Team]]="Tom",Table1[[#This Row],[Return (keep sorted by this column!)]],"")</f>
        <v>-0.77400000000000002</v>
      </c>
      <c r="O420" s="5">
        <v>-5.8999999999999997E-2</v>
      </c>
      <c r="P420" s="68" t="str">
        <f>IF(Table1[[#This Row],[Team]]="David",Table1[[#This Row],[S&amp;P Return, same period]],"")</f>
        <v/>
      </c>
      <c r="Q420" s="68">
        <f>IF(Table1[[#This Row],[Team]]="Tom",Table1[[#This Row],[S&amp;P Return, same period]],"")</f>
        <v>-5.8999999999999997E-2</v>
      </c>
      <c r="R420" s="5">
        <v>-0.71499999999999997</v>
      </c>
      <c r="S420" s="14" t="str">
        <f>IF(Table1[[#This Row],[Team]]="David",Table1[[#This Row],[Difference Vs. S&amp;P Return]],"")</f>
        <v/>
      </c>
      <c r="T420" s="14">
        <f>IF(Table1[[#This Row],[Team]]="Tom",Table1[[#This Row],[Difference Vs. S&amp;P Return]],"")</f>
        <v>-0.71499999999999997</v>
      </c>
      <c r="U420" s="14">
        <f>ROUND((1+Table1[[#This Row],[Return (keep sorted by this column!)]])/(1+Table1[[#This Row],[S&amp;P Return, same period]])-1,1)</f>
        <v>-0.8</v>
      </c>
      <c r="V420" s="15" t="str">
        <f>IF(Table1[[#This Row],[Team]]="David",Table1[[#This Row],[Improvement Vs. S&amp;P Return]],"")</f>
        <v/>
      </c>
      <c r="W420" s="15">
        <f>IF(Table1[[#This Row],[Team]]="Tom",Table1[[#This Row],[Improvement Vs. S&amp;P Return]],"")</f>
        <v>-0.8</v>
      </c>
    </row>
    <row r="421" spans="1:23" ht="45" x14ac:dyDescent="0.2">
      <c r="A421" s="1">
        <v>39437</v>
      </c>
      <c r="B421" s="2" t="s">
        <v>554</v>
      </c>
      <c r="C421" s="2">
        <f>SUBTOTAL(103,Table1[[#This Row],[Recommendation Date]])</f>
        <v>1</v>
      </c>
      <c r="D421" s="2">
        <f>1</f>
        <v>1</v>
      </c>
      <c r="E421" s="16" t="s">
        <v>555</v>
      </c>
      <c r="F421" s="3" t="s">
        <v>556</v>
      </c>
      <c r="G421" s="3" t="s">
        <v>8</v>
      </c>
      <c r="H421" s="17"/>
      <c r="I421" s="4">
        <v>26.37</v>
      </c>
      <c r="J421" s="5">
        <v>-0.78800000000000003</v>
      </c>
      <c r="K421" s="48">
        <f>ROUND(LOG10(Table1[[#This Row],[Return (keep sorted by this column!)]]+1),2)</f>
        <v>-0.67</v>
      </c>
      <c r="L421" s="48">
        <f>COUNTIF(Table1[Return (keep sorted by this column!)],"&lt;"&amp;Table1[[#This Row],[Return (keep sorted by this column!)]])</f>
        <v>14</v>
      </c>
      <c r="M421" s="14" t="str">
        <f>IF(Table1[[#This Row],[Team]]="David",Table1[[#This Row],[Return (keep sorted by this column!)]],"")</f>
        <v/>
      </c>
      <c r="N421" s="14">
        <f>IF(Table1[[#This Row],[Team]]="Tom",Table1[[#This Row],[Return (keep sorted by this column!)]],"")</f>
        <v>-0.78800000000000003</v>
      </c>
      <c r="O421" s="5">
        <v>-0.11</v>
      </c>
      <c r="P421" s="23" t="str">
        <f>IF(Table1[[#This Row],[Team]]="David",Table1[[#This Row],[S&amp;P Return, same period]],"")</f>
        <v/>
      </c>
      <c r="Q421" s="23">
        <f>IF(Table1[[#This Row],[Team]]="Tom",Table1[[#This Row],[S&amp;P Return, same period]],"")</f>
        <v>-0.11</v>
      </c>
      <c r="R421" s="5">
        <v>-0.67800000000000005</v>
      </c>
      <c r="S421" s="14" t="str">
        <f>IF(Table1[[#This Row],[Team]]="David",Table1[[#This Row],[Difference Vs. S&amp;P Return]],"")</f>
        <v/>
      </c>
      <c r="T421" s="14">
        <f>IF(Table1[[#This Row],[Team]]="Tom",Table1[[#This Row],[Difference Vs. S&amp;P Return]],"")</f>
        <v>-0.67800000000000005</v>
      </c>
      <c r="U421" s="14">
        <f>ROUND((1+Table1[[#This Row],[Return (keep sorted by this column!)]])/(1+Table1[[#This Row],[S&amp;P Return, same period]])-1,1)</f>
        <v>-0.8</v>
      </c>
      <c r="V421" s="15" t="str">
        <f>IF(Table1[[#This Row],[Team]]="David",Table1[[#This Row],[Improvement Vs. S&amp;P Return]],"")</f>
        <v/>
      </c>
      <c r="W421" s="15">
        <f>IF(Table1[[#This Row],[Team]]="Tom",Table1[[#This Row],[Improvement Vs. S&amp;P Return]],"")</f>
        <v>-0.8</v>
      </c>
    </row>
    <row r="422" spans="1:23" ht="45" x14ac:dyDescent="0.2">
      <c r="A422" s="1">
        <v>38429</v>
      </c>
      <c r="B422" s="2" t="s">
        <v>645</v>
      </c>
      <c r="C422" s="2">
        <f>SUBTOTAL(103,Table1[[#This Row],[Recommendation Date]])</f>
        <v>1</v>
      </c>
      <c r="D422" s="2">
        <f>1</f>
        <v>1</v>
      </c>
      <c r="E422" s="16" t="s">
        <v>646</v>
      </c>
      <c r="F422" s="3" t="s">
        <v>647</v>
      </c>
      <c r="G422" s="3" t="s">
        <v>8</v>
      </c>
      <c r="H422" s="17"/>
      <c r="I422" s="4">
        <v>31.76</v>
      </c>
      <c r="J422" s="5">
        <v>-0.79300000000000004</v>
      </c>
      <c r="K422" s="48">
        <f>ROUND(LOG10(Table1[[#This Row],[Return (keep sorted by this column!)]]+1),2)</f>
        <v>-0.68</v>
      </c>
      <c r="L422" s="48">
        <f>COUNTIF(Table1[Return (keep sorted by this column!)],"&lt;"&amp;Table1[[#This Row],[Return (keep sorted by this column!)]])</f>
        <v>13</v>
      </c>
      <c r="M422" s="14" t="str">
        <f>IF(Table1[[#This Row],[Team]]="David",Table1[[#This Row],[Return (keep sorted by this column!)]],"")</f>
        <v/>
      </c>
      <c r="N422" s="14">
        <f>IF(Table1[[#This Row],[Team]]="Tom",Table1[[#This Row],[Return (keep sorted by this column!)]],"")</f>
        <v>-0.79300000000000004</v>
      </c>
      <c r="O422" s="5">
        <v>0.18</v>
      </c>
      <c r="P422" s="23" t="str">
        <f>IF(Table1[[#This Row],[Team]]="David",Table1[[#This Row],[S&amp;P Return, same period]],"")</f>
        <v/>
      </c>
      <c r="Q422" s="23">
        <f>IF(Table1[[#This Row],[Team]]="Tom",Table1[[#This Row],[S&amp;P Return, same period]],"")</f>
        <v>0.18</v>
      </c>
      <c r="R422" s="5">
        <v>-0.97199999999999998</v>
      </c>
      <c r="S422" s="14" t="str">
        <f>IF(Table1[[#This Row],[Team]]="David",Table1[[#This Row],[Difference Vs. S&amp;P Return]],"")</f>
        <v/>
      </c>
      <c r="T422" s="14">
        <f>IF(Table1[[#This Row],[Team]]="Tom",Table1[[#This Row],[Difference Vs. S&amp;P Return]],"")</f>
        <v>-0.97199999999999998</v>
      </c>
      <c r="U422" s="14">
        <f>ROUND((1+Table1[[#This Row],[Return (keep sorted by this column!)]])/(1+Table1[[#This Row],[S&amp;P Return, same period]])-1,1)</f>
        <v>-0.8</v>
      </c>
      <c r="V422" s="15" t="str">
        <f>IF(Table1[[#This Row],[Team]]="David",Table1[[#This Row],[Improvement Vs. S&amp;P Return]],"")</f>
        <v/>
      </c>
      <c r="W422" s="15">
        <f>IF(Table1[[#This Row],[Team]]="Tom",Table1[[#This Row],[Improvement Vs. S&amp;P Return]],"")</f>
        <v>-0.8</v>
      </c>
    </row>
    <row r="423" spans="1:23" ht="60" x14ac:dyDescent="0.2">
      <c r="A423" s="1">
        <v>41593</v>
      </c>
      <c r="B423" s="2" t="s">
        <v>324</v>
      </c>
      <c r="C423" s="2">
        <f>SUBTOTAL(103,Table1[[#This Row],[Recommendation Date]])</f>
        <v>1</v>
      </c>
      <c r="D423" s="2">
        <f>1</f>
        <v>1</v>
      </c>
      <c r="E423" s="16" t="s">
        <v>325</v>
      </c>
      <c r="F423" s="3" t="s">
        <v>326</v>
      </c>
      <c r="G423" s="3" t="s">
        <v>12</v>
      </c>
      <c r="H423" s="17"/>
      <c r="I423" s="4">
        <v>33.549999999999997</v>
      </c>
      <c r="J423" s="5">
        <v>-0.83499999999999996</v>
      </c>
      <c r="K423" s="48">
        <f>ROUND(LOG10(Table1[[#This Row],[Return (keep sorted by this column!)]]+1),2)</f>
        <v>-0.78</v>
      </c>
      <c r="L423" s="48">
        <f>COUNTIF(Table1[Return (keep sorted by this column!)],"&lt;"&amp;Table1[[#This Row],[Return (keep sorted by this column!)]])</f>
        <v>12</v>
      </c>
      <c r="M423" s="76">
        <f>IF(Table1[[#This Row],[Team]]="David",Table1[[#This Row],[Return (keep sorted by this column!)]],"")</f>
        <v>-0.83499999999999996</v>
      </c>
      <c r="N423" s="76" t="str">
        <f>IF(Table1[[#This Row],[Team]]="Tom",Table1[[#This Row],[Return (keep sorted by this column!)]],"")</f>
        <v/>
      </c>
      <c r="O423" s="5">
        <v>0.27900000000000003</v>
      </c>
      <c r="P423" s="68">
        <f>IF(Table1[[#This Row],[Team]]="David",Table1[[#This Row],[S&amp;P Return, same period]],"")</f>
        <v>0.27900000000000003</v>
      </c>
      <c r="Q423" s="68" t="str">
        <f>IF(Table1[[#This Row],[Team]]="Tom",Table1[[#This Row],[S&amp;P Return, same period]],"")</f>
        <v/>
      </c>
      <c r="R423" s="5">
        <v>-1.1140000000000001</v>
      </c>
      <c r="S423" s="14">
        <f>IF(Table1[[#This Row],[Team]]="David",Table1[[#This Row],[Difference Vs. S&amp;P Return]],"")</f>
        <v>-1.1140000000000001</v>
      </c>
      <c r="T423" s="14" t="str">
        <f>IF(Table1[[#This Row],[Team]]="Tom",Table1[[#This Row],[Difference Vs. S&amp;P Return]],"")</f>
        <v/>
      </c>
      <c r="U423" s="14">
        <f>ROUND((1+Table1[[#This Row],[Return (keep sorted by this column!)]])/(1+Table1[[#This Row],[S&amp;P Return, same period]])-1,1)</f>
        <v>-0.9</v>
      </c>
      <c r="V423" s="15">
        <f>IF(Table1[[#This Row],[Team]]="David",Table1[[#This Row],[Improvement Vs. S&amp;P Return]],"")</f>
        <v>-0.9</v>
      </c>
      <c r="W423" s="15" t="str">
        <f>IF(Table1[[#This Row],[Team]]="Tom",Table1[[#This Row],[Improvement Vs. S&amp;P Return]],"")</f>
        <v/>
      </c>
    </row>
    <row r="424" spans="1:23" ht="45" x14ac:dyDescent="0.2">
      <c r="A424" s="1">
        <v>38583</v>
      </c>
      <c r="B424" s="2" t="s">
        <v>645</v>
      </c>
      <c r="C424" s="2">
        <f>SUBTOTAL(103,Table1[[#This Row],[Recommendation Date]])</f>
        <v>1</v>
      </c>
      <c r="D424" s="2">
        <f>1</f>
        <v>1</v>
      </c>
      <c r="E424" s="16" t="s">
        <v>646</v>
      </c>
      <c r="F424" s="3" t="s">
        <v>647</v>
      </c>
      <c r="G424" s="3" t="s">
        <v>8</v>
      </c>
      <c r="H424" s="17"/>
      <c r="I424" s="4">
        <v>41.62</v>
      </c>
      <c r="J424" s="5">
        <v>-0.84199999999999997</v>
      </c>
      <c r="K424" s="48">
        <f>ROUND(LOG10(Table1[[#This Row],[Return (keep sorted by this column!)]]+1),2)</f>
        <v>-0.8</v>
      </c>
      <c r="L424" s="48">
        <f>COUNTIF(Table1[Return (keep sorted by this column!)],"&lt;"&amp;Table1[[#This Row],[Return (keep sorted by this column!)]])</f>
        <v>11</v>
      </c>
      <c r="M424" s="14" t="str">
        <f>IF(Table1[[#This Row],[Team]]="David",Table1[[#This Row],[Return (keep sorted by this column!)]],"")</f>
        <v/>
      </c>
      <c r="N424" s="14">
        <f>IF(Table1[[#This Row],[Team]]="Tom",Table1[[#This Row],[Return (keep sorted by this column!)]],"")</f>
        <v>-0.84199999999999997</v>
      </c>
      <c r="O424" s="5">
        <v>0.14199999999999999</v>
      </c>
      <c r="P424" s="23" t="str">
        <f>IF(Table1[[#This Row],[Team]]="David",Table1[[#This Row],[S&amp;P Return, same period]],"")</f>
        <v/>
      </c>
      <c r="Q424" s="23">
        <f>IF(Table1[[#This Row],[Team]]="Tom",Table1[[#This Row],[S&amp;P Return, same period]],"")</f>
        <v>0.14199999999999999</v>
      </c>
      <c r="R424" s="5">
        <v>-0.98399999999999999</v>
      </c>
      <c r="S424" s="14" t="str">
        <f>IF(Table1[[#This Row],[Team]]="David",Table1[[#This Row],[Difference Vs. S&amp;P Return]],"")</f>
        <v/>
      </c>
      <c r="T424" s="14">
        <f>IF(Table1[[#This Row],[Team]]="Tom",Table1[[#This Row],[Difference Vs. S&amp;P Return]],"")</f>
        <v>-0.98399999999999999</v>
      </c>
      <c r="U424" s="14">
        <f>ROUND((1+Table1[[#This Row],[Return (keep sorted by this column!)]])/(1+Table1[[#This Row],[S&amp;P Return, same period]])-1,1)</f>
        <v>-0.9</v>
      </c>
      <c r="V424" s="15" t="str">
        <f>IF(Table1[[#This Row],[Team]]="David",Table1[[#This Row],[Improvement Vs. S&amp;P Return]],"")</f>
        <v/>
      </c>
      <c r="W424" s="15">
        <f>IF(Table1[[#This Row],[Team]]="Tom",Table1[[#This Row],[Improvement Vs. S&amp;P Return]],"")</f>
        <v>-0.9</v>
      </c>
    </row>
    <row r="425" spans="1:23" ht="60" x14ac:dyDescent="0.2">
      <c r="A425" s="1">
        <v>41628</v>
      </c>
      <c r="B425" s="2" t="s">
        <v>324</v>
      </c>
      <c r="C425" s="2">
        <f>SUBTOTAL(103,Table1[[#This Row],[Recommendation Date]])</f>
        <v>1</v>
      </c>
      <c r="D425" s="2">
        <f>1</f>
        <v>1</v>
      </c>
      <c r="E425" s="16" t="s">
        <v>325</v>
      </c>
      <c r="F425" s="3" t="s">
        <v>326</v>
      </c>
      <c r="G425" s="3" t="s">
        <v>12</v>
      </c>
      <c r="H425" s="17"/>
      <c r="I425" s="4">
        <v>41.28</v>
      </c>
      <c r="J425" s="5">
        <v>-0.86599999999999999</v>
      </c>
      <c r="K425" s="48">
        <f>ROUND(LOG10(Table1[[#This Row],[Return (keep sorted by this column!)]]+1),2)</f>
        <v>-0.87</v>
      </c>
      <c r="L425" s="48">
        <f>COUNTIF(Table1[Return (keep sorted by this column!)],"&lt;"&amp;Table1[[#This Row],[Return (keep sorted by this column!)]])</f>
        <v>10</v>
      </c>
      <c r="M425" s="76">
        <f>IF(Table1[[#This Row],[Team]]="David",Table1[[#This Row],[Return (keep sorted by this column!)]],"")</f>
        <v>-0.86599999999999999</v>
      </c>
      <c r="N425" s="76" t="str">
        <f>IF(Table1[[#This Row],[Team]]="Tom",Table1[[#This Row],[Return (keep sorted by this column!)]],"")</f>
        <v/>
      </c>
      <c r="O425" s="5">
        <v>0.26200000000000001</v>
      </c>
      <c r="P425" s="68">
        <f>IF(Table1[[#This Row],[Team]]="David",Table1[[#This Row],[S&amp;P Return, same period]],"")</f>
        <v>0.26200000000000001</v>
      </c>
      <c r="Q425" s="68" t="str">
        <f>IF(Table1[[#This Row],[Team]]="Tom",Table1[[#This Row],[S&amp;P Return, same period]],"")</f>
        <v/>
      </c>
      <c r="R425" s="5">
        <v>-1.1279999999999999</v>
      </c>
      <c r="S425" s="14">
        <f>IF(Table1[[#This Row],[Team]]="David",Table1[[#This Row],[Difference Vs. S&amp;P Return]],"")</f>
        <v>-1.1279999999999999</v>
      </c>
      <c r="T425" s="14" t="str">
        <f>IF(Table1[[#This Row],[Team]]="Tom",Table1[[#This Row],[Difference Vs. S&amp;P Return]],"")</f>
        <v/>
      </c>
      <c r="U425" s="14">
        <f>ROUND((1+Table1[[#This Row],[Return (keep sorted by this column!)]])/(1+Table1[[#This Row],[S&amp;P Return, same period]])-1,1)</f>
        <v>-0.9</v>
      </c>
      <c r="V425" s="15">
        <f>IF(Table1[[#This Row],[Team]]="David",Table1[[#This Row],[Improvement Vs. S&amp;P Return]],"")</f>
        <v>-0.9</v>
      </c>
      <c r="W425" s="15" t="str">
        <f>IF(Table1[[#This Row],[Team]]="Tom",Table1[[#This Row],[Improvement Vs. S&amp;P Return]],"")</f>
        <v/>
      </c>
    </row>
    <row r="426" spans="1:23" ht="30" x14ac:dyDescent="0.2">
      <c r="A426" s="18">
        <v>40865</v>
      </c>
      <c r="B426" s="2" t="s">
        <v>396</v>
      </c>
      <c r="C426" s="2">
        <f>SUBTOTAL(103,Table1[[#This Row],[Recommendation Date]])</f>
        <v>1</v>
      </c>
      <c r="D426" s="2">
        <f>1</f>
        <v>1</v>
      </c>
      <c r="E426" s="16" t="s">
        <v>397</v>
      </c>
      <c r="F426" s="3" t="s">
        <v>398</v>
      </c>
      <c r="G426" s="3" t="s">
        <v>8</v>
      </c>
      <c r="H426" s="17"/>
      <c r="I426" s="4">
        <v>39.979999999999997</v>
      </c>
      <c r="J426" s="5">
        <v>-0.88</v>
      </c>
      <c r="K426" s="48">
        <f>ROUND(LOG10(Table1[[#This Row],[Return (keep sorted by this column!)]]+1),2)</f>
        <v>-0.92</v>
      </c>
      <c r="L426" s="48">
        <f>COUNTIF(Table1[Return (keep sorted by this column!)],"&lt;"&amp;Table1[[#This Row],[Return (keep sorted by this column!)]])</f>
        <v>9</v>
      </c>
      <c r="M426" s="76" t="str">
        <f>IF(Table1[[#This Row],[Team]]="David",Table1[[#This Row],[Return (keep sorted by this column!)]],"")</f>
        <v/>
      </c>
      <c r="N426" s="76">
        <f>IF(Table1[[#This Row],[Team]]="Tom",Table1[[#This Row],[Return (keep sorted by this column!)]],"")</f>
        <v>-0.88</v>
      </c>
      <c r="O426" s="5">
        <v>1.6859999999999999</v>
      </c>
      <c r="P426" s="68" t="str">
        <f>IF(Table1[[#This Row],[Team]]="David",Table1[[#This Row],[S&amp;P Return, same period]],"")</f>
        <v/>
      </c>
      <c r="Q426" s="68">
        <f>IF(Table1[[#This Row],[Team]]="Tom",Table1[[#This Row],[S&amp;P Return, same period]],"")</f>
        <v>1.6859999999999999</v>
      </c>
      <c r="R426" s="5">
        <v>-2.5659999999999998</v>
      </c>
      <c r="S426" s="14" t="str">
        <f>IF(Table1[[#This Row],[Team]]="David",Table1[[#This Row],[Difference Vs. S&amp;P Return]],"")</f>
        <v/>
      </c>
      <c r="T426" s="14">
        <f>IF(Table1[[#This Row],[Team]]="Tom",Table1[[#This Row],[Difference Vs. S&amp;P Return]],"")</f>
        <v>-2.5659999999999998</v>
      </c>
      <c r="U426" s="14">
        <f>ROUND((1+Table1[[#This Row],[Return (keep sorted by this column!)]])/(1+Table1[[#This Row],[S&amp;P Return, same period]])-1,1)</f>
        <v>-1</v>
      </c>
      <c r="V426" s="15" t="str">
        <f>IF(Table1[[#This Row],[Team]]="David",Table1[[#This Row],[Improvement Vs. S&amp;P Return]],"")</f>
        <v/>
      </c>
      <c r="W426" s="15">
        <f>IF(Table1[[#This Row],[Team]]="Tom",Table1[[#This Row],[Improvement Vs. S&amp;P Return]],"")</f>
        <v>-1</v>
      </c>
    </row>
    <row r="427" spans="1:23" ht="60" x14ac:dyDescent="0.2">
      <c r="A427" s="1">
        <v>40592</v>
      </c>
      <c r="B427" s="2" t="s">
        <v>431</v>
      </c>
      <c r="C427" s="2">
        <f>SUBTOTAL(103,Table1[[#This Row],[Recommendation Date]])</f>
        <v>1</v>
      </c>
      <c r="D427" s="2">
        <f>1</f>
        <v>1</v>
      </c>
      <c r="E427" s="16" t="s">
        <v>432</v>
      </c>
      <c r="F427" s="3" t="s">
        <v>433</v>
      </c>
      <c r="G427" s="3" t="s">
        <v>12</v>
      </c>
      <c r="H427" s="17"/>
      <c r="I427" s="4">
        <v>16.36</v>
      </c>
      <c r="J427" s="5">
        <v>-0.88300000000000001</v>
      </c>
      <c r="K427" s="48">
        <f>ROUND(LOG10(Table1[[#This Row],[Return (keep sorted by this column!)]]+1),2)</f>
        <v>-0.93</v>
      </c>
      <c r="L427" s="48">
        <f>COUNTIF(Table1[Return (keep sorted by this column!)],"&lt;"&amp;Table1[[#This Row],[Return (keep sorted by this column!)]])</f>
        <v>8</v>
      </c>
      <c r="M427" s="76">
        <f>IF(Table1[[#This Row],[Team]]="David",Table1[[#This Row],[Return (keep sorted by this column!)]],"")</f>
        <v>-0.88300000000000001</v>
      </c>
      <c r="N427" s="76" t="str">
        <f>IF(Table1[[#This Row],[Team]]="Tom",Table1[[#This Row],[Return (keep sorted by this column!)]],"")</f>
        <v/>
      </c>
      <c r="O427" s="5">
        <v>0.64500000000000002</v>
      </c>
      <c r="P427" s="68">
        <f>IF(Table1[[#This Row],[Team]]="David",Table1[[#This Row],[S&amp;P Return, same period]],"")</f>
        <v>0.64500000000000002</v>
      </c>
      <c r="Q427" s="68" t="str">
        <f>IF(Table1[[#This Row],[Team]]="Tom",Table1[[#This Row],[S&amp;P Return, same period]],"")</f>
        <v/>
      </c>
      <c r="R427" s="5">
        <v>-1.5269999999999999</v>
      </c>
      <c r="S427" s="14">
        <f>IF(Table1[[#This Row],[Team]]="David",Table1[[#This Row],[Difference Vs. S&amp;P Return]],"")</f>
        <v>-1.5269999999999999</v>
      </c>
      <c r="T427" s="14" t="str">
        <f>IF(Table1[[#This Row],[Team]]="Tom",Table1[[#This Row],[Difference Vs. S&amp;P Return]],"")</f>
        <v/>
      </c>
      <c r="U427" s="14">
        <f>ROUND((1+Table1[[#This Row],[Return (keep sorted by this column!)]])/(1+Table1[[#This Row],[S&amp;P Return, same period]])-1,1)</f>
        <v>-0.9</v>
      </c>
      <c r="V427" s="15">
        <f>IF(Table1[[#This Row],[Team]]="David",Table1[[#This Row],[Improvement Vs. S&amp;P Return]],"")</f>
        <v>-0.9</v>
      </c>
      <c r="W427" s="15" t="str">
        <f>IF(Table1[[#This Row],[Team]]="Tom",Table1[[#This Row],[Improvement Vs. S&amp;P Return]],"")</f>
        <v/>
      </c>
    </row>
    <row r="428" spans="1:23" ht="60" x14ac:dyDescent="0.2">
      <c r="A428" s="1">
        <v>39101</v>
      </c>
      <c r="B428" s="2" t="s">
        <v>594</v>
      </c>
      <c r="C428" s="2">
        <f>SUBTOTAL(103,Table1[[#This Row],[Recommendation Date]])</f>
        <v>1</v>
      </c>
      <c r="D428" s="2">
        <f>1</f>
        <v>1</v>
      </c>
      <c r="E428" s="16" t="s">
        <v>595</v>
      </c>
      <c r="F428" s="3" t="s">
        <v>596</v>
      </c>
      <c r="G428" s="3" t="s">
        <v>8</v>
      </c>
      <c r="H428" s="17"/>
      <c r="I428" s="4">
        <v>34.57</v>
      </c>
      <c r="J428" s="5">
        <v>-0.89300000000000002</v>
      </c>
      <c r="K428" s="48">
        <f>ROUND(LOG10(Table1[[#This Row],[Return (keep sorted by this column!)]]+1),2)</f>
        <v>-0.97</v>
      </c>
      <c r="L428" s="48">
        <f>COUNTIF(Table1[Return (keep sorted by this column!)],"&lt;"&amp;Table1[[#This Row],[Return (keep sorted by this column!)]])</f>
        <v>7</v>
      </c>
      <c r="M428" s="14" t="str">
        <f>IF(Table1[[#This Row],[Team]]="David",Table1[[#This Row],[Return (keep sorted by this column!)]],"")</f>
        <v/>
      </c>
      <c r="N428" s="14">
        <f>IF(Table1[[#This Row],[Team]]="Tom",Table1[[#This Row],[Return (keep sorted by this column!)]],"")</f>
        <v>-0.89300000000000002</v>
      </c>
      <c r="O428" s="5">
        <v>-0.36099999999999999</v>
      </c>
      <c r="P428" s="23" t="str">
        <f>IF(Table1[[#This Row],[Team]]="David",Table1[[#This Row],[S&amp;P Return, same period]],"")</f>
        <v/>
      </c>
      <c r="Q428" s="23">
        <f>IF(Table1[[#This Row],[Team]]="Tom",Table1[[#This Row],[S&amp;P Return, same period]],"")</f>
        <v>-0.36099999999999999</v>
      </c>
      <c r="R428" s="5">
        <v>-0.53200000000000003</v>
      </c>
      <c r="S428" s="14" t="str">
        <f>IF(Table1[[#This Row],[Team]]="David",Table1[[#This Row],[Difference Vs. S&amp;P Return]],"")</f>
        <v/>
      </c>
      <c r="T428" s="14">
        <f>IF(Table1[[#This Row],[Team]]="Tom",Table1[[#This Row],[Difference Vs. S&amp;P Return]],"")</f>
        <v>-0.53200000000000003</v>
      </c>
      <c r="U428" s="14">
        <f>ROUND((1+Table1[[#This Row],[Return (keep sorted by this column!)]])/(1+Table1[[#This Row],[S&amp;P Return, same period]])-1,1)</f>
        <v>-0.8</v>
      </c>
      <c r="V428" s="15" t="str">
        <f>IF(Table1[[#This Row],[Team]]="David",Table1[[#This Row],[Improvement Vs. S&amp;P Return]],"")</f>
        <v/>
      </c>
      <c r="W428" s="15">
        <f>IF(Table1[[#This Row],[Team]]="Tom",Table1[[#This Row],[Improvement Vs. S&amp;P Return]],"")</f>
        <v>-0.8</v>
      </c>
    </row>
    <row r="429" spans="1:23" ht="60" x14ac:dyDescent="0.2">
      <c r="A429" s="1">
        <v>37841</v>
      </c>
      <c r="B429" s="2" t="s">
        <v>708</v>
      </c>
      <c r="C429" s="2">
        <f>SUBTOTAL(103,Table1[[#This Row],[Recommendation Date]])</f>
        <v>1</v>
      </c>
      <c r="D429" s="2">
        <f>1</f>
        <v>1</v>
      </c>
      <c r="E429" s="16" t="s">
        <v>709</v>
      </c>
      <c r="F429" s="3" t="s">
        <v>252</v>
      </c>
      <c r="G429" s="3" t="s">
        <v>12</v>
      </c>
      <c r="H429" s="17"/>
      <c r="I429" s="4">
        <v>44.22</v>
      </c>
      <c r="J429" s="5">
        <v>-0.89700000000000002</v>
      </c>
      <c r="K429" s="48">
        <f>ROUND(LOG10(Table1[[#This Row],[Return (keep sorted by this column!)]]+1),2)</f>
        <v>-0.99</v>
      </c>
      <c r="L429" s="48">
        <f>COUNTIF(Table1[Return (keep sorted by this column!)],"&lt;"&amp;Table1[[#This Row],[Return (keep sorted by this column!)]])</f>
        <v>6</v>
      </c>
      <c r="M429" s="14">
        <f>IF(Table1[[#This Row],[Team]]="David",Table1[[#This Row],[Return (keep sorted by this column!)]],"")</f>
        <v>-0.89700000000000002</v>
      </c>
      <c r="N429" s="14" t="str">
        <f>IF(Table1[[#This Row],[Team]]="Tom",Table1[[#This Row],[Return (keep sorted by this column!)]],"")</f>
        <v/>
      </c>
      <c r="O429" s="5">
        <v>0.26700000000000002</v>
      </c>
      <c r="P429" s="23">
        <f>IF(Table1[[#This Row],[Team]]="David",Table1[[#This Row],[S&amp;P Return, same period]],"")</f>
        <v>0.26700000000000002</v>
      </c>
      <c r="Q429" s="23" t="str">
        <f>IF(Table1[[#This Row],[Team]]="Tom",Table1[[#This Row],[S&amp;P Return, same period]],"")</f>
        <v/>
      </c>
      <c r="R429" s="5">
        <v>-1.1639999999999999</v>
      </c>
      <c r="S429" s="14">
        <f>IF(Table1[[#This Row],[Team]]="David",Table1[[#This Row],[Difference Vs. S&amp;P Return]],"")</f>
        <v>-1.1639999999999999</v>
      </c>
      <c r="T429" s="14" t="str">
        <f>IF(Table1[[#This Row],[Team]]="Tom",Table1[[#This Row],[Difference Vs. S&amp;P Return]],"")</f>
        <v/>
      </c>
      <c r="U429" s="14">
        <f>ROUND((1+Table1[[#This Row],[Return (keep sorted by this column!)]])/(1+Table1[[#This Row],[S&amp;P Return, same period]])-1,1)</f>
        <v>-0.9</v>
      </c>
      <c r="V429" s="15">
        <f>IF(Table1[[#This Row],[Team]]="David",Table1[[#This Row],[Improvement Vs. S&amp;P Return]],"")</f>
        <v>-0.9</v>
      </c>
      <c r="W429" s="15" t="str">
        <f>IF(Table1[[#This Row],[Team]]="Tom",Table1[[#This Row],[Improvement Vs. S&amp;P Return]],"")</f>
        <v/>
      </c>
    </row>
    <row r="430" spans="1:23" ht="60" x14ac:dyDescent="0.2">
      <c r="A430" s="1">
        <v>42237</v>
      </c>
      <c r="B430" s="2" t="s">
        <v>250</v>
      </c>
      <c r="C430" s="2">
        <f>SUBTOTAL(103,Table1[[#This Row],[Recommendation Date]])</f>
        <v>1</v>
      </c>
      <c r="D430" s="2">
        <f>1</f>
        <v>1</v>
      </c>
      <c r="E430" s="16" t="s">
        <v>251</v>
      </c>
      <c r="F430" s="3" t="s">
        <v>252</v>
      </c>
      <c r="G430" s="3" t="s">
        <v>8</v>
      </c>
      <c r="H430" s="17"/>
      <c r="I430" s="4">
        <v>40.299999999999997</v>
      </c>
      <c r="J430" s="5">
        <v>-0.90100000000000002</v>
      </c>
      <c r="K430" s="48">
        <f>ROUND(LOG10(Table1[[#This Row],[Return (keep sorted by this column!)]]+1),2)</f>
        <v>-1</v>
      </c>
      <c r="L430" s="48">
        <f>COUNTIF(Table1[Return (keep sorted by this column!)],"&lt;"&amp;Table1[[#This Row],[Return (keep sorted by this column!)]])</f>
        <v>5</v>
      </c>
      <c r="M430" s="76" t="str">
        <f>IF(Table1[[#This Row],[Team]]="David",Table1[[#This Row],[Return (keep sorted by this column!)]],"")</f>
        <v/>
      </c>
      <c r="N430" s="76">
        <f>IF(Table1[[#This Row],[Team]]="Tom",Table1[[#This Row],[Return (keep sorted by this column!)]],"")</f>
        <v>-0.90100000000000002</v>
      </c>
      <c r="O430" s="5">
        <v>0.84899999999999998</v>
      </c>
      <c r="P430" s="68" t="str">
        <f>IF(Table1[[#This Row],[Team]]="David",Table1[[#This Row],[S&amp;P Return, same period]],"")</f>
        <v/>
      </c>
      <c r="Q430" s="68">
        <f>IF(Table1[[#This Row],[Team]]="Tom",Table1[[#This Row],[S&amp;P Return, same period]],"")</f>
        <v>0.84899999999999998</v>
      </c>
      <c r="R430" s="5">
        <v>-1.75</v>
      </c>
      <c r="S430" s="14" t="str">
        <f>IF(Table1[[#This Row],[Team]]="David",Table1[[#This Row],[Difference Vs. S&amp;P Return]],"")</f>
        <v/>
      </c>
      <c r="T430" s="14">
        <f>IF(Table1[[#This Row],[Team]]="Tom",Table1[[#This Row],[Difference Vs. S&amp;P Return]],"")</f>
        <v>-1.75</v>
      </c>
      <c r="U430" s="14">
        <f>ROUND((1+Table1[[#This Row],[Return (keep sorted by this column!)]])/(1+Table1[[#This Row],[S&amp;P Return, same period]])-1,1)</f>
        <v>-0.9</v>
      </c>
      <c r="V430" s="15" t="str">
        <f>IF(Table1[[#This Row],[Team]]="David",Table1[[#This Row],[Improvement Vs. S&amp;P Return]],"")</f>
        <v/>
      </c>
      <c r="W430" s="15">
        <f>IF(Table1[[#This Row],[Team]]="Tom",Table1[[#This Row],[Improvement Vs. S&amp;P Return]],"")</f>
        <v>-0.9</v>
      </c>
    </row>
    <row r="431" spans="1:23" ht="30" x14ac:dyDescent="0.2">
      <c r="A431" s="18">
        <v>40984</v>
      </c>
      <c r="B431" s="2" t="s">
        <v>387</v>
      </c>
      <c r="C431" s="2">
        <f>SUBTOTAL(103,Table1[[#This Row],[Recommendation Date]])</f>
        <v>1</v>
      </c>
      <c r="D431" s="2">
        <f>1</f>
        <v>1</v>
      </c>
      <c r="E431" s="16" t="s">
        <v>388</v>
      </c>
      <c r="F431" s="3" t="s">
        <v>389</v>
      </c>
      <c r="G431" s="3" t="s">
        <v>12</v>
      </c>
      <c r="H431" s="16">
        <v>13</v>
      </c>
      <c r="I431" s="4">
        <v>21.05</v>
      </c>
      <c r="J431" s="5">
        <v>-0.91500000000000004</v>
      </c>
      <c r="K431" s="48">
        <f>ROUND(LOG10(Table1[[#This Row],[Return (keep sorted by this column!)]]+1),2)</f>
        <v>-1.07</v>
      </c>
      <c r="L431" s="48">
        <f>COUNTIF(Table1[Return (keep sorted by this column!)],"&lt;"&amp;Table1[[#This Row],[Return (keep sorted by this column!)]])</f>
        <v>4</v>
      </c>
      <c r="M431" s="76">
        <f>IF(Table1[[#This Row],[Team]]="David",Table1[[#This Row],[Return (keep sorted by this column!)]],"")</f>
        <v>-0.91500000000000004</v>
      </c>
      <c r="N431" s="76" t="str">
        <f>IF(Table1[[#This Row],[Team]]="Tom",Table1[[#This Row],[Return (keep sorted by this column!)]],"")</f>
        <v/>
      </c>
      <c r="O431" s="5">
        <v>1.3089999999999999</v>
      </c>
      <c r="P431" s="68">
        <f>IF(Table1[[#This Row],[Team]]="David",Table1[[#This Row],[S&amp;P Return, same period]],"")</f>
        <v>1.3089999999999999</v>
      </c>
      <c r="Q431" s="68" t="str">
        <f>IF(Table1[[#This Row],[Team]]="Tom",Table1[[#This Row],[S&amp;P Return, same period]],"")</f>
        <v/>
      </c>
      <c r="R431" s="5">
        <v>-2.2240000000000002</v>
      </c>
      <c r="S431" s="14">
        <f>IF(Table1[[#This Row],[Team]]="David",Table1[[#This Row],[Difference Vs. S&amp;P Return]],"")</f>
        <v>-2.2240000000000002</v>
      </c>
      <c r="T431" s="14" t="str">
        <f>IF(Table1[[#This Row],[Team]]="Tom",Table1[[#This Row],[Difference Vs. S&amp;P Return]],"")</f>
        <v/>
      </c>
      <c r="U431" s="14">
        <f>ROUND((1+Table1[[#This Row],[Return (keep sorted by this column!)]])/(1+Table1[[#This Row],[S&amp;P Return, same period]])-1,1)</f>
        <v>-1</v>
      </c>
      <c r="V431" s="15">
        <f>IF(Table1[[#This Row],[Team]]="David",Table1[[#This Row],[Improvement Vs. S&amp;P Return]],"")</f>
        <v>-1</v>
      </c>
      <c r="W431" s="15" t="str">
        <f>IF(Table1[[#This Row],[Team]]="Tom",Table1[[#This Row],[Improvement Vs. S&amp;P Return]],"")</f>
        <v/>
      </c>
    </row>
    <row r="432" spans="1:23" ht="60" x14ac:dyDescent="0.2">
      <c r="A432" s="1">
        <v>40956</v>
      </c>
      <c r="B432" s="2" t="s">
        <v>390</v>
      </c>
      <c r="C432" s="2">
        <f>SUBTOTAL(103,Table1[[#This Row],[Recommendation Date]])</f>
        <v>1</v>
      </c>
      <c r="D432" s="2">
        <f>1</f>
        <v>1</v>
      </c>
      <c r="E432" s="16" t="s">
        <v>391</v>
      </c>
      <c r="F432" s="3" t="s">
        <v>252</v>
      </c>
      <c r="G432" s="3" t="s">
        <v>12</v>
      </c>
      <c r="H432" s="17"/>
      <c r="I432" s="3" t="s">
        <v>268</v>
      </c>
      <c r="J432" s="5">
        <v>-0.92700000000000005</v>
      </c>
      <c r="K432" s="48">
        <f>ROUND(LOG10(Table1[[#This Row],[Return (keep sorted by this column!)]]+1),2)</f>
        <v>-1.1399999999999999</v>
      </c>
      <c r="L432" s="48">
        <f>COUNTIF(Table1[Return (keep sorted by this column!)],"&lt;"&amp;Table1[[#This Row],[Return (keep sorted by this column!)]])</f>
        <v>3</v>
      </c>
      <c r="M432" s="76">
        <f>IF(Table1[[#This Row],[Team]]="David",Table1[[#This Row],[Return (keep sorted by this column!)]],"")</f>
        <v>-0.92700000000000005</v>
      </c>
      <c r="N432" s="76" t="str">
        <f>IF(Table1[[#This Row],[Team]]="Tom",Table1[[#This Row],[Return (keep sorted by this column!)]],"")</f>
        <v/>
      </c>
      <c r="O432" s="5">
        <v>0.72599999999999998</v>
      </c>
      <c r="P432" s="68">
        <f>IF(Table1[[#This Row],[Team]]="David",Table1[[#This Row],[S&amp;P Return, same period]],"")</f>
        <v>0.72599999999999998</v>
      </c>
      <c r="Q432" s="68" t="str">
        <f>IF(Table1[[#This Row],[Team]]="Tom",Table1[[#This Row],[S&amp;P Return, same period]],"")</f>
        <v/>
      </c>
      <c r="R432" s="5">
        <v>-1.653</v>
      </c>
      <c r="S432" s="14">
        <f>IF(Table1[[#This Row],[Team]]="David",Table1[[#This Row],[Difference Vs. S&amp;P Return]],"")</f>
        <v>-1.653</v>
      </c>
      <c r="T432" s="14" t="str">
        <f>IF(Table1[[#This Row],[Team]]="Tom",Table1[[#This Row],[Difference Vs. S&amp;P Return]],"")</f>
        <v/>
      </c>
      <c r="U432" s="14">
        <f>ROUND((1+Table1[[#This Row],[Return (keep sorted by this column!)]])/(1+Table1[[#This Row],[S&amp;P Return, same period]])-1,1)</f>
        <v>-1</v>
      </c>
      <c r="V432" s="15">
        <f>IF(Table1[[#This Row],[Team]]="David",Table1[[#This Row],[Improvement Vs. S&amp;P Return]],"")</f>
        <v>-1</v>
      </c>
      <c r="W432" s="15" t="str">
        <f>IF(Table1[[#This Row],[Team]]="Tom",Table1[[#This Row],[Improvement Vs. S&amp;P Return]],"")</f>
        <v/>
      </c>
    </row>
    <row r="433" spans="1:23" ht="30" x14ac:dyDescent="0.2">
      <c r="A433" s="31">
        <v>41746</v>
      </c>
      <c r="B433" s="32" t="s">
        <v>306</v>
      </c>
      <c r="C433" s="32">
        <f>SUBTOTAL(103,Table1[[#This Row],[Recommendation Date]])</f>
        <v>1</v>
      </c>
      <c r="D433" s="32">
        <f>1</f>
        <v>1</v>
      </c>
      <c r="E433" s="33" t="s">
        <v>307</v>
      </c>
      <c r="F433" s="34" t="s">
        <v>308</v>
      </c>
      <c r="G433" s="34" t="s">
        <v>8</v>
      </c>
      <c r="H433" s="38"/>
      <c r="I433" s="36">
        <v>187.81</v>
      </c>
      <c r="J433" s="37">
        <v>-0.92800000000000005</v>
      </c>
      <c r="K433" s="49">
        <f>ROUND(LOG10(Table1[[#This Row],[Return (keep sorted by this column!)]]+1),2)</f>
        <v>-1.1399999999999999</v>
      </c>
      <c r="L433" s="49">
        <f>COUNTIF(Table1[Return (keep sorted by this column!)],"&lt;"&amp;Table1[[#This Row],[Return (keep sorted by this column!)]])</f>
        <v>2</v>
      </c>
      <c r="M433" s="76" t="str">
        <f>IF(Table1[[#This Row],[Team]]="David",Table1[[#This Row],[Return (keep sorted by this column!)]],"")</f>
        <v/>
      </c>
      <c r="N433" s="76">
        <f>IF(Table1[[#This Row],[Team]]="Tom",Table1[[#This Row],[Return (keep sorted by this column!)]],"")</f>
        <v>-0.92800000000000005</v>
      </c>
      <c r="O433" s="37">
        <v>0.66200000000000003</v>
      </c>
      <c r="P433" s="68" t="str">
        <f>IF(Table1[[#This Row],[Team]]="David",Table1[[#This Row],[S&amp;P Return, same period]],"")</f>
        <v/>
      </c>
      <c r="Q433" s="68">
        <f>IF(Table1[[#This Row],[Team]]="Tom",Table1[[#This Row],[S&amp;P Return, same period]],"")</f>
        <v>0.66200000000000003</v>
      </c>
      <c r="R433" s="37">
        <v>-1.59</v>
      </c>
      <c r="S433" s="14" t="str">
        <f>IF(Table1[[#This Row],[Team]]="David",Table1[[#This Row],[Difference Vs. S&amp;P Return]],"")</f>
        <v/>
      </c>
      <c r="T433" s="14">
        <f>IF(Table1[[#This Row],[Team]]="Tom",Table1[[#This Row],[Difference Vs. S&amp;P Return]],"")</f>
        <v>-1.59</v>
      </c>
      <c r="U433" s="14">
        <f>ROUND((1+Table1[[#This Row],[Return (keep sorted by this column!)]])/(1+Table1[[#This Row],[S&amp;P Return, same period]])-1,1)</f>
        <v>-1</v>
      </c>
      <c r="V433" s="15" t="str">
        <f>IF(Table1[[#This Row],[Team]]="David",Table1[[#This Row],[Improvement Vs. S&amp;P Return]],"")</f>
        <v/>
      </c>
      <c r="W433" s="15">
        <f>IF(Table1[[#This Row],[Team]]="Tom",Table1[[#This Row],[Improvement Vs. S&amp;P Return]],"")</f>
        <v>-1</v>
      </c>
    </row>
    <row r="434" spans="1:23" ht="75" x14ac:dyDescent="0.2">
      <c r="A434" s="1">
        <v>39220</v>
      </c>
      <c r="B434" s="2" t="s">
        <v>583</v>
      </c>
      <c r="C434" s="2">
        <f>SUBTOTAL(103,Table1[[#This Row],[Recommendation Date]])</f>
        <v>1</v>
      </c>
      <c r="D434" s="2">
        <f>1</f>
        <v>1</v>
      </c>
      <c r="E434" s="16" t="s">
        <v>584</v>
      </c>
      <c r="F434" s="3" t="s">
        <v>252</v>
      </c>
      <c r="G434" s="3" t="s">
        <v>12</v>
      </c>
      <c r="H434" s="17"/>
      <c r="I434" s="3" t="s">
        <v>268</v>
      </c>
      <c r="J434" s="5">
        <v>-0.94</v>
      </c>
      <c r="K434" s="48">
        <f>ROUND(LOG10(Table1[[#This Row],[Return (keep sorted by this column!)]]+1),2)</f>
        <v>-1.22</v>
      </c>
      <c r="L434" s="48">
        <f>COUNTIF(Table1[Return (keep sorted by this column!)],"&lt;"&amp;Table1[[#This Row],[Return (keep sorted by this column!)]])</f>
        <v>1</v>
      </c>
      <c r="M434" s="14">
        <f>IF(Table1[[#This Row],[Team]]="David",Table1[[#This Row],[Return (keep sorted by this column!)]],"")</f>
        <v>-0.94</v>
      </c>
      <c r="N434" s="14" t="str">
        <f>IF(Table1[[#This Row],[Team]]="Tom",Table1[[#This Row],[Return (keep sorted by this column!)]],"")</f>
        <v/>
      </c>
      <c r="O434" s="5">
        <v>-0.40699999999999997</v>
      </c>
      <c r="P434" s="23">
        <f>IF(Table1[[#This Row],[Team]]="David",Table1[[#This Row],[S&amp;P Return, same period]],"")</f>
        <v>-0.40699999999999997</v>
      </c>
      <c r="Q434" s="23" t="str">
        <f>IF(Table1[[#This Row],[Team]]="Tom",Table1[[#This Row],[S&amp;P Return, same period]],"")</f>
        <v/>
      </c>
      <c r="R434" s="5">
        <v>-0.53200000000000003</v>
      </c>
      <c r="S434" s="14">
        <f>IF(Table1[[#This Row],[Team]]="David",Table1[[#This Row],[Difference Vs. S&amp;P Return]],"")</f>
        <v>-0.53200000000000003</v>
      </c>
      <c r="T434" s="14" t="str">
        <f>IF(Table1[[#This Row],[Team]]="Tom",Table1[[#This Row],[Difference Vs. S&amp;P Return]],"")</f>
        <v/>
      </c>
      <c r="U434" s="14">
        <f>ROUND((1+Table1[[#This Row],[Return (keep sorted by this column!)]])/(1+Table1[[#This Row],[S&amp;P Return, same period]])-1,1)</f>
        <v>-0.9</v>
      </c>
      <c r="V434" s="15">
        <f>IF(Table1[[#This Row],[Team]]="David",Table1[[#This Row],[Improvement Vs. S&amp;P Return]],"")</f>
        <v>-0.9</v>
      </c>
      <c r="W434" s="15" t="str">
        <f>IF(Table1[[#This Row],[Team]]="Tom",Table1[[#This Row],[Improvement Vs. S&amp;P Return]],"")</f>
        <v/>
      </c>
    </row>
    <row r="435" spans="1:23" ht="60" x14ac:dyDescent="0.2">
      <c r="A435" s="40">
        <v>38702</v>
      </c>
      <c r="B435" s="19" t="s">
        <v>632</v>
      </c>
      <c r="C435" s="19">
        <f>SUBTOTAL(103,Table1[[#This Row],[Recommendation Date]])</f>
        <v>1</v>
      </c>
      <c r="D435" s="19">
        <f>1</f>
        <v>1</v>
      </c>
      <c r="E435" s="20" t="s">
        <v>633</v>
      </c>
      <c r="F435" s="21" t="s">
        <v>252</v>
      </c>
      <c r="G435" s="21" t="s">
        <v>8</v>
      </c>
      <c r="H435" s="35"/>
      <c r="I435" s="21" t="s">
        <v>268</v>
      </c>
      <c r="J435" s="22">
        <v>-0.95599999999999996</v>
      </c>
      <c r="K435" s="49">
        <f>ROUND(LOG10(Table1[[#This Row],[Return (keep sorted by this column!)]]+1),2)</f>
        <v>-1.36</v>
      </c>
      <c r="L435" s="49">
        <f>COUNTIF(Table1[Return (keep sorted by this column!)],"&lt;"&amp;Table1[[#This Row],[Return (keep sorted by this column!)]])</f>
        <v>0</v>
      </c>
      <c r="M435" s="14" t="str">
        <f>IF(Table1[[#This Row],[Team]]="David",Table1[[#This Row],[Return (keep sorted by this column!)]],"")</f>
        <v/>
      </c>
      <c r="N435" s="14">
        <f>IF(Table1[[#This Row],[Team]]="Tom",Table1[[#This Row],[Return (keep sorted by this column!)]],"")</f>
        <v>-0.95599999999999996</v>
      </c>
      <c r="O435" s="22">
        <v>-0.28499999999999998</v>
      </c>
      <c r="P435" s="23" t="str">
        <f>IF(Table1[[#This Row],[Team]]="David",Table1[[#This Row],[S&amp;P Return, same period]],"")</f>
        <v/>
      </c>
      <c r="Q435" s="23">
        <f>IF(Table1[[#This Row],[Team]]="Tom",Table1[[#This Row],[S&amp;P Return, same period]],"")</f>
        <v>-0.28499999999999998</v>
      </c>
      <c r="R435" s="22">
        <v>-0.67100000000000004</v>
      </c>
      <c r="S435" s="14" t="str">
        <f>IF(Table1[[#This Row],[Team]]="David",Table1[[#This Row],[Difference Vs. S&amp;P Return]],"")</f>
        <v/>
      </c>
      <c r="T435" s="14">
        <f>IF(Table1[[#This Row],[Team]]="Tom",Table1[[#This Row],[Difference Vs. S&amp;P Return]],"")</f>
        <v>-0.67100000000000004</v>
      </c>
      <c r="U435" s="14">
        <f>ROUND((1+Table1[[#This Row],[Return (keep sorted by this column!)]])/(1+Table1[[#This Row],[S&amp;P Return, same period]])-1,1)</f>
        <v>-0.9</v>
      </c>
      <c r="V435" s="15" t="str">
        <f>IF(Table1[[#This Row],[Team]]="David",Table1[[#This Row],[Improvement Vs. S&amp;P Return]],"")</f>
        <v/>
      </c>
      <c r="W435" s="15">
        <f>IF(Table1[[#This Row],[Team]]="Tom",Table1[[#This Row],[Improvement Vs. S&amp;P Return]],"")</f>
        <v>-0.9</v>
      </c>
    </row>
    <row r="1118" ht="79" customHeight="1" x14ac:dyDescent="0.2"/>
    <row r="1279" ht="79" customHeight="1" x14ac:dyDescent="0.2"/>
    <row r="1335" ht="79" customHeight="1" x14ac:dyDescent="0.2"/>
  </sheetData>
  <sortState xmlns:xlrd2="http://schemas.microsoft.com/office/spreadsheetml/2017/richdata2" ref="A2:W435">
    <sortCondition descending="1" ref="R2:R435"/>
  </sortState>
  <phoneticPr fontId="5" type="noConversion"/>
  <hyperlinks>
    <hyperlink ref="A305" r:id="rId1" display="file:///premium/stock-advisor/coverage/18/coverage/updates/2020/03/05/buy-luckin-coffee.aspx" xr:uid="{7C6AEEFF-9AD0-054C-AC4D-1F71469B8946}"/>
    <hyperlink ref="E305" r:id="rId2" display="file:///premium/company/341217" xr:uid="{B45D110E-C499-F049-924F-B1D328FCA5A9}"/>
    <hyperlink ref="A301" r:id="rId3" display="file:///premium/stock-advisor/coverage/18/coverage/updates/2020/02/20/buy-dexcom.aspx" xr:uid="{AE5DFFC8-F859-E548-A94B-4518308E221E}"/>
    <hyperlink ref="E301" r:id="rId4" display="file:///premium/company/208982" xr:uid="{178A9131-B134-7C48-9D8D-DFB03AD58BD0}"/>
    <hyperlink ref="H301" r:id="rId5" display="file:///premium/stock-advisor/risk-rating/current/208982" xr:uid="{B4E2CD22-B517-824B-9296-7590ECD9398A}"/>
    <hyperlink ref="A331" r:id="rId6" display="file:///premium/stock-advisor/coverage/18/coverage/2020/02/06/buy-invitae.aspx" xr:uid="{8FFD6A31-57EB-9E4A-B421-B611C68F3DE1}"/>
    <hyperlink ref="E331" r:id="rId7" display="file:///premium/company/334966" xr:uid="{55C8493F-33C3-4040-9766-4AAB96231AC0}"/>
    <hyperlink ref="A328" r:id="rId8" display="file:///premium/stock-advisor/coverage/18/coverage/updates/2020/01/16/buy-nice.aspx" xr:uid="{12DBA358-5E5E-6742-AF59-B5060BE3AAC7}"/>
    <hyperlink ref="E328" r:id="rId9" display="file:///premium/company/207300" xr:uid="{2CBE1CDF-F3FB-4A49-859B-5AE66153DE75}"/>
    <hyperlink ref="H328" r:id="rId10" display="file:///premium/stock-advisor/risk-rating/current/207300" xr:uid="{B55E3A1F-4BD5-0344-83D7-211046BBF8EB}"/>
    <hyperlink ref="A190" r:id="rId11" display="file:///premium/stock-advisor/coverage/18/coverage/updates/2020/01/02/buy-tesla.aspx" xr:uid="{66C98AC3-45AB-6A49-8EF7-3AF1E38E1BD5}"/>
    <hyperlink ref="E190" r:id="rId12" display="file:///premium/company/224257" xr:uid="{66CBD5FF-4044-274B-A6A3-4F51A7FA4D2E}"/>
    <hyperlink ref="A326" r:id="rId13" display="file:///premium/stock-advisor/coverage/18/coverage/updates/2019/12/19/buy-accenture.aspx" xr:uid="{958A9501-377A-3F45-8D1A-C87B95F5D6EA}"/>
    <hyperlink ref="E326" r:id="rId14" display="file:///premium/company/202715" xr:uid="{D1261D3A-B29E-3041-9A3C-E25A204F1DBB}"/>
    <hyperlink ref="H326" r:id="rId15" display="file:///premium/stock-advisor/risk-rating/current/202715" xr:uid="{074DFEAD-CC23-5144-BBB5-ABDC00A03FF2}"/>
    <hyperlink ref="A296" r:id="rId16" display="file:///premium/stock-advisor/coverage/18/coverage/updates/2019/12/05/buy-hubspot.aspx" xr:uid="{FE68FB04-CED8-F344-8AA3-A27787E148CA}"/>
    <hyperlink ref="E296" r:id="rId17" display="file:///premium/company/317364" xr:uid="{291308BE-BF04-E94F-AC37-7C182F2D7FD4}"/>
    <hyperlink ref="A257" r:id="rId18" display="file:///premium/stock-advisor/coverage/18/coverage/updates/2019/11/21/buy-netflix.aspx" xr:uid="{966955CA-977D-AE4C-9A5C-BF4C12536F1C}"/>
    <hyperlink ref="E257" r:id="rId19" display="file:///premium/company/204654" xr:uid="{BE51C7C1-295D-E24A-981D-E8304D417404}"/>
    <hyperlink ref="H257" r:id="rId20" display="file:///premium/stock-advisor/risk-rating/current/204654" xr:uid="{D8DE29D0-36F2-6B4B-A89C-F807B9F61BE4}"/>
    <hyperlink ref="A255" r:id="rId21" display="file:///premium/stock-advisor/coverage/18/coverage/updates/2019/11/07/buy-the-trade-desk.aspx" xr:uid="{E12E0359-9D8C-8346-8EAD-8B42BCD8A914}"/>
    <hyperlink ref="E255" r:id="rId22" display="file:///premium/company/338635" xr:uid="{70B1E6CB-F510-B54C-88D1-E47EC34B89C7}"/>
    <hyperlink ref="A297" r:id="rId23" display="file:///premium/stock-advisor/coverage/18/coverage/updates/2019/10/17/buy-neurocrine-biosciences.aspx" xr:uid="{05F3CF0F-C827-C34D-AC6E-ED33CF743388}"/>
    <hyperlink ref="E297" r:id="rId24" display="file:///premium/company/204614" xr:uid="{B3FFF185-19F0-6A4D-AEC1-F1D036891BB1}"/>
    <hyperlink ref="H297" r:id="rId25" display="file:///premium/stock-advisor/risk-rating/current/204614" xr:uid="{36212AF4-C2E1-BA47-96FA-9AC8AF460D6E}"/>
    <hyperlink ref="A183" r:id="rId26" display="file:///premium/stock-advisor/coverage/18/coverage/updates/2019/10/03/buy-zoom-video-communications.aspx" xr:uid="{6EEB42CC-C5D7-4646-A711-8C5301E5416F}"/>
    <hyperlink ref="E183" r:id="rId27" display="file:///premium/company/341090" xr:uid="{C0A31484-4611-CA49-AC4A-576343CB521E}"/>
    <hyperlink ref="A229" r:id="rId28" display="file:///premium/stock-advisor/coverage/18/coverage/updates/2019/09/19/buy-solaredge-technologies.aspx" xr:uid="{FC4C0508-3295-FB4B-8E4A-DEBCBB450D97}"/>
    <hyperlink ref="E229" r:id="rId29" display="file:///premium/company/335043" xr:uid="{F912D26E-0921-8A4B-89D6-C8C4A0C8F3E3}"/>
    <hyperlink ref="H229" r:id="rId30" display="file:///premium/stock-advisor/risk-rating/current/335043" xr:uid="{95E352E4-89D6-864E-9271-F2D1E017D3CC}"/>
    <hyperlink ref="A319" r:id="rId31" display="file:///premium/stock-advisor/coverage/18/coverage/updates/2019/09/05/buy-slack-technologies.aspx" xr:uid="{E7ABFD12-B762-FF4F-A614-865E84F075C6}"/>
    <hyperlink ref="E319" r:id="rId32" display="file:///premium/company/341327" xr:uid="{3BE0FA73-44F5-D14A-80E1-BF3BBF0377FB}"/>
    <hyperlink ref="A265" r:id="rId33" display="file:///premium/stock-advisor/coverage/18/coverage/updates/2019/08/15/buy-jack-henry-associates.aspx" xr:uid="{2709FBD0-B206-CB4C-8BA7-A17916C0327F}"/>
    <hyperlink ref="E265" r:id="rId34" display="file:///premium/company/204140" xr:uid="{FC2BA4CB-E833-A147-93FC-C8F5F5767033}"/>
    <hyperlink ref="H265" r:id="rId35" display="file:///premium/stock-advisor/risk-rating/current/204140" xr:uid="{5481145C-ABB2-F548-A354-F89EC7A838A6}"/>
    <hyperlink ref="A420" r:id="rId36" display="file:///premium/stock-advisor/coverage/18/coverage/updates/2019/08/01/buy-charlottes-web-holdings.aspx" xr:uid="{AD69B022-9882-6646-9D6C-31408590D685}"/>
    <hyperlink ref="E420" r:id="rId37" display="file:///premium/company/340523" xr:uid="{5F9B9089-70EE-264C-B303-E50E1966E402}"/>
    <hyperlink ref="A274" r:id="rId38" display="file:///premium/stock-advisor/coverage/18/coverage/updates/2019/07/18/buy-zynga.aspx" xr:uid="{3B8F1D53-907D-B743-88B3-BB6FCA135975}"/>
    <hyperlink ref="E274" r:id="rId39" display="file:///premium/company/270875" xr:uid="{7933C97B-D321-4A46-8607-CB11AB017A30}"/>
    <hyperlink ref="H274" r:id="rId40" display="file:///premium/stock-advisor/risk-rating/current/270875" xr:uid="{D81DE699-4053-A749-957D-FC24EEA7BDD5}"/>
    <hyperlink ref="A223" r:id="rId41" display="file:///premium/stock-advisor/coverage/18/coverage/updates/2019/07/03/buy-zoom-video-communications.aspx" xr:uid="{62437AF4-7757-3E44-9620-736A83B1CF9A}"/>
    <hyperlink ref="E223" r:id="rId42" display="file:///premium/company/341090" xr:uid="{FCECE5D4-4301-FF42-89D9-333A794D8A1D}"/>
    <hyperlink ref="A286" r:id="rId43" display="file:///premium/stock-advisor/coverage/18/coverage/updates/2019/06/20/buy-waste-management.aspx" xr:uid="{CED9172B-C5E2-1D48-AA5B-620681DF9655}"/>
    <hyperlink ref="E286" r:id="rId44" display="file:///premium/company/206072" xr:uid="{EE313355-3D4E-BE4B-89A9-F6F8ECE785D1}"/>
    <hyperlink ref="H286" r:id="rId45" display="file:///premium/stock-advisor/risk-rating/current/206072" xr:uid="{E7085FED-615C-4741-9EEB-FB0BC40DAEDF}"/>
    <hyperlink ref="A315" r:id="rId46" display="file:///premium/stock-advisor/coverage/18/coverage/updates/2019/06/06/buy-healthequity.aspx" xr:uid="{0F43F7F3-56B9-4842-91E7-FFE5E75ECFAC}"/>
    <hyperlink ref="E315" r:id="rId47" display="file:///premium/company/289442" xr:uid="{2215A0CB-B382-2447-A5BD-EC3FD8A68D88}"/>
    <hyperlink ref="A273" r:id="rId48" display="file:///premium/stock-advisor/coverage/18/coverage/updates/2019/05/16/buy-synopsys.aspx" xr:uid="{A73A3384-2838-1947-897F-5DFE0C3BACED}"/>
    <hyperlink ref="E273" r:id="rId49" display="file:///premium/company/205499" xr:uid="{0B667C2F-9025-7C4F-BB1E-187D968971F2}"/>
    <hyperlink ref="H273" r:id="rId50" display="file:///premium/stock-advisor/risk-rating/current/205499" xr:uid="{32784B59-7FA6-EF45-86BE-8C6A2C0569AF}"/>
    <hyperlink ref="A314" r:id="rId51" display="file:///premium/stock-advisor/coverage/18/coverage/updates/2019/05/02/buy-wixcom.aspx" xr:uid="{FF17CA44-77F9-3D4F-B7E6-D7461E001137}"/>
    <hyperlink ref="E314" r:id="rId52" display="file:///premium/company/288612" xr:uid="{24237B3A-78D7-7A44-ACAC-581DF921B665}"/>
    <hyperlink ref="A241" r:id="rId53" display="file:///premium/stock-advisor/coverage/18/coverage/updates/2019/04/18/buy-zynga.aspx" xr:uid="{7B806CC5-29E2-1346-A6E0-956675AF9CC5}"/>
    <hyperlink ref="E241" r:id="rId54" display="file:///premium/company/270875" xr:uid="{CA3DC6B5-5AC2-3148-864A-4CA7B9603B96}"/>
    <hyperlink ref="H241" r:id="rId55" display="file:///premium/stock-advisor/risk-rating/current/270875" xr:uid="{A3D09450-6AC4-E84B-8A32-4E3C2F70983D}"/>
    <hyperlink ref="A379" r:id="rId56" display="file:///premium/stock-advisor/coverage/18/coverage/updates/2019/04/04/buy-ollies-bargain-outlet-holdings.aspx" xr:uid="{A81A7B4A-BDC3-7945-91EC-57F57581FDE1}"/>
    <hyperlink ref="E379" r:id="rId57" display="file:///premium/company/335406" xr:uid="{50E736C0-2CF3-A749-8119-4BD7B9FEB576}"/>
    <hyperlink ref="A316" r:id="rId58" display="file:///premium/stock-advisor/coverage/18/coverage/updates/2019/03/21/buy-hill-rom.aspx" xr:uid="{0417668D-5EA1-384E-A1EC-BA92F595DCFD}"/>
    <hyperlink ref="E316" r:id="rId59" display="file:///premium/company/203810" xr:uid="{B46D5C81-CE38-F64F-A082-BF65268ED107}"/>
    <hyperlink ref="H316" r:id="rId60" display="file:///premium/stock-advisor/risk-rating/current/203810" xr:uid="{77CE299C-ACD0-AA47-9812-EE78E55600A7}"/>
    <hyperlink ref="A323" r:id="rId61" display="file:///premium/stock-advisor/coverage/18/coverage/updates/2019/03/07/buy-twilio.aspx" xr:uid="{09541146-54E7-7E40-8BFC-C39FF75D1372}"/>
    <hyperlink ref="E323" r:id="rId62" display="file:///premium/company/337034" xr:uid="{BE56202A-F35B-434E-BE1A-1C906828E6E2}"/>
    <hyperlink ref="A237" r:id="rId63" display="file:///premium/stock-advisor/coverage/18/coverage/updates/2019/02/21/buy-nintendo.aspx" xr:uid="{49264152-1D90-0E43-977B-B1C4752A1414}"/>
    <hyperlink ref="E237" r:id="rId64" display="file:///premium/company/220650" xr:uid="{69CB7D50-7816-C548-8E62-93DDEC6D10A7}"/>
    <hyperlink ref="H237" r:id="rId65" display="file:///premium/stock-advisor/risk-rating/current/220650" xr:uid="{123B3E48-2491-4B4C-B5D5-0624746B01E5}"/>
    <hyperlink ref="A222" r:id="rId66" display="file:///premium/stock-advisor/coverage/18/coverage/updates/2019/02/07/buy-appian.aspx" xr:uid="{E75BC9F4-CC87-9D49-BBDA-A183E32DE30F}"/>
    <hyperlink ref="E222" r:id="rId67" display="file:///premium/company/339157" xr:uid="{8BD2ADC1-B8B6-834E-AE41-2E08FA7A717C}"/>
    <hyperlink ref="A381" r:id="rId68" display="file:///premium/stock-advisor/coverage/18/coverage/updates/2019/01/17/buy-hawaiian-holdings.aspx" xr:uid="{DDFEF824-B3A5-E24A-B268-3AE6EA5075CF}"/>
    <hyperlink ref="E381" r:id="rId69" display="file:///premium/company/203802" xr:uid="{6E744674-CD6D-CF48-9FDD-92D4B0349635}"/>
    <hyperlink ref="H381" r:id="rId70" display="file:///premium/stock-advisor/risk-rating/current/203802" xr:uid="{E38AF422-46CC-AA4C-AF10-6F071192E811}"/>
    <hyperlink ref="A251" r:id="rId71" display="file:///premium/stock-advisor/coverage/18/coverage/updates/2019/01/03/buy-twilio.aspx" xr:uid="{386A3C28-CCC2-B641-A59B-5D0375CA8694}"/>
    <hyperlink ref="E251" r:id="rId72" display="file:///premium/company/337034" xr:uid="{30B64085-5B7B-D044-8BB0-C9B6DC11EAA2}"/>
    <hyperlink ref="A299" r:id="rId73" display="file:///premium/stock-advisor/coverage/18/coverage/updates/2018/12/13/buy-telkom-indonesia.aspx" xr:uid="{B960519E-7980-F444-BD63-BC186F67676D}"/>
    <hyperlink ref="E299" r:id="rId74" display="file:///premium/company/207430" xr:uid="{FF2F3AD3-0D18-1144-A9AF-5F373FA107D8}"/>
    <hyperlink ref="H299" r:id="rId75" display="file:///premium/stock-advisor/risk-rating/current/207430" xr:uid="{A6B83E59-6E37-A14A-A8B5-ABAE4D417E4E}"/>
    <hyperlink ref="A208" r:id="rId76" display="file:///premium/stock-advisor/coverage/18/coverage/updates/2018/11/29/buy-mastercard.aspx" xr:uid="{345EF5F3-7566-0B4C-8361-A089E480AE13}"/>
    <hyperlink ref="E208" r:id="rId77" display="file:///premium/company/209277" xr:uid="{965C4D05-21DE-9541-AA37-A972A7F38332}"/>
    <hyperlink ref="A275" r:id="rId78" display="file:///premium/stock-advisor/coverage/18/coverage/updates/2018/11/15/buy-zebra-technologies.aspx" xr:uid="{71FF9742-E261-704B-B128-1324FE0C45D7}"/>
    <hyperlink ref="E275" r:id="rId79" display="file:///premium/company/206223" xr:uid="{5CBFC423-0534-BA4F-AECE-F00EB1620089}"/>
    <hyperlink ref="H275" r:id="rId80" display="file:///premium/stock-advisor/risk-rating/current/206223" xr:uid="{D369E309-95A3-E147-9394-25B5B031A31E}"/>
    <hyperlink ref="A253" r:id="rId81" display="file:///premium/stock-advisor/coverage/18/coverage/updates/2018/11/01/buy-zscaler.aspx" xr:uid="{C8EDA22D-4865-714C-AF2A-7559739EB074}"/>
    <hyperlink ref="E253" r:id="rId82" display="file:///premium/company/339947" xr:uid="{3C3C3054-BD08-4244-9CBF-79AC1F5E9137}"/>
    <hyperlink ref="A280" r:id="rId83" display="file:///premium/stock-advisor/coverage/18/coverage/updates/2018/10/18/buy-amazon.aspx" xr:uid="{643B1B32-26BF-AF46-B81F-E452F2133B7D}"/>
    <hyperlink ref="E280" r:id="rId84" display="file:///premium/company/202816" xr:uid="{98796584-D52E-5547-AEFC-5425C519756C}"/>
    <hyperlink ref="H280" r:id="rId85" display="file:///premium/stock-advisor/risk-rating/current/202816" xr:uid="{A6715643-DB5C-144C-9F3B-4EBC4E44D1ED}"/>
    <hyperlink ref="A344" r:id="rId86" display="file:///premium/stock-advisor/coverage/18/coverage/updates/2018/10/04/buy-square.aspx" xr:uid="{F6F7C440-3DF0-9742-B26A-CAC5F738D322}"/>
    <hyperlink ref="E344" r:id="rId87" display="file:///premium/company/335683" xr:uid="{8EA7D5FF-FEB7-C443-8A22-6148CF69210E}"/>
    <hyperlink ref="A312" r:id="rId88" display="file:///premium/stock-advisor/coverage/18/coverage/updates/2018/09/20/buy-union-pacific.aspx" xr:uid="{C6CE8A02-79A5-5C46-A47B-19765A27D922}"/>
    <hyperlink ref="E312" r:id="rId89" display="file:///premium/company/205900" xr:uid="{DF5FE55F-4A87-F74F-BDAC-37A487CF5CC3}"/>
    <hyperlink ref="H312" r:id="rId90" display="file:///premium/stock-advisor/risk-rating/current/205900" xr:uid="{30CEB546-33D1-A740-8CC9-55A3365944D7}"/>
    <hyperlink ref="A389" r:id="rId91" display="file:///premium/stock-advisor/coverage/18/coverage/updates/2018/09/06/buy-stitch-fix.aspx" xr:uid="{DF69E1AE-2039-974D-9F61-4CF134F6194E}"/>
    <hyperlink ref="E389" r:id="rId92" display="file:///premium/company/339616" xr:uid="{8AAD20E3-2C86-5B4A-9AFC-5B42BC36178B}"/>
    <hyperlink ref="A343" r:id="rId93" display="file:///premium/stock-advisor/coverage/18/coverage/updates/2018/08/16/buy-alaska-air-group.aspx" xr:uid="{09D4EDC9-354E-4E4C-B3F6-E7695FF3524F}"/>
    <hyperlink ref="E343" r:id="rId94" display="file:///premium/company/202782" xr:uid="{CDF59B2B-1F11-3F4D-B469-54BA95A1C099}"/>
    <hyperlink ref="H343" r:id="rId95" display="file:///premium/stock-advisor/risk-rating/current/202782" xr:uid="{637D1012-3670-A14F-A464-CC9C2DF27B02}"/>
    <hyperlink ref="A347" r:id="rId96" display="file:///premium/stock-advisor/coverage/18/coverage/updates/2018/08/02/buy-arista-networks.aspx" xr:uid="{88C6BD63-BB44-3D46-80DB-2BB007A63B66}"/>
    <hyperlink ref="E347" r:id="rId97" display="file:///premium/company/289181" xr:uid="{8FC61F71-1162-DA45-906E-42202FD32823}"/>
    <hyperlink ref="A402" r:id="rId98" display="file:///premium/stock-advisor/coverage/18/coverage/updates/2018/07/19/buy-blackberry.aspx" xr:uid="{1D8E2EFF-6DD7-774D-91AA-4AC6DE1EE2D5}"/>
    <hyperlink ref="E402" r:id="rId99" display="file:///premium/company/205221" xr:uid="{F032D961-F6CD-5C49-9052-05CE556D6267}"/>
    <hyperlink ref="H402" r:id="rId100" display="file:///premium/stock-advisor/risk-rating/current/205221" xr:uid="{C217161F-A235-3C4A-920A-EA86491D6BD1}"/>
    <hyperlink ref="A333" r:id="rId101" display="file:///premium/stock-advisor/coverage/18/coverage/updates/2018/07/05/buy-stitch-fix.aspx" xr:uid="{3CDD2FCD-4A64-8D41-8F5C-B967CD69D952}"/>
    <hyperlink ref="E333" r:id="rId102" display="file:///premium/company/339616" xr:uid="{7CA2D0C8-1C16-7441-84D9-8BA2A4EE7D36}"/>
    <hyperlink ref="A256" r:id="rId103" display="file:///premium/stock-advisor/coverage/18/coverage/updates/2018/06/21/buy-amgen.aspx" xr:uid="{066F27C0-873C-B04E-9DAF-8D7D92EBE2CC}"/>
    <hyperlink ref="E256" r:id="rId104" display="file:///premium/company/202804" xr:uid="{399C0754-DC20-F942-949B-46B8C4B32FC6}"/>
    <hyperlink ref="H256" r:id="rId105" display="file:///premium/stock-advisor/risk-rating/current/202804" xr:uid="{B0DF8A76-01CB-C244-89DB-63B5FFAC7FAD}"/>
    <hyperlink ref="A227" r:id="rId106" display="file:///premium/stock-advisor/coverage/18/coverage/updates/2018/06/07/buy-wixcom.aspx" xr:uid="{81D9F063-3D16-A448-8796-1DA8ADCF7C3B}"/>
    <hyperlink ref="E227" r:id="rId107" display="file:///premium/company/288612" xr:uid="{F9E6B79E-DEC7-CD42-8C3D-06A7B152F110}"/>
    <hyperlink ref="A374" r:id="rId108" display="file:///premium/stock-advisor/coverage/18/coverage/updates/2018/05/17/buy-new-relic.aspx" xr:uid="{4FBB5FB8-FB98-AE41-8018-E50DF4C48A16}"/>
    <hyperlink ref="E374" r:id="rId109" display="file:///premium/company/317506" xr:uid="{D84E8A40-4365-B341-BF72-420F520B6914}"/>
    <hyperlink ref="H374" r:id="rId110" display="file:///premium/stock-advisor/risk-rating/current/317506" xr:uid="{CDC635DE-8523-7A4C-9DF7-E65E330B292C}"/>
    <hyperlink ref="A76" r:id="rId111" display="file:///premium/stock-advisor/coverage/18/coverage/updates/2018/05/03/buy-shopify.aspx" xr:uid="{12B488C0-CA2A-5A40-B498-4217D8F9FC5E}"/>
    <hyperlink ref="E76" r:id="rId112" display="file:///premium/company/335227" xr:uid="{D5468658-DD5E-1941-AAFA-0BC8B39B3DE5}"/>
    <hyperlink ref="A70" r:id="rId113" display="file:///premium/stock-advisor/coverage/18/coverage/updates/2018/04/20/buy-shopify.aspx" xr:uid="{D7111DE5-10E5-234C-BBE3-771263EB46BF}"/>
    <hyperlink ref="E70" r:id="rId114" display="file:///premium/company/335227" xr:uid="{AAA0314C-14EE-EC4D-8720-50154411D490}"/>
    <hyperlink ref="A85" r:id="rId115" display="file:///premium/stock-advisor/coverage/18/coverage/updates/2018/04/20/buy-okta.aspx" xr:uid="{E2AB9491-49F1-7045-AE0D-0162E23614B9}"/>
    <hyperlink ref="E85" r:id="rId116" display="file:///premium/company/339040" xr:uid="{17C55055-86FD-674A-8C38-1AEC1BBFC3F4}"/>
    <hyperlink ref="H85" r:id="rId117" display="file:///premium/stock-advisor/risk-rating/current/339040" xr:uid="{AC61CDB8-99DB-1D4F-A41B-02B0455227B7}"/>
    <hyperlink ref="A290" r:id="rId118" display="file:///premium/stock-advisor/coverage/18/coverage/updates/2018/03/15/buy-markel.aspx" xr:uid="{3321BA35-3499-A046-9B5F-1173C99BDED6}"/>
    <hyperlink ref="E290" r:id="rId119" display="file:///premium/company/204501" xr:uid="{4E0C5F14-A052-DB4D-BFCC-8A6B00F02906}"/>
    <hyperlink ref="A185" r:id="rId120" display="file:///premium/stock-advisor/coverage/18/coverage/updates/2018/03/15/buy-cirrus-logic.aspx" xr:uid="{04C48475-7AF8-6A46-B6B9-26CB1A410BB9}"/>
    <hyperlink ref="E185" r:id="rId121" display="file:///premium/company/203213" xr:uid="{8BCF4A32-E77A-D94C-9EB5-F49FE7BC24BB}"/>
    <hyperlink ref="H185" r:id="rId122" display="file:///premium/stock-advisor/risk-rating/current/203213" xr:uid="{ACF0658F-BABE-5E48-AD14-A73F28209D8C}"/>
    <hyperlink ref="A233" r:id="rId123" display="file:///premium/stock-advisor/coverage/18/coverage/updates/2018/02/16/why-you-should-buy-varonis-systems.aspx" xr:uid="{A2998877-D8F2-8847-A397-D3D2CF12113A}"/>
    <hyperlink ref="E233" r:id="rId124" display="file:///premium/company/288853" xr:uid="{01D3B570-37BA-C345-BDD4-BF842CCB08C3}"/>
    <hyperlink ref="A135" r:id="rId125" display="file:///premium/stock-advisor/coverage/18/coverage/updates/2018/02/16/why-you-should-buy-fair-isaac-corp.aspx" xr:uid="{218A4FD3-9877-AA47-BFBA-AFBC8B29F543}"/>
    <hyperlink ref="E135" r:id="rId126" display="file:///premium/company/222724" xr:uid="{5B160F73-C67B-084D-8975-5A26854D41D9}"/>
    <hyperlink ref="H135" r:id="rId127" display="file:///premium/stock-advisor/risk-rating/current/222724" xr:uid="{05F5E02D-AA45-9047-B207-F74C4E88DD77}"/>
    <hyperlink ref="A89" r:id="rId128" display="file:///premium/stock-advisor/coverage/18/coverage/updates/2018/01/19/why-you-should-buy-paycom-software.aspx" xr:uid="{CA48E66D-E337-824B-8746-0113F3CB76BD}"/>
    <hyperlink ref="E89" r:id="rId129" display="file:///premium/company/289026" xr:uid="{57F696E9-7C60-B94E-96BA-109C598D3E80}"/>
    <hyperlink ref="A59" r:id="rId130" display="file:///premium/stock-advisor/coverage/18/coverage/updates/why-you-should-buy-okta.aspx" xr:uid="{3FC6FAEE-AEDF-8B46-AAFF-6AEEB3783A49}"/>
    <hyperlink ref="E59" r:id="rId131" display="file:///premium/company/339040" xr:uid="{288B82B1-777D-8243-91F4-C194EFAFC341}"/>
    <hyperlink ref="H59" r:id="rId132" display="file:///premium/stock-advisor/risk-rating/current/339040" xr:uid="{D152B435-E8E1-7F4E-A953-3B6CBF7DE08F}"/>
    <hyperlink ref="A123" r:id="rId133" display="file:///premium/stock-advisor/coverage/18/coverage/updates/toms-recommendation-dec17.aspx" xr:uid="{D7E12635-892E-1244-AC26-20846C8443C2}"/>
    <hyperlink ref="E123" r:id="rId134" display="file:///premium/company/339157" xr:uid="{AE85194D-7CB3-3540-82D5-DC79D75A2699}"/>
    <hyperlink ref="A302" r:id="rId135" display="file:///premium/stock-advisor/coverage/18/coverage/updates/davids-recommendation-dec17.aspx" xr:uid="{9F9387DE-9832-AB42-A31E-E62DAAFF3AEB}"/>
    <hyperlink ref="E302" r:id="rId136" display="file:///premium/company/204587" xr:uid="{E13FE04B-FF00-9D42-B9F1-BB7BF4561C89}"/>
    <hyperlink ref="H302" r:id="rId137" display="file:///premium/stock-advisor/risk-rating/current/204587" xr:uid="{A005E115-0094-7A42-890D-26CBB7121323}"/>
    <hyperlink ref="A339" r:id="rId138" display="file:///premium/stock-advisor/coverage/18/coverage/updates/why-you-should-buy-talend.aspx" xr:uid="{CB3B7591-C5C3-C54A-91CC-B0E881D46CD0}"/>
    <hyperlink ref="E339" r:id="rId139" display="file:///premium/company/337109" xr:uid="{42E70184-91BC-C840-BF33-84064DE7552F}"/>
    <hyperlink ref="A163" r:id="rId140" display="file:///premium/stock-advisor/coverage/18/coverage/updates/why-you-should-buy-cme-group.aspx" xr:uid="{10D8D5D7-8C32-1E40-AB89-E90A7F9A1C49}"/>
    <hyperlink ref="E163" r:id="rId141" display="file:///premium/company/203141" xr:uid="{FC5260C1-8B8C-4C43-A42F-9D5551654A0E}"/>
    <hyperlink ref="H163" r:id="rId142" display="file:///premium/stock-advisor/risk-rating/current/203141" xr:uid="{8E75BB11-01B2-FA4B-954D-3B0056E08950}"/>
    <hyperlink ref="A68" r:id="rId143" display="file:///premium/stock-advisor/coverage/18/coverage/updates/2017/10/20/why-you-should-buy-the-trade-desk.aspx" xr:uid="{C22DC3FC-43B7-C246-84B9-58CEECC300A5}"/>
    <hyperlink ref="E68" r:id="rId144" display="file:///premium/company/338635" xr:uid="{5D717E22-6863-FA40-995E-2C51A54A0594}"/>
    <hyperlink ref="A182" r:id="rId145" display="file:///premium/stock-advisor/coverage/18/coverage/updates/2017/10/20/why-you-should-buy-hca-healthcare.aspx" xr:uid="{97AE51EF-2134-0944-A7CD-56198F9DCAFF}"/>
    <hyperlink ref="E182" r:id="rId146" display="file:///premium/company/225073" xr:uid="{9D0B436B-72BF-024A-953D-41CDFB0CF2A7}"/>
    <hyperlink ref="H182" r:id="rId147" display="file:///premium/stock-advisor/risk-rating/current/225073" xr:uid="{750C255B-0E10-724A-9731-0D7D8FE4A74B}"/>
    <hyperlink ref="A271" r:id="rId148" display="file:///premium/stock-advisor/coverage/18/coverage/updates/2017/09/15/why-you-should-buy-arista-networks.aspx" xr:uid="{4CA04B7D-D2B3-4A40-B168-19A6EA3C650B}"/>
    <hyperlink ref="E271" r:id="rId149" display="file:///premium/company/289181" xr:uid="{29F801AE-2DD1-9543-8EF0-F8AA1C252413}"/>
    <hyperlink ref="A335" r:id="rId150" display="file:///premium/stock-advisor/coverage/18/coverage/updates/2017/09/15/why-you-should-buy-3m.aspx" xr:uid="{39E09E8D-E1D9-4B45-B3FD-5EB75DDF8CCC}"/>
    <hyperlink ref="E335" r:id="rId151" display="file:///premium/company/204532" xr:uid="{6D3E397A-2CB4-9044-A8E5-6E03C0E2D34E}"/>
    <hyperlink ref="H335" r:id="rId152" display="file:///premium/stock-advisor/risk-rating/current/204532" xr:uid="{7D668B43-9F86-6248-B7CB-5B9B8F295820}"/>
    <hyperlink ref="A288" r:id="rId153" display="file:///premium/stock-advisor/coverage/18/coverage/updates/2017/08/18/why-you-should-buy-grand-canyon-education.aspx" xr:uid="{48C62681-2FD1-984F-830D-D1E4E82A3F98}"/>
    <hyperlink ref="E288" r:id="rId154" display="file:///premium/company/221899" xr:uid="{54098DEA-2DD5-BC47-9FC2-A857D3BE842F}"/>
    <hyperlink ref="A283" r:id="rId155" display="file:///premium/stock-advisor/coverage/18/coverage/updates/2017/08/18/why-you-should-buy-jdcom.aspx" xr:uid="{1C79E02B-5C0B-664C-B29D-6FF83839F0B1}"/>
    <hyperlink ref="E283" r:id="rId156" display="file:///premium/company/289112" xr:uid="{21504492-895C-9540-8722-74E195BF744E}"/>
    <hyperlink ref="H283" r:id="rId157" display="file:///premium/stock-advisor/risk-rating/current/289112" xr:uid="{1A55034C-F11B-4D45-B91C-327762F936C3}"/>
    <hyperlink ref="A394" r:id="rId158" display="file:///premium/stock-advisor/coverage/18/coverage/updates/2017/07/21/buy-irobot.aspx" xr:uid="{B016F056-EEA8-C840-9A48-AED951B0D0E8}"/>
    <hyperlink ref="E394" r:id="rId159" display="file:///premium/company/206597" xr:uid="{FF672D47-4118-084E-BA2B-4518DE4916A3}"/>
    <hyperlink ref="A307" r:id="rId160" display="file:///premium/stock-advisor/coverage/18/coverage/updates/2017/07/21/buy-cognex-2.aspx" xr:uid="{099F30E7-C86F-CB40-9B71-34DD855EA406}"/>
    <hyperlink ref="E307" r:id="rId161" display="file:///premium/company/203093" xr:uid="{B7956E5D-17FE-C144-8358-EE43BA9ECF18}"/>
    <hyperlink ref="H307" r:id="rId162" display="file:///premium/stock-advisor/risk-rating/current/203093" xr:uid="{B6DAC541-B7BC-0E4B-94EB-FE5DE92B61B5}"/>
    <hyperlink ref="A66" r:id="rId163" display="file:///premium/stock-advisor/coverage/18/coverage/updates/2017/06/16/buy-paycom-software.aspx" xr:uid="{D724D3A9-39E2-ED45-A6F0-354564BF03F6}"/>
    <hyperlink ref="E66" r:id="rId164" display="file:///premium/company/289026" xr:uid="{457CD71B-CA45-AF42-91C8-92D35EF8AC57}"/>
    <hyperlink ref="A355" r:id="rId165" display="file:///premium/stock-advisor/coverage/18/coverage/updates/2017/06/16/buy-textron.aspx" xr:uid="{5053ADDC-437C-9644-87EC-0E3C22938DDA}"/>
    <hyperlink ref="E355" r:id="rId166" display="file:///premium/company/205835" xr:uid="{6F4C00B5-5317-5C43-B88A-5343B16DA547}"/>
    <hyperlink ref="H355" r:id="rId167" display="file:///premium/stock-advisor/risk-rating/current/205835" xr:uid="{F9A7E308-A2BD-FC43-9E42-B87A1D7D838D}"/>
    <hyperlink ref="A205" r:id="rId168" display="file:///premium/stock-advisor/coverage/18/coverage/updates/2017/05/19/buy-chipotle-mexican-grill.aspx" xr:uid="{86C2CF3C-04D7-EA4B-87C5-A7FAC3EA3B24}"/>
    <hyperlink ref="E205" r:id="rId169" display="file:///premium/company/207668" xr:uid="{5CFA8BE5-E675-9949-835B-063622515A6E}"/>
    <hyperlink ref="A116" r:id="rId170" display="file:///premium/stock-advisor/coverage/18/coverage/updates/2017/05/19/buy-old-dominion-freight-line.aspx" xr:uid="{4743FAE8-6284-204A-86FA-9E14FE9DBFC5}"/>
    <hyperlink ref="E116" r:id="rId171" display="file:///premium/company/204794" xr:uid="{8F3DB11B-57C4-CC4F-BDD7-8ACB7EBEACD6}"/>
    <hyperlink ref="H116" r:id="rId172" display="file:///premium/stock-advisor/risk-rating/current/204794" xr:uid="{F4B289EA-FCE1-6D4E-BB29-578E7FFE1862}"/>
    <hyperlink ref="A244" r:id="rId173" display="file:///premium/stock-advisor/coverage/18/coverage/updates/2017/04/21/buy-marriott-international.aspx" xr:uid="{99EDC04D-6455-8F40-9915-DF615DA80BA2}"/>
    <hyperlink ref="E244" r:id="rId174" display="file:///premium/company/202674" xr:uid="{5EA96891-1591-F446-9C81-54835CAD6184}"/>
    <hyperlink ref="A113" r:id="rId175" display="file:///premium/stock-advisor/coverage/18/coverage/updates/2017/04/21/buy-fortinet.aspx" xr:uid="{C82D569F-50C8-3F43-B2EE-467F79447F20}"/>
    <hyperlink ref="E113" r:id="rId176" display="file:///premium/company/223521" xr:uid="{05D0B24F-B4EE-B048-9F2E-19A9260D598C}"/>
    <hyperlink ref="H113" r:id="rId177" display="file:///premium/stock-advisor/risk-rating/current/223521" xr:uid="{253608E3-7797-4342-BC1F-22BBD1795B5C}"/>
    <hyperlink ref="A361" r:id="rId178" display="file:///premium/stock-advisor/coverage/18/coverage/updates/2017/03/17/buy-western-alliance-bancorp.aspx" xr:uid="{575B82FE-B375-F340-9FDB-6F729513C3A4}"/>
    <hyperlink ref="E361" r:id="rId179" display="file:///premium/company/208450" xr:uid="{F58BA72B-510C-0F4D-A0C1-A6F996D3A710}"/>
    <hyperlink ref="A212" r:id="rId180" display="file:///premium/stock-advisor/coverage/18/coverage/updates/2017/03/17/buy-becton-dickinson.aspx" xr:uid="{3B94DF7B-D214-394C-9E63-5B317A50C410}"/>
    <hyperlink ref="E212" r:id="rId181" display="file:///premium/company/202933" xr:uid="{681F9C96-BD4C-B34C-8260-B38F5FB35773}"/>
    <hyperlink ref="H212" r:id="rId182" display="file:///premium/stock-advisor/risk-rating/current/202933" xr:uid="{95380A6E-377D-614E-AA8F-C47E6D4E5DF6}"/>
    <hyperlink ref="A357" r:id="rId183" display="file:///premium/stock-advisor/coverage/18/coverage/updates/2017/02/17/buy-borgwarner.aspx" xr:uid="{E64F37F3-DD85-2D49-94BF-D7A7C986C7E4}"/>
    <hyperlink ref="E357" r:id="rId184" display="file:///premium/company/203015" xr:uid="{9A11F166-6D14-F045-88B3-DBB84E752E63}"/>
    <hyperlink ref="A243" r:id="rId185" display="file:///premium/stock-advisor/coverage/18/coverage/updates/2017/02/17/buy-tractor-supply-co.aspx" xr:uid="{BAC694BB-86E6-1B4C-AC31-34AF227100D6}"/>
    <hyperlink ref="E243" r:id="rId186" display="file:///premium/company/205811" xr:uid="{469608CF-C160-9148-B3A6-9E1E647B5EDC}"/>
    <hyperlink ref="H243" r:id="rId187" display="file:///premium/stock-advisor/risk-rating/current/205811" xr:uid="{5CBFEC76-5461-A64B-90C9-24D83AB0D541}"/>
    <hyperlink ref="A147" r:id="rId188" display="file:///premium/stock-advisor/coverage/18/coverage/updates/2017/01/20/toms-pick-rollins.aspx" xr:uid="{B1145B0B-3F6B-9644-9CDD-EF99BEB6F1E3}"/>
    <hyperlink ref="E147" r:id="rId189" display="file:///premium/company/205239" xr:uid="{321C40B7-E28C-4E44-81E3-E2F8FA2CD5BA}"/>
    <hyperlink ref="A101" r:id="rId190" display="file:///premium/stock-advisor/coverage/18/coverage/updates/2017/01/20/davids-pick-nvidia.aspx" xr:uid="{BE1E2E8E-658F-1B4A-8276-9797A4D326B4}"/>
    <hyperlink ref="E101" r:id="rId191" display="file:///premium/company/204770" xr:uid="{E5CEC565-8B6A-704D-935D-CF57EE9D06A1}"/>
    <hyperlink ref="H101" r:id="rId192" display="file:///premium/stock-advisor/risk-rating/current/204770" xr:uid="{93DDC1DD-1703-084A-904C-66BB851CBA94}"/>
    <hyperlink ref="A94" r:id="rId193" display="file:///premium/stock-advisor/coverage/18/coverage/updates/2016/12/16/toms-re-recommendation-mastercard.aspx" xr:uid="{726AF2DD-F2AF-CF4A-AAC6-5A87E91A8209}"/>
    <hyperlink ref="E94" r:id="rId194" display="file:///premium/company/209277" xr:uid="{97C56911-3907-584E-8277-E5A0BFBB8FA2}"/>
    <hyperlink ref="A91" r:id="rId195" display="file:///premium/stock-advisor/coverage/18/coverage/updates/2016/12/16/davids-recommendation-masimo.aspx" xr:uid="{35035AB3-61C0-A841-B6BD-7168E99E3560}"/>
    <hyperlink ref="E91" r:id="rId196" display="file:///premium/company/216501" xr:uid="{C29C9DCF-0EB4-494A-8C36-2348D56A68F4}"/>
    <hyperlink ref="H91" r:id="rId197" display="file:///premium/stock-advisor/risk-rating/current/216501" xr:uid="{5D5DFF14-1D57-984D-A54A-8BE3F7442E58}"/>
    <hyperlink ref="A231" r:id="rId198" display="file:///premium/stock-advisor/coverage/18/coverage/updates/2016/11/18/toms-re-recommendation-markel.aspx" xr:uid="{DBDEF82E-E9A6-2C4D-887A-D0A90E2276B1}"/>
    <hyperlink ref="E231" r:id="rId199" display="file:///premium/company/204501" xr:uid="{624A3849-6E0E-9946-A2A7-D5864FC5F3F6}"/>
    <hyperlink ref="A358" r:id="rId200" display="file:///premium/stock-advisor/coverage/18/coverage/updates/2016/11/18/davids-recommendation-jetblue-airways.aspx" xr:uid="{E1398DBC-A1C8-8841-BDAA-262B6175EFB8}"/>
    <hyperlink ref="E358" r:id="rId201" display="file:///premium/company/204130" xr:uid="{8A609A5B-086D-3748-B798-3EA4B85CE18A}"/>
    <hyperlink ref="H358" r:id="rId202" display="file:///premium/stock-advisor/risk-rating/current/204130" xr:uid="{4D817479-1AAE-9043-BEBF-C7C3F995B8CF}"/>
    <hyperlink ref="A155" r:id="rId203" display="file:///premium/stock-advisor/coverage/18/coverage/updates/2016/10/21/toms-recommendation-nike.aspx" xr:uid="{A7FE6E88-6AA7-2248-82B3-6FC2CC63CADC}"/>
    <hyperlink ref="E155" r:id="rId204" display="file:///premium/company/204702" xr:uid="{2D35DF25-4889-8C4F-B561-DC193120D669}"/>
    <hyperlink ref="A270" r:id="rId205" display="file:///premium/stock-advisor/coverage/18/coverage/updates/2016/10/21/davids-recommendation-grupo-aeroportuario-del-paci.aspx" xr:uid="{A2B2AA78-9917-0B41-BA6C-E7FCBD92C623}"/>
    <hyperlink ref="E270" r:id="rId206" display="file:///premium/company/207859" xr:uid="{CDB6D849-1E35-3C45-898F-981C261C1D70}"/>
    <hyperlink ref="H270" r:id="rId207" display="file:///premium/stock-advisor/risk-rating/current/207859" xr:uid="{67D609CF-3339-4348-8FBF-DF5FEE5771D6}"/>
    <hyperlink ref="A191" r:id="rId208" display="file:///premium/stock-advisor/coverage/18/coverage/updates/2016/09/16/toms-recommendation-starbucks.aspx" xr:uid="{C4D72F2D-0739-4545-97BD-AAED31EEB43D}"/>
    <hyperlink ref="E191" r:id="rId209" display="file:///premium/company/205374" xr:uid="{91FBC9E9-8930-F14F-A645-1CB7EACA0B92}"/>
    <hyperlink ref="A406" r:id="rId210" display="file:///premium/stock-advisor/coverage/18/coverage/updates/2016/09/16/davids-recommendation-alkermes.aspx" xr:uid="{4A4C6997-77C8-4543-A7B8-6CECF6BB9AFD}"/>
    <hyperlink ref="E406" r:id="rId211" display="file:///premium/company/202783" xr:uid="{C6016AA6-63D7-5148-9071-25705470C6CE}"/>
    <hyperlink ref="H406" r:id="rId212" display="file:///premium/stock-advisor/risk-rating/current/202783" xr:uid="{061792FA-4C8E-7941-889D-895EBBD886C4}"/>
    <hyperlink ref="A199" r:id="rId213" display="file:///premium/stock-advisor/coverage/18/coverage/updates/2016/08/19/toms-re-recommendation-facebook.aspx" xr:uid="{DF7B96B1-7334-A146-ABD2-AC2A3D3DB34B}"/>
    <hyperlink ref="E199" r:id="rId214" display="file:///premium/company/273426" xr:uid="{0C50CD1A-3E34-6C42-845C-3244674492A0}"/>
    <hyperlink ref="A55" r:id="rId215" display="file:///premium/stock-advisor/coverage/18/coverage/updates/2016/08/19/davids-recommendation-match-group-2.aspx" xr:uid="{9DFE1D31-2499-E94F-9B31-B13E1D6C2DF2}"/>
    <hyperlink ref="E55" r:id="rId216" display="file:///premium/company/282545" xr:uid="{D3AA142E-3D71-724F-9BDA-2F2E0E64FE65}"/>
    <hyperlink ref="H55" r:id="rId217" display="file:///premium/stock-advisor/risk-rating/current/282545" xr:uid="{7491B523-162A-6544-9AE3-BF641A1D35FF}"/>
    <hyperlink ref="A20" r:id="rId218" display="file:///premium/stock-advisor/coverage/18/coverage/updates/2016/07/15/toms-recommendation-shopify.aspx" xr:uid="{DF4157F3-1911-934B-A4AA-43330228E480}"/>
    <hyperlink ref="E20" r:id="rId219" display="file:///premium/company/335227" xr:uid="{5228D3E0-1496-6142-B4E5-998C58EA99B8}"/>
    <hyperlink ref="A143" r:id="rId220" display="file:///premium/stock-advisor/coverage/18/coverage/updates/2016/07/15/davids-recommendation-t-mobile.aspx" xr:uid="{ED7A6D7A-FE63-3340-9349-2924B46D6C43}"/>
    <hyperlink ref="E143" r:id="rId221" display="file:///premium/company/204949" xr:uid="{2D71C125-B124-DB41-8DF0-7A6572C4BFFD}"/>
    <hyperlink ref="H143" r:id="rId222" display="file:///premium/stock-advisor/risk-rating/current/204949" xr:uid="{4B059077-BE6E-2E48-9090-AE9F83C621C1}"/>
    <hyperlink ref="A178" r:id="rId223" display="file:///premium/stock-advisor/coverage/18/coverage/updates/2016/06/17/toms-recommendation-svb-financial-group.aspx" xr:uid="{658AAC7E-B958-AB4C-9274-812821228D20}"/>
    <hyperlink ref="E178" r:id="rId224" display="file:///premium/company/205427" xr:uid="{00F1CB04-C96C-3E41-B14C-2B11F3678408}"/>
    <hyperlink ref="A162" r:id="rId225" display="file:///premium/stock-advisor/coverage/18/coverage/updates/2016/06/17/davids-recommendation-ecolab.aspx" xr:uid="{DCAF7BFD-1011-A344-9776-60C5CD789BD9}"/>
    <hyperlink ref="E162" r:id="rId226" display="file:///premium/company/203362" xr:uid="{CF5FD268-AF3C-4F43-86FF-2566633CF716}"/>
    <hyperlink ref="H162" r:id="rId227" display="file:///premium/stock-advisor/risk-rating/current/203362" xr:uid="{6936A31F-DECB-424F-9112-F41F2260C92B}"/>
    <hyperlink ref="A203" r:id="rId228" display="file:///premium/stock-advisor/coverage/18/coverage/updates/2016/05/20/toms-re-recommendation-berkshire-hathaway.aspx" xr:uid="{3861B932-BF1D-BF4E-9980-A6BE50958CB3}"/>
    <hyperlink ref="E203" r:id="rId229" display="file:///premium/company/206602" xr:uid="{85F5DC3D-0CC1-2A4D-BB19-9BAAA710E807}"/>
    <hyperlink ref="A192" r:id="rId230" display="file:///premium/stock-advisor/coverage/18/coverage/updates/2016/05/20/davids-recommendation-stampscom.aspx" xr:uid="{BB33FFB6-591F-9D4A-911F-752252E141C2}"/>
    <hyperlink ref="E192" r:id="rId231" display="file:///premium/company/205591" xr:uid="{B827578A-5FA0-2243-BBA6-C3843455A4BE}"/>
    <hyperlink ref="H192" r:id="rId232" display="file:///premium/stock-advisor/risk-rating/current/205591" xr:uid="{A9C5670D-3776-FF4B-8DBE-53DAB573F18E}"/>
    <hyperlink ref="A40" r:id="rId233" display="file:///premium/stock-advisor/coverage/18/coverage/updates/2016/04/15/davids-recommendation-match-group.aspx" xr:uid="{ABB3D63B-E56E-0146-AF74-B39F9A8A4A38}"/>
    <hyperlink ref="E40" r:id="rId234" display="file:///premium/company/282545" xr:uid="{3653AEE6-F3D0-374A-BE88-5EA9214A0DA5}"/>
    <hyperlink ref="H40" r:id="rId235" display="file:///premium/stock-advisor/risk-rating/current/282545" xr:uid="{F11E3746-7B00-DA44-A4E9-D8F49CE69B00}"/>
    <hyperlink ref="E350" r:id="rId236" display="file:///premium/company/270334" xr:uid="{49BAEB75-00DA-B948-BE58-976360E68EAA}"/>
    <hyperlink ref="A129" r:id="rId237" display="file:///premium/stock-advisor/coverage/18/coverage/updates/2016/03/18/toms-recommendation-workday.aspx" xr:uid="{6005E156-7792-4B48-8213-392778440869}"/>
    <hyperlink ref="E129" r:id="rId238" display="file:///premium/company/273717" xr:uid="{FB7E1C2F-457D-194C-8167-5735B0D58E85}"/>
    <hyperlink ref="A152" r:id="rId239" display="file:///premium/stock-advisor/coverage/18/coverage/updates/2016/03/18/davids-recommendation-illumina.aspx" xr:uid="{851F7C46-4B8E-5847-B0CE-6ACB977C34D5}"/>
    <hyperlink ref="E152" r:id="rId240" display="file:///premium/company/204015" xr:uid="{CA38E58F-6D07-DD45-A321-08785B2DE0B3}"/>
    <hyperlink ref="H152" r:id="rId241" display="file:///premium/stock-advisor/risk-rating/current/204015" xr:uid="{C163B349-5DD0-C045-AD85-644FA23FF6AA}"/>
    <hyperlink ref="A150" r:id="rId242" display="file:///premium/stock-advisor/coverage/18/coverage/updates/2016/02/19/toms-re-recommendation-alphabet.aspx" xr:uid="{63A2C542-903B-A541-AA9F-79826CE5BAE4}"/>
    <hyperlink ref="E150" r:id="rId243" display="file:///premium/company/288965" xr:uid="{048AD6CA-1A3C-6F47-8375-99A84B9A09E5}"/>
    <hyperlink ref="A334" r:id="rId244" display="file:///premium/stock-advisor/coverage/18/coverage/updates/2016/02/19/davids-recommendation-natus-medical.aspx" xr:uid="{D1CB0664-D609-7A45-87D7-6BD3821EB52A}"/>
    <hyperlink ref="E334" r:id="rId245" display="file:///premium/company/202907" xr:uid="{92DAEFAD-424E-A949-8206-528BFB8578B6}"/>
    <hyperlink ref="H334" r:id="rId246" display="file:///premium/stock-advisor/risk-rating/current/202907" xr:uid="{3AC3B096-ADFA-7343-952F-BB726628DA3F}"/>
    <hyperlink ref="A409" r:id="rId247" display="file:///premium/stock-advisor/coverage/18/coverage/updates/2016/01/22/toms-recommendation-criteo.aspx" xr:uid="{95FE33E8-C427-CE40-8EC0-EF4E0F6C853D}"/>
    <hyperlink ref="E409" r:id="rId248" display="file:///premium/company/288605" xr:uid="{5EBBD412-9F6C-D04D-9170-7C923C8F54E9}"/>
    <hyperlink ref="A184" r:id="rId249" display="file:///premium/stock-advisor/coverage/18/coverage/updates/2016/01/22/davids-recommendation-texas-roadhouse.aspx" xr:uid="{6E39A499-C197-FA4F-8519-0A7209354F51}"/>
    <hyperlink ref="E184" r:id="rId250" display="file:///premium/company/206540" xr:uid="{B5DC3A67-263E-7141-87B4-DC180E6B9A12}"/>
    <hyperlink ref="H184" r:id="rId251" display="file:///premium/stock-advisor/risk-rating/current/206540" xr:uid="{2706EDE8-627A-BC45-92CE-C219B3119BE2}"/>
    <hyperlink ref="A230" r:id="rId252" display="file:///premium/stock-advisor/coverage/18/coverage/updates/2015/12/18/toms-recommendation-kinder-morgan.aspx" xr:uid="{300B81D7-0416-BF41-B180-D0BF8FBE1D97}"/>
    <hyperlink ref="E230" r:id="rId253" display="file:///premium/company/224977" xr:uid="{C66C7DE7-0D0D-7C49-8B43-2A3A5FA09684}"/>
    <hyperlink ref="A90" r:id="rId254" display="file:///premium/stock-advisor/coverage/18/coverage/updates/2015/12/18/davids-recommendation-new-york-times-company.aspx" xr:uid="{B5F17BCD-8B15-BE46-BCC1-0DEEC71B05CA}"/>
    <hyperlink ref="E90" r:id="rId255" display="file:///premium/company/204787" xr:uid="{4814C3F9-7B7F-0A47-91B5-E4AC6E308A97}"/>
    <hyperlink ref="H90" r:id="rId256" display="file:///premium/stock-advisor/risk-rating/current/204787" xr:uid="{315B77E0-4364-1049-8055-74234BBC9CBC}"/>
    <hyperlink ref="A403" r:id="rId257" display="file:///premium/stock-advisor/coverage/18/coverage/updates/2015/11/20/toms-recommendation-affiliated-managers-group.aspx" xr:uid="{D2224A69-3ECF-6F4C-9329-9EDC935373BB}"/>
    <hyperlink ref="E403" r:id="rId258" display="file:///premium/company/202803" xr:uid="{321279E7-1D4C-9346-9B14-CCA2C01A1401}"/>
    <hyperlink ref="A396" r:id="rId259" display="file:///premium/stock-advisor/coverage/18/coverage/updates/2015/11/20/davids-recommendation-anheuser-busch-inbev.aspx" xr:uid="{5465CE90-AEA8-8A4A-988A-85B147575625}"/>
    <hyperlink ref="E396" r:id="rId260" display="file:///premium/company/203011" xr:uid="{0D8CB1E9-D62C-214D-92DE-A982EEF31326}"/>
    <hyperlink ref="H396" r:id="rId261" display="file:///premium/stock-advisor/risk-rating/current/203011" xr:uid="{D3344A6E-84B9-F342-B1A6-D965DA69FAE2}"/>
    <hyperlink ref="A137" r:id="rId262" display="file:///premium/stock-advisor/coverage/18/coverage/updates/2015/10/16/toms-recommendation-roper-technologies.aspx" xr:uid="{232BFF31-4EC6-B140-82F8-3E9DC5923EB2}"/>
    <hyperlink ref="E137" r:id="rId263" display="file:///premium/company/205241" xr:uid="{A26E66AE-EFB6-3646-8E46-D2153F43F64E}"/>
    <hyperlink ref="A370" r:id="rId264" display="file:///premium/stock-advisor/coverage/18/coverage/updates/2015/10/16/davids-recommendation-dsw.aspx" xr:uid="{5B97E53B-27B6-F143-ACE6-10D07A02820D}"/>
    <hyperlink ref="E370" r:id="rId265" display="file:///premium/company/206447" xr:uid="{34F5FEE5-E735-C748-84F8-8EA343691201}"/>
    <hyperlink ref="H370" r:id="rId266" display="file:///premium/stock-advisor/risk-rating/current/206447" xr:uid="{B8FD6D5B-4BC0-4948-9C61-302C34F78E42}"/>
    <hyperlink ref="A165" r:id="rId267" display="file:///premium/stock-advisor/coverage/18/coverage/updates/2015/09/18/toms-recommendation-marriott-international.aspx" xr:uid="{6D07E57D-82A0-A042-9449-7A5E05D4EBFC}"/>
    <hyperlink ref="E165" r:id="rId268" display="file:///premium/company/202674" xr:uid="{F3F15194-FD28-C04F-B3EC-25CBDB50CDB8}"/>
    <hyperlink ref="A249" r:id="rId269" display="file:///premium/stock-advisor/coverage/18/coverage/updates/2015/09/18/davids-recommendation-novo-nordisk.aspx" xr:uid="{57BA3059-2A74-1D40-A3A3-26827700AA8A}"/>
    <hyperlink ref="E249" r:id="rId270" display="file:///premium/company/204773" xr:uid="{830F4CC1-F9FA-C040-B674-A993BB8F0B7E}"/>
    <hyperlink ref="H249" r:id="rId271" display="file:///premium/stock-advisor/risk-rating/current/204773" xr:uid="{110F18A5-A755-5842-9DEF-A1421B969C71}"/>
    <hyperlink ref="A412" r:id="rId272" display="file:///premium/stock-advisor/coverage/18/coverage/updates/2015/08/21/davids-recommendation-mylan.aspx" xr:uid="{62BCE467-3C82-4742-AFAB-3501DFC3CE0E}"/>
    <hyperlink ref="E412" r:id="rId273" display="file:///premium/company/204606" xr:uid="{1129DBAB-D848-E74F-ABCD-62525638260D}"/>
    <hyperlink ref="H412" r:id="rId274" display="file:///premium/stock-advisor/risk-rating/current/204606" xr:uid="{F829719D-6B64-BD4B-A223-A2D87F7940B4}"/>
    <hyperlink ref="E430" r:id="rId275" display="file:///premium/company/317317" xr:uid="{41CE4FC4-FE0A-A440-B057-F1DDA959F82D}"/>
    <hyperlink ref="A292" r:id="rId276" display="file:///premium/stock-advisor/coverage/18/coverage/updates/2015/07/17/davids-recommendation-amerco.aspx" xr:uid="{5092A6A4-BE4D-824B-A7FF-A5AC316E194F}"/>
    <hyperlink ref="E292" r:id="rId277" display="file:///premium/company/205856" xr:uid="{028E6942-F617-A446-AD75-F0CA2C67F6D3}"/>
    <hyperlink ref="H292" r:id="rId278" display="file:///premium/stock-advisor/risk-rating/current/205856" xr:uid="{D9012165-1F47-C540-9367-5CA29E7A6DCB}"/>
    <hyperlink ref="E139" r:id="rId279" display="file:///premium/company/203228" xr:uid="{CE4D200B-C59C-C245-869B-AEF671D535AF}"/>
    <hyperlink ref="A268" r:id="rId280" display="file:///premium/stock-advisor/coverage/18/coverage/updates/2015/06/19/toms-re-recommendation-chipotle-mexican-grill.aspx" xr:uid="{7C26295D-CA8E-D14F-88C7-78A6077AA7C8}"/>
    <hyperlink ref="E268" r:id="rId281" display="file:///premium/company/207668" xr:uid="{7BF9B69F-F63D-EA45-B9DF-1640DB5B1A7D}"/>
    <hyperlink ref="A419" r:id="rId282" display="file:///premium/stock-advisor/coverage/18/coverage/updates/2015/06/19/davids-re-recommendation-fireeye.aspx" xr:uid="{5DCCE6F8-69A1-BB46-9A91-74CC8FA67786}"/>
    <hyperlink ref="E419" r:id="rId283" display="file:///premium/company/288390" xr:uid="{C3461CD7-C7FE-A545-9D15-2B7A19800C6D}"/>
    <hyperlink ref="H419" r:id="rId284" display="file:///premium/stock-advisor/risk-rating/current/288390" xr:uid="{8A789A1A-3473-6A4A-8198-A81F80E0B7D1}"/>
    <hyperlink ref="A109" r:id="rId285" display="file:///premium/stock-advisor/coverage/18/coverage/updates/2015/05/15/davids-recommendation-nasdaq-omx-group.aspx" xr:uid="{4BC37BDE-E92D-F949-9651-85134F42D055}"/>
    <hyperlink ref="E109" r:id="rId286" display="file:///premium/company/206324" xr:uid="{025F57D6-4FDF-3D42-8DB8-968A00C19030}"/>
    <hyperlink ref="H109" r:id="rId287" display="file:///premium/stock-advisor/risk-rating/current/206324" xr:uid="{F6CFDFCE-5D66-E146-9990-E0A04FCEF489}"/>
    <hyperlink ref="E216" r:id="rId288" display="file:///premium/company/284653" xr:uid="{A0C6960F-43D9-9546-ABE1-D463012FECBA}"/>
    <hyperlink ref="A303" r:id="rId289" display="file:///premium/stock-advisor/coverage/18/coverage/updates/2015/04/17/toms-re-recommendation-leucadia-national.aspx" xr:uid="{E4F63DBF-EDF1-A54B-9BE9-D68C1B2FCF7D}"/>
    <hyperlink ref="A127" r:id="rId290" display="file:///premium/stock-advisor/coverage/18/coverage/updates/2015/04/17/davids-recommendation-caseys-general-stores.aspx" xr:uid="{93074721-AAB8-4648-9B86-1E98DF48B3ED}"/>
    <hyperlink ref="E127" r:id="rId291" display="file:///premium/company/203042" xr:uid="{B2CF1C83-C788-1F44-B6EE-A6340F5FD158}"/>
    <hyperlink ref="H127" r:id="rId292" display="file:///premium/stock-advisor/risk-rating/current/203042" xr:uid="{874F5468-2A32-894A-820A-71C073C81773}"/>
    <hyperlink ref="A170" r:id="rId293" display="file:///premium/stock-advisor/coverage/18/coverage/updates/2015/03/20/davids-recommendation-restoration-hardware-holding.aspx" xr:uid="{2C1D533D-D90B-2648-8A40-80EBA25870E0}"/>
    <hyperlink ref="E170" r:id="rId294" display="file:///premium/company/273742" xr:uid="{6A03AC21-C4E3-A940-9C64-CFADA8ADE8C8}"/>
    <hyperlink ref="H170" r:id="rId295" display="file:///premium/stock-advisor/risk-rating/current/273742" xr:uid="{0443BB45-C8DB-0E4A-9E32-CC45CBBA0E62}"/>
    <hyperlink ref="E387" r:id="rId296" display="file:///premium/company/270334" xr:uid="{F83551CF-55A0-2144-AC2B-1ECF13EBADCC}"/>
    <hyperlink ref="A119" r:id="rId297" display="file:///premium/stock-advisor/coverage/18/coverage/updates/2015/02/20/toms-recommendation-facebook.aspx" xr:uid="{3A7B0AA6-56AD-CB44-93B7-DA4386DF7A75}"/>
    <hyperlink ref="E119" r:id="rId298" display="file:///premium/company/273426" xr:uid="{4A7F3B0D-F1F6-094D-B095-6BAF30D602AA}"/>
    <hyperlink ref="A415" r:id="rId299" display="file:///premium/stock-advisor/coverage/18/coverage/updates/2015/02/20/davids-recommendation-fireeye.aspx" xr:uid="{E37074B5-1244-F642-ADE0-708BE0BD8F0B}"/>
    <hyperlink ref="E415" r:id="rId300" display="file:///premium/company/288390" xr:uid="{56130A9D-9CC3-A443-B994-14B5326A2214}"/>
    <hyperlink ref="H415" r:id="rId301" display="file:///premium/stock-advisor/risk-rating/current/288390" xr:uid="{ED9EFE6E-B647-F24B-AE10-47959E57DBE9}"/>
    <hyperlink ref="A175" r:id="rId302" display="file:///premium/stock-advisor/coverage/18/coverage/updates/2015/01/16/toms-recommendation-xpo-logistics.aspx" xr:uid="{D1C83A2E-33F0-2A49-9E39-E7C08C8D94DD}"/>
    <hyperlink ref="E175" r:id="rId303" display="file:///premium/company/216714" xr:uid="{749DCA2E-7605-9242-9AA7-F50941634644}"/>
    <hyperlink ref="A164" r:id="rId304" display="file:///premium/stock-advisor/coverage/18/coverage/updates/2015/01/16/davids-recommendation-rpm-international.aspx" xr:uid="{06FE7786-51CD-4E4F-AEF3-35CC19CD699A}"/>
    <hyperlink ref="E164" r:id="rId305" display="file:///premium/company/205248" xr:uid="{DF5202C9-EB1D-BE46-A81E-624C423914AE}"/>
    <hyperlink ref="H164" r:id="rId306" display="file:///premium/stock-advisor/risk-rating/current/205248" xr:uid="{17DAF88A-0522-1E48-BE0A-AAEAD5378A8F}"/>
    <hyperlink ref="A167" r:id="rId307" display="file:///premium/stock-advisor/coverage/18/coverage/updates/2014/12/19/toms-re-recommendation-interactive-brokers.aspx" xr:uid="{8728F69F-9AF1-2645-90C0-A65C4199CDA3}"/>
    <hyperlink ref="E167" r:id="rId308" display="file:///premium/company/210157" xr:uid="{617DE1E9-81FB-644D-A762-C3CE7DC65F6D}"/>
    <hyperlink ref="A80" r:id="rId309" display="file:///premium/stock-advisor/coverage/18/coverage/updates/2014/12/19/davids-re-recommendation-activision-blizzard.aspx" xr:uid="{AFA1ED94-ECDE-404F-ACB2-329F87F8A9C9}"/>
    <hyperlink ref="E80" r:id="rId310" display="file:///premium/company/202876" xr:uid="{02BC0AF8-BFB7-AC47-9FF4-919D106383E5}"/>
    <hyperlink ref="H80" r:id="rId311" display="file:///premium/stock-advisor/risk-rating/current/202876" xr:uid="{BFD92DD7-EEFA-E04F-A00F-5200757E6D20}"/>
    <hyperlink ref="A194" r:id="rId312" display="file:///premium/stock-advisor/coverage/18/coverage/updates/2014/11/21/toms-recommendation-zayo-group.aspx" xr:uid="{AF2C8C1F-D9F3-4F42-A025-1BE256F32061}"/>
    <hyperlink ref="E194" r:id="rId313" display="file:///premium/company/317339" xr:uid="{AD5F62EA-BA3F-F648-B47E-FADD89C5EA25}"/>
    <hyperlink ref="A354" r:id="rId314" display="file:///premium/stock-advisor/coverage/18/coverage/updates/2014/11/21/davids-recommendation-ncr-corp.aspx" xr:uid="{A994B57D-05D9-4845-92E7-F97236AE6318}"/>
    <hyperlink ref="E354" r:id="rId315" display="file:///premium/company/204622" xr:uid="{2F684320-C83D-B34F-A0EF-5B889D76BD71}"/>
    <hyperlink ref="H354" r:id="rId316" display="file:///premium/stock-advisor/risk-rating/current/204622" xr:uid="{605CBF69-68EB-194F-BF60-8C5FF9CC00EF}"/>
    <hyperlink ref="A156" r:id="rId317" display="file:///premium/stock-advisor/coverage/18/coverage/updates/2014/10/17/toms-recommendation-markel-corp.aspx" xr:uid="{038A9585-FBD8-D74D-BA0B-14A4C28122D3}"/>
    <hyperlink ref="E156" r:id="rId318" display="file:///premium/company/204501" xr:uid="{D121D8D0-2F39-2742-BFF2-099B3F785C60}"/>
    <hyperlink ref="A103" r:id="rId319" display="file:///premium/stock-advisor/coverage/18/coverage/updates/2014/10/17/davids-recommendation-mccormick-co.aspx" xr:uid="{AAA880C3-8D7A-EE45-BE07-92FC8B5AE4A7}"/>
    <hyperlink ref="E103" r:id="rId320" display="file:///premium/company/204497" xr:uid="{C98FE397-EE2C-5A49-8FB2-461D57E90057}"/>
    <hyperlink ref="H103" r:id="rId321" display="file:///premium/stock-advisor/risk-rating/current/204497" xr:uid="{9670966C-EA61-EF4F-9020-DF52006D0818}"/>
    <hyperlink ref="A232" r:id="rId322" display="file:///premium/stock-advisor/coverage/18/coverage/updates/2014/09/19/toms-recommendation-cognizant-technology-solutions.aspx" xr:uid="{DD242088-9D6F-3444-BA3A-1757E103D376}"/>
    <hyperlink ref="E232" r:id="rId323" display="file:///premium/company/203239" xr:uid="{ECA379FB-5795-F34D-A164-4A19C9E88D0B}"/>
    <hyperlink ref="A384" r:id="rId324" display="file:///premium/stock-advisor/coverage/18/coverage/updates/2014/09/19/davids-recommendation-nordstrom.aspx" xr:uid="{AD45E0C2-DD65-C943-8BE1-782FF22247FD}"/>
    <hyperlink ref="E384" r:id="rId325" display="file:///premium/company/204152" xr:uid="{74086A6D-7324-4D49-B0A5-91C295F90CA4}"/>
    <hyperlink ref="H384" r:id="rId326" display="file:///premium/stock-advisor/risk-rating/current/204152" xr:uid="{F236F6E6-C2A7-8847-9279-BED7E7782962}"/>
    <hyperlink ref="A240" r:id="rId327" display="file:///premium/stock-advisor/coverage/18/coverage/updates/2014/08/15/toms-recommendation-the-priceline-group.aspx" xr:uid="{EF76B482-493D-4B4E-A597-EADEB79E9E1D}"/>
    <hyperlink ref="E240" r:id="rId328" display="file:///premium/company/204946" xr:uid="{7BA85284-781D-3C48-9F8D-A07E04280237}"/>
    <hyperlink ref="A411" r:id="rId329" display="file:///premium/stock-advisor/coverage/18/coverage/updates/2014/08/15/davids-re-recommendation-sierra-wireless.aspx" xr:uid="{7AD75E7A-2FC0-8345-956F-AC2CDDA34DC4}"/>
    <hyperlink ref="E411" r:id="rId330" display="file:///premium/company/205614" xr:uid="{2F6844F5-1D6D-5843-B492-68A6F62A5651}"/>
    <hyperlink ref="H411" r:id="rId331" display="file:///premium/stock-advisor/risk-rating/current/205614" xr:uid="{7D0CDB29-C516-4948-A4F5-2328C3272F21}"/>
    <hyperlink ref="A410" r:id="rId332" display="file:///premium/stock-advisor/coverage/18/coverage/updates/2014/07/18/toms-recommendation-criteo.aspx" xr:uid="{7292B0A9-E18A-4943-815D-9EE29E9D8E51}"/>
    <hyperlink ref="E410" r:id="rId333" display="file:///premium/company/288605" xr:uid="{15DED664-5224-DB4A-A489-E05AA41C23FF}"/>
    <hyperlink ref="A63" r:id="rId334" display="file:///premium/stock-advisor/coverage/18/coverage/updates/2014/07/18/davids-recommendation-idexx-laboratories.aspx" xr:uid="{DC9ADC55-598E-0145-959D-827728069E50}"/>
    <hyperlink ref="E63" r:id="rId335" display="file:///premium/company/203996" xr:uid="{C855F6AA-AF96-B046-96F1-AC22165ECDFE}"/>
    <hyperlink ref="H63" r:id="rId336" display="file:///premium/stock-advisor/risk-rating/current/203996" xr:uid="{12013181-37A5-8F4F-9C88-E8BCB0294304}"/>
    <hyperlink ref="A86" r:id="rId337" display="file:///premium/stock-advisor/coverage/18/coverage/issues/2014/06/20/toms-re-recommendation-sherwin-williams.aspx" xr:uid="{3B5F2D19-68FD-8A45-9FCC-50A26BB5085E}"/>
    <hyperlink ref="E86" r:id="rId338" display="file:///premium/company/205418" xr:uid="{3E636EB5-8870-C74C-BB03-1D8D058B70C9}"/>
    <hyperlink ref="A117" r:id="rId339" display="file:///premium/stock-advisor/coverage/18/coverage/issues/2014/06/20/davids-re-recommendation-cognex.aspx" xr:uid="{EE90BA3A-47A2-D24F-A278-8067BBEA4E22}"/>
    <hyperlink ref="E117" r:id="rId340" display="file:///premium/company/203093" xr:uid="{EBDEB485-D71E-B642-B51C-8CB9E16080D1}"/>
    <hyperlink ref="H117" r:id="rId341" display="file:///premium/stock-advisor/risk-rating/current/203093" xr:uid="{41C1905D-DF19-7A4E-B307-0D50CBE22C35}"/>
    <hyperlink ref="H418" r:id="rId342" display="file:///premium/stock-advisor/risk-rating/current/338803" xr:uid="{089A6BF5-4EF9-0848-B44B-5BE2DA14D3B9}"/>
    <hyperlink ref="E217" r:id="rId343" display="file:///premium/company/250030" xr:uid="{6058A006-2E35-5548-84BB-A2EABACDF6B4}"/>
    <hyperlink ref="A433" r:id="rId344" display="file:///premium/stock-advisor/coverage/18/coverage/issues/2014/04/17/toms-recommendation.aspx" xr:uid="{CD392866-782E-994A-88B0-573633121A19}"/>
    <hyperlink ref="E433" r:id="rId345" display="file:///premium/company/207024" xr:uid="{99846A6E-4E44-944E-8497-4001AAB3E424}"/>
    <hyperlink ref="A239" r:id="rId346" display="file:///premium/stock-advisor/coverage/18/coverage/issues/2014/04/17/davids-recommendation.aspx" xr:uid="{53486CC4-2493-7946-8CD1-5429F50E6D63}"/>
    <hyperlink ref="E239" r:id="rId347" display="file:///premium/company/203203" xr:uid="{C4A36640-F0EE-4948-9B46-200C9829A31D}"/>
    <hyperlink ref="H239" r:id="rId348" display="file:///premium/stock-advisor/risk-rating/current/203203" xr:uid="{698C03A7-1AB5-A846-9AC8-6F480BA5685B}"/>
    <hyperlink ref="A172" r:id="rId349" display="file:///premium/stock-advisor/coverage/18/coverage/issues/2014/03/21/davids-recommendation.aspx" xr:uid="{C999DE67-EA30-EB4A-BCAB-669A0DD90292}"/>
    <hyperlink ref="E172" r:id="rId350" display="file:///premium/company/204290" xr:uid="{10507900-8D56-C943-AA6C-E88EDA743961}"/>
    <hyperlink ref="H172" r:id="rId351" display="file:///premium/stock-advisor/risk-rating/current/204290" xr:uid="{B2C7CD6A-90EC-0F4B-8BCD-F6F977B6EC80}"/>
    <hyperlink ref="E214" r:id="rId352" display="file:///premium/company/271203" xr:uid="{EE401197-9F7D-DA47-B0EF-C0166AF12F29}"/>
    <hyperlink ref="A285" r:id="rId353" display="file:///premium/stock-advisor/coverage/18/coverage/issues/2014/02/21/davids-recommendation-cvs-caremark.aspx" xr:uid="{0AE397B3-4893-3D45-9028-17E73AB50242}"/>
    <hyperlink ref="E285" r:id="rId354" display="file:///premium/company/203253" xr:uid="{E5CDA57B-121B-B440-9FB9-BCC6E7AFA517}"/>
    <hyperlink ref="H285" r:id="rId355" display="file:///premium/stock-advisor/risk-rating/current/203253" xr:uid="{0374F3E0-FA76-564F-8CDD-2C10E88F8DB2}"/>
    <hyperlink ref="E134" r:id="rId356" display="file:///premium/company/273737" xr:uid="{3095C334-3A5F-9048-AD59-86F1DC1BBA48}"/>
    <hyperlink ref="A337" r:id="rId357" display="file:///premium/stock-advisor/coverage/18/coverage/issues/2014/01/17/toms-recommendation-leucadia-national.aspx" xr:uid="{ADDFD533-C631-E447-AF5D-55BD0F112C7C}"/>
    <hyperlink ref="A98" r:id="rId358" display="file:///premium/stock-advisor/coverage/18/coverage/issues/2014/01/17/davids-recommendation-cboe-holdings.aspx" xr:uid="{A9B7BB60-BEA4-8844-BA5A-583E0C6AC6AE}"/>
    <hyperlink ref="E98" r:id="rId359" display="file:///premium/company/224236" xr:uid="{9B8B42CC-D401-D045-B72B-832F246A49E6}"/>
    <hyperlink ref="H98" r:id="rId360" display="file:///premium/stock-advisor/risk-rating/current/224236" xr:uid="{D5003E90-7896-7948-9F8A-9AD788A7E958}"/>
    <hyperlink ref="E336" r:id="rId361" display="file:///premium/company/204988" xr:uid="{23E65524-3147-D44E-91F8-A735DE339FD3}"/>
    <hyperlink ref="E425" r:id="rId362" display="file:///premium/company/288540" xr:uid="{1395CFAD-8257-7A43-84D9-F872FC96D097}"/>
    <hyperlink ref="E289" r:id="rId363" display="file:///premium/company/223768" xr:uid="{B2C79166-7328-FC4B-BB9F-75AA836EE581}"/>
    <hyperlink ref="E423" r:id="rId364" display="file:///premium/company/288540" xr:uid="{331F06BD-D74C-EA4F-8228-3CC09A47EB50}"/>
    <hyperlink ref="A186" r:id="rId365" display="file:///premium/stock-advisor/coverage/18/coverage/issues/2013/10/18/davids-recommendation-hyatt-hotels-2.aspx" xr:uid="{360F6DFC-5EF8-F546-9358-BB670F463DBC}"/>
    <hyperlink ref="E186" r:id="rId366" display="file:///premium/company/223191" xr:uid="{729D19C2-9236-2A47-9894-651AB06F3994}"/>
    <hyperlink ref="H186" r:id="rId367" display="file:///premium/stock-advisor/risk-rating/current/223191" xr:uid="{937D793A-C0CB-F848-BEDD-A80DF84308FD}"/>
    <hyperlink ref="E417" r:id="rId368" display="file:///premium/company/206021" xr:uid="{321FE345-0364-1E48-AF80-AEAF20719AB7}"/>
    <hyperlink ref="A378" r:id="rId369" display="file:///premium/stock-advisor/coverage/18/coverage/issues/2013/09/20/toms-recommendation-under-armour.aspx" xr:uid="{1858EEF2-5A50-DD46-87FD-D02E30D58499}"/>
    <hyperlink ref="A391" r:id="rId370" display="file:///premium/stock-advisor/coverage/18/coverage/issues/2013/09/20/davids-recommendation-sierra-wireless.aspx" xr:uid="{4EC20FCD-3612-9244-A62E-67D1AD65BDE0}"/>
    <hyperlink ref="E391" r:id="rId371" display="file:///premium/company/205614" xr:uid="{FEDF64A4-D24F-C64A-BBC7-F4D73838462A}"/>
    <hyperlink ref="H391" r:id="rId372" display="file:///premium/stock-advisor/risk-rating/current/205614" xr:uid="{8A1C0882-0E38-AA4E-A5D4-5C64A5D9EF46}"/>
    <hyperlink ref="A115" r:id="rId373" display="file:///premium/stock-advisor/coverage/18/coverage/issues/2013/08/16/davids-recommendation.aspx" xr:uid="{20898503-9233-9140-BCA4-FFDDA47EA960}"/>
    <hyperlink ref="E115" r:id="rId374" display="file:///premium/company/206540" xr:uid="{34B145AC-0E15-5140-AB84-EC6B99EF0DDB}"/>
    <hyperlink ref="H115" r:id="rId375" display="file:///premium/stock-advisor/risk-rating/current/206540" xr:uid="{F6F4B97B-0DFC-C247-987D-B5F5A640CAC8}"/>
    <hyperlink ref="E181" r:id="rId376" display="file:///premium/company/203017" xr:uid="{0C86AEC5-317E-6449-9DCC-5AD3E6137E71}"/>
    <hyperlink ref="E385" r:id="rId377" display="file:///premium/company/271973" xr:uid="{2EB967FA-CE66-8844-AE5D-76FFB763ADA5}"/>
    <hyperlink ref="E327" r:id="rId378" display="file:///premium/company/205924" xr:uid="{C380E60E-3867-064B-B781-760B001B0A77}"/>
    <hyperlink ref="A47" r:id="rId379" display="file:///premium/stock-advisor/coverage/18/coverage/issues/2013/06/21/toms-re-recommendation-mastercard.aspx" xr:uid="{72F4FECA-E05B-DA4E-A918-E8625805F5EC}"/>
    <hyperlink ref="E47" r:id="rId380" display="file:///premium/company/209277" xr:uid="{E19FAE95-8A64-C144-9D2B-697D4CC7AC63}"/>
    <hyperlink ref="A23" r:id="rId381" display="file:///premium/stock-advisor/coverage/18/coverage/issues/2013/06/21/davids-re-recommendation-netflix.aspx" xr:uid="{DA341796-A7B3-3C43-9DC5-DB79CC39F119}"/>
    <hyperlink ref="E23" r:id="rId382" display="file:///premium/company/204654" xr:uid="{D9ED187C-31E9-5349-94E0-0B07D4FDF0C0}"/>
    <hyperlink ref="H23" r:id="rId383" display="file:///premium/stock-advisor/risk-rating/current/204654" xr:uid="{422683E3-2247-0E49-A37A-6A7CE7C59314}"/>
    <hyperlink ref="A74" r:id="rId384" display="file:///premium/stock-advisor/coverage/18/coverage/issues/2013/05/17/davids-recommendation.aspx" xr:uid="{9B1113A6-13C6-1244-8526-48A8B95DA166}"/>
    <hyperlink ref="E74" r:id="rId385" display="file:///premium/company/204587" xr:uid="{10E7A150-4958-444B-B68E-793AC5ED5E58}"/>
    <hyperlink ref="H74" r:id="rId386" display="file:///premium/stock-advisor/risk-rating/current/204587" xr:uid="{9A8D294C-CA00-AE41-A480-1AAEB4A49848}"/>
    <hyperlink ref="E272" r:id="rId387" display="file:///premium/company/225346" xr:uid="{CAF3DE8F-54C5-4E44-AF4D-2B838431B951}"/>
    <hyperlink ref="A45" r:id="rId388" display="file:///premium/stock-advisor/coverage/18/coverage/issues/2013/04/19/toms-recommendation.aspx" xr:uid="{E2FB28B7-755C-7F4F-A6D5-9E573D2E52CF}"/>
    <hyperlink ref="E45" r:id="rId389" display="file:///premium/company/209277" xr:uid="{B22B274F-46C2-6B42-B4AD-2097B43226CE}"/>
    <hyperlink ref="A128" r:id="rId390" display="file:///premium/stock-advisor/coverage/18/coverage/issues/2013/04/19/davids-recommendation.aspx" xr:uid="{77CA5179-8E86-594F-9793-05B0EACCEB80}"/>
    <hyperlink ref="E128" r:id="rId391" display="file:///premium/company/209182" xr:uid="{87B7DDDD-5502-644B-ACC1-5C56C9DF66D3}"/>
    <hyperlink ref="H128" r:id="rId392" display="file:///premium/stock-advisor/risk-rating/current/209182" xr:uid="{5ACDF602-24A1-F64E-BCE6-43D202637439}"/>
    <hyperlink ref="A120" r:id="rId393" display="file:///premium/stock-advisor/coverage/18/coverage/issues/2013/03/15/toms-recommendation.aspx" xr:uid="{648036A1-28D2-4B40-8D1F-95AA8E899399}"/>
    <hyperlink ref="E120" r:id="rId394" display="file:///premium/company/204070" xr:uid="{262E9AE6-204E-BD44-B878-D816D8EE75A9}"/>
    <hyperlink ref="A141" r:id="rId395" display="file:///premium/stock-advisor/coverage/18/coverage/issues/2013/03/15/davids-recommendation.aspx" xr:uid="{B8E92F69-64B2-D741-9424-46720FC82E7D}"/>
    <hyperlink ref="E141" r:id="rId396" display="file:///premium/company/204181" xr:uid="{C1A4041D-250F-F044-802E-433FF5068B38}"/>
    <hyperlink ref="H141" r:id="rId397" display="file:///premium/stock-advisor/risk-rating/current/204181" xr:uid="{C39EFB8B-AFE5-0144-8E02-7C647946632F}"/>
    <hyperlink ref="A122" r:id="rId398" display="file:///premium/stock-advisor/coverage/18/coverage/issues/2013/02/15/toms-recommendation.aspx" xr:uid="{B474FC12-A400-4848-866F-B2174E2A60EC}"/>
    <hyperlink ref="E122" r:id="rId399" display="file:///premium/company/207668" xr:uid="{743402C3-3171-4147-8E54-00C4491D9135}"/>
    <hyperlink ref="E282" r:id="rId400" display="file:///premium/company/206054" xr:uid="{4D3536B5-1709-8640-9BC9-878C1F373E87}"/>
    <hyperlink ref="E211" r:id="rId401" display="file:///premium/company/203796" xr:uid="{07F26428-5ED7-0946-8138-F5EF5CB76C85}"/>
    <hyperlink ref="H211" r:id="rId402" display="file:///premium/stock-advisor/risk-rating/current/203796" xr:uid="{4403451B-B99C-744D-B845-5FC0B8088787}"/>
    <hyperlink ref="A180" r:id="rId403" display="file:///premium/stock-advisor/coverage/18/coverage/issues/2012/12/21/toms-re-recommendation-williams-sonoma.aspx" xr:uid="{1A4E3F60-4FDD-CC42-87BF-664CD30F3488}"/>
    <hyperlink ref="E180" r:id="rId404" display="file:///premium/company/206165" xr:uid="{DB52EBD9-62B1-D947-8781-41AD4EBDF492}"/>
    <hyperlink ref="E340" r:id="rId405" display="file:///premium/company/206607" xr:uid="{DAFE5868-3985-C043-A481-187F03743AF9}"/>
    <hyperlink ref="H340" r:id="rId406" display="file:///premium/stock-advisor/risk-rating/current/206607" xr:uid="{9D206C52-8B40-0C4B-9B62-DBD3DE2DBA8A}"/>
    <hyperlink ref="A14" r:id="rId407" display="file:///premium/stock-advisor/coverage/18/coverage/issues/2012/11/16/toms-recommendation-tesla-motors.aspx" xr:uid="{DE0F99BB-5CFF-8444-86AA-C2FD3D398358}"/>
    <hyperlink ref="E14" r:id="rId408" display="file:///premium/company/224257" xr:uid="{B887DFCE-EFE3-3B46-94D5-AB298806A41E}"/>
    <hyperlink ref="A48" r:id="rId409" display="file:///premium/stock-advisor/coverage/18/coverage/issues/2012/11/16/davids-recommendation-intuit.aspx" xr:uid="{EA2EFB79-0538-C944-8718-4B32A722D70F}"/>
    <hyperlink ref="E48" r:id="rId410" display="file:///premium/company/204037" xr:uid="{2C8CC454-99D4-3742-B1D5-D2D48ED696E0}"/>
    <hyperlink ref="H48" r:id="rId411" display="file:///premium/stock-advisor/risk-rating/current/204037" xr:uid="{EE8D9D2D-5C68-2B4C-B7B3-AB41328621DE}"/>
    <hyperlink ref="A202" r:id="rId412" display="file:///premium/stock-advisor/coverage/18/coverage/issues/2012/10/19/toms-recommendation.aspx" xr:uid="{AFA57C76-9706-9A4B-903A-AA559CD40EAB}"/>
    <hyperlink ref="E202" r:id="rId413" display="file:///premium/company/206031" xr:uid="{355BC2D3-A961-8546-A7E3-635F9FED7609}"/>
    <hyperlink ref="A345" r:id="rId414" display="file:///premium/stock-advisor/coverage/18/coverage/issues/2012/10/19/davids-recommendation.aspx" xr:uid="{33046AEC-5F8C-6943-8AF9-14F7D4FD6ECB}"/>
    <hyperlink ref="E345" r:id="rId415" display="file:///premium/company/202957" xr:uid="{8E886EBE-9F10-8645-B859-458E7628AB60}"/>
    <hyperlink ref="H345" r:id="rId416" display="file:///premium/stock-advisor/risk-rating/current/202957" xr:uid="{CE12447A-33DB-3F47-BAC0-7803A90B13D9}"/>
    <hyperlink ref="A213" r:id="rId417" display="file:///premium/stock-advisor/coverage/18/coverage/issues/2012/09/21/davids-recommendation-darling-international.aspx" xr:uid="{2D39C332-C588-654B-8838-EC2567231C54}"/>
    <hyperlink ref="E213" r:id="rId418" display="file:///premium/company/215669" xr:uid="{892D3E39-4578-0144-BC84-768699CD6A3A}"/>
    <hyperlink ref="H213" r:id="rId419" display="file:///premium/stock-advisor/risk-rating/current/215669" xr:uid="{7D47DE98-2294-ED40-8E13-34D53F319FC8}"/>
    <hyperlink ref="E250" r:id="rId420" display="file:///premium/company/206814" xr:uid="{EA3CD66C-48E3-4246-A83B-1B91B2AC0530}"/>
    <hyperlink ref="A93" r:id="rId421" display="file:///premium/stock-advisor/coverage/18/coverage/issues/2012/08/17/toms-recommendation-pricelinecom.aspx" xr:uid="{5E379274-CC5B-9848-AF0B-8264CF9A95F3}"/>
    <hyperlink ref="E93" r:id="rId422" display="file:///premium/company/204946" xr:uid="{F7CCEC2F-7AF3-E24F-9239-630B8B3A1539}"/>
    <hyperlink ref="A360" r:id="rId423" display="file:///premium/stock-advisor/coverage/18/coverage/issues/2012/08/17/davids-recommendation-kinder-morgan.aspx" xr:uid="{660F64FA-2D35-B34A-AE87-35E98E44FE10}"/>
    <hyperlink ref="E360" r:id="rId424" display="file:///premium/company/224977" xr:uid="{C5051E55-86E5-6C4D-A2AE-62E05C1F0FA0}"/>
    <hyperlink ref="H360" r:id="rId425" display="file:///premium/stock-advisor/risk-rating/current/224977" xr:uid="{C8701142-C2D1-FF4C-8967-4CFB28B34319}"/>
    <hyperlink ref="A57" r:id="rId426" display="file:///premium/stock-advisor/coverage/18/coverage/issues/2012/07/20/toms-recommendation-google.aspx" xr:uid="{B3A5FA5F-D5DE-5D42-8749-9FE2FA20DFF8}"/>
    <hyperlink ref="A36" r:id="rId427" display="file:///premium/stock-advisor/coverage/18/coverage/issues/2012/07/20/davids-recommendation-transdigm-group.aspx" xr:uid="{875EEB6E-302A-EC4D-A62A-30F5B7F93CF0}"/>
    <hyperlink ref="E36" r:id="rId428" display="file:///premium/company/208367" xr:uid="{6B331C47-AC9E-E041-978D-2110F90814BF}"/>
    <hyperlink ref="H36" r:id="rId429" display="file:///premium/stock-advisor/risk-rating/current/208367" xr:uid="{A29C7E3F-2E92-FA45-922D-098E98F2C34F}"/>
    <hyperlink ref="A398" r:id="rId430" display="file:///premium/stock-advisor/coverage/18/coverage/issues/2012/06/15/davids-re-recommendation-3d-systems.aspx" xr:uid="{FCA9865A-92AA-744B-B9A2-166E57518B8D}"/>
    <hyperlink ref="E398" r:id="rId431" display="file:///premium/company/206799" xr:uid="{FB904617-7983-4944-A517-8B0DD3BCA86A}"/>
    <hyperlink ref="H398" r:id="rId432" display="file:///premium/stock-advisor/risk-rating/current/206799" xr:uid="{FA29291A-8903-374E-9454-412AFF85EB16}"/>
    <hyperlink ref="E300" r:id="rId433" display="file:///premium/company/203165" xr:uid="{257286A4-5D0E-5844-BBCD-E1217421137C}"/>
    <hyperlink ref="A142" r:id="rId434" display="file:///premium/stock-advisor/coverage/18/coverage/issues/2012/05/16/toms-recommendation-robert-half-international.aspx" xr:uid="{5E49CB57-8CCD-A942-8695-39070B0E5FD2}"/>
    <hyperlink ref="E142" r:id="rId435" display="file:///premium/company/205218" xr:uid="{DD477ECC-9BFA-3A4E-B668-3F3066AB1E87}"/>
    <hyperlink ref="A187" r:id="rId436" display="file:///premium/stock-advisor/coverage/18/coverage/issues/2012/05/16/davids-recommendation-lkq.aspx" xr:uid="{91E654FB-B697-3643-8170-A5985361003B}"/>
    <hyperlink ref="E187" r:id="rId437" display="file:///premium/company/204327" xr:uid="{8ADD9BC4-8DAF-B04E-9279-915D94CC07A2}"/>
    <hyperlink ref="H187" r:id="rId438" display="file:///premium/stock-advisor/risk-rating/current/204327" xr:uid="{ABCC1B01-65D6-7C4D-82E7-1EF34423FF27}"/>
    <hyperlink ref="A38" r:id="rId439" display="file:///premium/stock-advisor/coverage/18/coverage/issues/2012/04/20/toms-recommendation-heico.aspx" xr:uid="{297D3764-E1C6-B84F-B357-4107DEF8FE5C}"/>
    <hyperlink ref="E38" r:id="rId440" display="file:///premium/company/203823" xr:uid="{00FA4B9A-0A14-CB4D-B0C7-305FAF26D935}"/>
    <hyperlink ref="E224" r:id="rId441" display="file:///premium/company/203805" xr:uid="{E03FE943-7F09-1449-B098-D3DCE60414DC}"/>
    <hyperlink ref="H224" r:id="rId442" display="file:///premium/stock-advisor/risk-rating/current/203805" xr:uid="{5214DB53-5063-6440-BD71-6202C9C00FCE}"/>
    <hyperlink ref="A431" r:id="rId443" display="file:///premium/stock-advisor/coverage/18/coverage/issues/2012/03/16/davids-recommendation-clean-energy-fuels.aspx" xr:uid="{A15174F8-87AD-4449-83EA-6EE4263F1E4A}"/>
    <hyperlink ref="E431" r:id="rId444" display="file:///premium/company/210220" xr:uid="{E624DB42-60C3-0F49-9AEC-428C4262FFAD}"/>
    <hyperlink ref="H431" r:id="rId445" display="file:///premium/stock-advisor/risk-rating/current/210220" xr:uid="{6514F271-98E1-424F-B17A-3A6C8A3A187C}"/>
    <hyperlink ref="E166" r:id="rId446" display="file:///premium/company/204988" xr:uid="{D5F56B11-DADC-B945-B987-A7E9B0CB23F2}"/>
    <hyperlink ref="E148" r:id="rId447" display="file:///premium/company/250030" xr:uid="{5958909C-4E44-1649-A3C5-03551E79A3A9}"/>
    <hyperlink ref="E432" r:id="rId448" display="file:///premium/company/224060" xr:uid="{1D24E45E-F2FD-B84A-906F-599F22DF8287}"/>
    <hyperlink ref="A75" r:id="rId449" display="file:///premium/stock-advisor/coverage/18/coverage/issues/2012/01/20/toms-recommendation-ulta.aspx" xr:uid="{537B13B2-B8E9-2C47-8FA6-74FFE276D910}"/>
    <hyperlink ref="E75" r:id="rId450" display="file:///premium/company/217246" xr:uid="{A94F3A7F-4EAA-FD46-9357-49F3B20B1270}"/>
    <hyperlink ref="A362" r:id="rId451" display="file:///premium/stock-advisor/coverage/18/coverage/issues/2012/01/20/davids-recommendation-3d-systems.aspx" xr:uid="{E23C91AD-C3BD-084E-B18F-F3C9860FAC40}"/>
    <hyperlink ref="E362" r:id="rId452" display="file:///premium/company/206799" xr:uid="{4FD58FB8-1443-314D-BF3A-24C7C4566912}"/>
    <hyperlink ref="H362" r:id="rId453" display="file:///premium/stock-advisor/risk-rating/current/206799" xr:uid="{B27D0ADA-5E50-364A-A94C-B912ABEC6271}"/>
    <hyperlink ref="E291" r:id="rId454" display="file:///premium/company/203165" xr:uid="{00F3063D-A110-D54D-9DD1-F60E475DAB4C}"/>
    <hyperlink ref="E106" r:id="rId455" display="file:///premium/company/205019" xr:uid="{A96B9C10-3BCE-CF4D-99F2-2D9539F972AC}"/>
    <hyperlink ref="A426" r:id="rId456" display="file:///premium/stock-advisor/coverage/18/coverage/issues/2011/11/18/toms-recommendation-oceaneering-international.aspx" xr:uid="{87B9C0EF-82CD-CC45-8A5C-EDE088562747}"/>
    <hyperlink ref="E426" r:id="rId457" display="file:///premium/company/204803" xr:uid="{970A9579-71F4-D042-B351-406E211E303F}"/>
    <hyperlink ref="A61" r:id="rId458" display="file:///premium/stock-advisor/coverage/18/coverage/issues/2011/11/18/davids-recommendation-starbucks.aspx" xr:uid="{0B024D41-10E1-8449-A3A5-8F7D9515A2D9}"/>
    <hyperlink ref="E61" r:id="rId459" display="file:///premium/company/205374" xr:uid="{F8EF0695-42D7-BB49-942C-C4AD97C974E8}"/>
    <hyperlink ref="H61" r:id="rId460" display="file:///premium/stock-advisor/risk-rating/current/205374" xr:uid="{0997695A-7B4A-6740-B670-E0647635844B}"/>
    <hyperlink ref="A51" r:id="rId461" display="file:///premium/stock-advisor/coverage/18/coverage/issues/2011/10/21/davids-recommendation-pegasystems.aspx" xr:uid="{991E31A3-85A1-EC4B-B188-A56D6B6FC551}"/>
    <hyperlink ref="E51" r:id="rId462" display="file:///premium/company/204962" xr:uid="{F8AD16FA-D2F3-4D4C-BC40-CC14360E4DC8}"/>
    <hyperlink ref="H51" r:id="rId463" display="file:///premium/stock-advisor/risk-rating/current/204962" xr:uid="{91A760D3-8799-4A45-8A1E-391F06FBDEE9}"/>
    <hyperlink ref="E206" r:id="rId464" display="file:///premium/company/205447" xr:uid="{827C8061-8A67-C743-9EB1-B3251BF222F7}"/>
    <hyperlink ref="A131" r:id="rId465" display="file:///premium/stock-advisor/coverage/18/coverage/issues/2011/09/16/toms-recommendation-williams-sonoma.aspx" xr:uid="{F3AEA203-AB59-E049-8A61-5140980A4925}"/>
    <hyperlink ref="E131" r:id="rId466" display="file:///premium/company/206165" xr:uid="{2933C2B4-1DC1-C94F-95C9-49190D1A5A8E}"/>
    <hyperlink ref="A146" r:id="rId467" display="file:///premium/stock-advisor/coverage/18/coverage/issues/2011/09/16/davids-recommendation-cummins.aspx" xr:uid="{BDCF4FF2-11FC-904F-B682-4D64316A0B46}"/>
    <hyperlink ref="E146" r:id="rId468" display="file:///premium/company/203143" xr:uid="{6AF4AEA1-F68E-4A42-8848-C2938FC040DF}"/>
    <hyperlink ref="H146" r:id="rId469" display="file:///premium/stock-advisor/risk-rating/current/203143" xr:uid="{0C9797FC-E606-2B41-8087-3ED5B823548F}"/>
    <hyperlink ref="A132" r:id="rId470" display="file:///premium/stock-advisor/coverage/18/coverage/issues/2011/08/19/corning.aspx" xr:uid="{8DE0111A-C536-6C41-9064-232AEDF4121B}"/>
    <hyperlink ref="E132" r:id="rId471" display="file:///premium/company/203758" xr:uid="{FE5FDEE8-CA9C-A043-BAAC-9FCAEFCCCAD5}"/>
    <hyperlink ref="H132" r:id="rId472" display="file:///premium/stock-advisor/risk-rating/current/203758" xr:uid="{8D53A313-0831-4247-B144-9AFFA1A42265}"/>
    <hyperlink ref="E317" r:id="rId473" display="file:///premium/company/204138" xr:uid="{5E798E1B-6B0C-FF42-BAE8-E7CB273913F6}"/>
    <hyperlink ref="A124" r:id="rId474" display="file:///premium/stock-advisor/coverage/18/coverage/issues/2011/07/15/balchem.aspx" xr:uid="{64DF9CB4-21BF-024F-803D-539FB3D365FF}"/>
    <hyperlink ref="E124" r:id="rId475" display="file:///premium/company/206859" xr:uid="{A1668D8F-FEE8-034F-A2A6-C1BB918FCCC1}"/>
    <hyperlink ref="E308" r:id="rId476" display="file:///premium/company/205734" xr:uid="{DBBB9FF9-5B67-0F41-B728-529595786B95}"/>
    <hyperlink ref="A37" r:id="rId477" display="file:///premium/stock-advisor/coverage/18/coverage/issues/2011/06/17/davids-re-recommendation-apple.aspx" xr:uid="{B2DD9D2D-1A5D-6844-A193-DD5524087C00}"/>
    <hyperlink ref="E37" r:id="rId478" display="file:///premium/company/202686" xr:uid="{E13E0AAD-F38E-074F-8FE9-523DB69240DA}"/>
    <hyperlink ref="H37" r:id="rId479" display="file:///premium/stock-advisor/risk-rating/current/202686" xr:uid="{8E5C9924-6F20-3244-92ED-69D5B5A23B3C}"/>
    <hyperlink ref="E383" r:id="rId480" display="file:///premium/company/217376" xr:uid="{577379FA-F19D-A649-BCB0-D347178980D1}"/>
    <hyperlink ref="E310" r:id="rId481" display="file:///premium/company/204180" xr:uid="{A7B854EB-A77B-704B-8903-92DEE51879B2}"/>
    <hyperlink ref="E386" r:id="rId482" display="file:///premium/company/207496" xr:uid="{1ACBEDE2-0933-6B4C-A52A-015FA899AE92}"/>
    <hyperlink ref="A413" r:id="rId483" display="file:///premium/stock-advisor/coverage/18/coverage/issues/2011/04/15/sina.aspx" xr:uid="{F31790B0-4EB0-9147-A774-7A0B4DDED952}"/>
    <hyperlink ref="H413" r:id="rId484" display="file:///premium/stock-advisor/risk-rating/current/205424" xr:uid="{717D3FC2-9608-3D4D-ACB0-9AE484982544}"/>
    <hyperlink ref="E392" r:id="rId485" display="file:///premium/company/224375" xr:uid="{7C28A86B-0D49-4D4A-BE54-8CE6383A5A68}"/>
    <hyperlink ref="A262" r:id="rId486" display="file:///premium/stock-advisor/coverage/18/coverage/issues/2011/03/18/ii-vi.aspx" xr:uid="{AA1E4228-F74A-1345-A1F3-393C79616207}"/>
    <hyperlink ref="E262" r:id="rId487" display="file:///premium/company/204012" xr:uid="{67102F4F-9CDA-6C4D-88A6-E6F71C5BBFE4}"/>
    <hyperlink ref="H262" r:id="rId488" display="file:///premium/stock-advisor/risk-rating/current/204012" xr:uid="{1FB1961E-FB4C-494C-AC15-6E3E4602FF3D}"/>
    <hyperlink ref="E388" r:id="rId489" display="file:///premium/company/205822" xr:uid="{B1F591FA-F171-0F4C-926B-FAB9E6F35497}"/>
    <hyperlink ref="E427" r:id="rId490" display="file:///premium/company/210735" xr:uid="{2F17B1F8-2BED-3240-927D-820FB2B82CF4}"/>
    <hyperlink ref="E295" r:id="rId491" display="file:///premium/company/205669" xr:uid="{406CC9D6-CB85-AE40-A35F-1D276E9EB9DF}"/>
    <hyperlink ref="A136" r:id="rId492" display="file:///premium/stock-advisor/coverage/18/coverage/issues/2011/01/21/tennant.aspx" xr:uid="{14AFBF33-EFFD-AB47-A282-A800FF053A43}"/>
    <hyperlink ref="E136" r:id="rId493" display="file:///premium/company/205780" xr:uid="{B49EB7EE-0899-3640-8E1C-D30B454A5119}"/>
    <hyperlink ref="A42" r:id="rId494" display="file:///premium/stock-advisor/coverage/18/coverage/issues/2011/01/21/cognex.aspx" xr:uid="{A2A90F66-88C9-2E4D-B3E1-ED25909B34AE}"/>
    <hyperlink ref="E42" r:id="rId495" display="file:///premium/company/203093" xr:uid="{675550EA-6210-7540-8439-23296C9246AC}"/>
    <hyperlink ref="H42" r:id="rId496" display="file:///premium/stock-advisor/risk-rating/current/203093" xr:uid="{AFAC9D67-63A0-4940-B6A1-24CAC7366EC9}"/>
    <hyperlink ref="A25" r:id="rId497" display="file:///premium/stock-advisor/coverage/18/coverage/issues/2010/12/17/davids-re-recommendation-amazoncom.aspx" xr:uid="{18B38AC2-FCEB-D841-9D44-C010E97C3BA7}"/>
    <hyperlink ref="E25" r:id="rId498" display="file:///premium/company/202816" xr:uid="{E390FD77-23C5-6A4A-A492-A7AD4B3888C6}"/>
    <hyperlink ref="H25" r:id="rId499" display="file:///premium/stock-advisor/risk-rating/current/202816" xr:uid="{BDCC590B-B105-004B-A9F4-6B45C9F68C67}"/>
    <hyperlink ref="E263" r:id="rId500" display="file:///premium/company/204302" xr:uid="{0BDF9FCF-E1D2-4340-87B8-6D00C140D85F}"/>
    <hyperlink ref="A54" r:id="rId501" display="file:///premium/stock-advisor/coverage/18/coverage/issues/2010/11/19/watsco.aspx" xr:uid="{23441BA0-2CBB-5F44-8A04-3229E32833AA}"/>
    <hyperlink ref="E54" r:id="rId502" display="file:///premium/company/206167" xr:uid="{A5CC332A-6D95-804F-874E-A069571A4A07}"/>
    <hyperlink ref="E73" r:id="rId503" display="file:///premium/company/205019" xr:uid="{DF6ACBA4-4F43-0E40-BC76-9D70ED291CC9}"/>
    <hyperlink ref="E171" r:id="rId504" display="file:///premium/company/203581" xr:uid="{8ED8356E-B93C-B841-BC17-EAD22E5D5A86}"/>
    <hyperlink ref="E225" r:id="rId505" display="file:///premium/company/204370" xr:uid="{089FFFF0-E179-3E4E-952C-1137FC7D31AB}"/>
    <hyperlink ref="A46" r:id="rId506" display="file:///premium/stock-advisor/coverage/18/coverage/issues/2010/09/17/recommendation-gilead-sciences.aspx" xr:uid="{1C7CC737-8932-8A46-979C-45A63B202A66}"/>
    <hyperlink ref="E46" r:id="rId507" display="file:///premium/company/203737" xr:uid="{7DFCDDA1-D7C7-0D40-BEBA-A66B0AF08BCA}"/>
    <hyperlink ref="H46" r:id="rId508" display="file:///premium/stock-advisor/risk-rating/current/203737" xr:uid="{B5C4742B-C5A7-D447-A7C0-CB8666781CE2}"/>
    <hyperlink ref="E107" r:id="rId509" display="file:///premium/company/205642" xr:uid="{8CBC4C1F-ECAF-DA43-9334-125066D82D67}"/>
    <hyperlink ref="A207" r:id="rId510" display="file:///premium/stock-advisor/coverage/18/coverage/issues/2010/08/20/recommendation-discovery-communications.aspx" xr:uid="{F32B611D-80CA-B94E-AA87-0B34B9576BAE}"/>
    <hyperlink ref="E207" r:id="rId511" display="file:///premium/company/220461" xr:uid="{A5461C65-457F-2947-82E6-0F816FB065CB}"/>
    <hyperlink ref="H207" r:id="rId512" display="file:///premium/stock-advisor/risk-rating/current/220461" xr:uid="{E65CAFB9-96E7-DF47-B2FF-2F3FAFA59FB5}"/>
    <hyperlink ref="E324" r:id="rId513" display="file:///premium/company/216375" xr:uid="{357EB266-8A39-364B-BA94-F7E800C27E23}"/>
    <hyperlink ref="A44" r:id="rId514" display="file:///premium/stock-advisor/coverage/18/coverage/issues/2010/07/16/recommendation-nike.aspx" xr:uid="{CDB20675-4D6E-3148-9D73-6FECBAFED177}"/>
    <hyperlink ref="E44" r:id="rId515" display="file:///premium/company/204702" xr:uid="{18D46ABD-3A88-7C45-B61B-DA8858E620EF}"/>
    <hyperlink ref="E287" r:id="rId516" display="file:///premium/company/206607" xr:uid="{DB713862-0227-2743-9A02-DFDB2E605E0A}"/>
    <hyperlink ref="H287" r:id="rId517" display="file:///premium/stock-advisor/risk-rating/current/206607" xr:uid="{50A893C5-B402-4740-934B-D143DDCE237F}"/>
    <hyperlink ref="A252" r:id="rId518" display="file:///premium/stock-advisor/coverage/18/coverage/issues/2010/06/18/toms-top-stock-national-oilwell-varco.aspx" xr:uid="{31BAFC48-F794-1949-B397-08CB24CEAF73}"/>
    <hyperlink ref="E252" r:id="rId519" display="file:///premium/company/289148" xr:uid="{3F728E32-E056-934C-A7C4-88E931F3B791}"/>
    <hyperlink ref="A32" r:id="rId520" display="file:///premium/stock-advisor/coverage/18/coverage/issues/2010/06/18/davids-top-stock-pricelinecom.aspx" xr:uid="{FA84E76F-F736-EE4B-8752-620D76797BC5}"/>
    <hyperlink ref="E32" r:id="rId521" display="file:///premium/company/204946" xr:uid="{9E9F749C-9D2D-2640-940C-550C34019A24}"/>
    <hyperlink ref="H32" r:id="rId522" display="file:///premium/stock-advisor/risk-rating/current/204946" xr:uid="{74D1ECC7-9D01-2543-A2B1-B188895D3CF4}"/>
    <hyperlink ref="E376" r:id="rId523" display="file:///premium/company/202676" xr:uid="{6F2EDE2C-A184-F145-89BF-51DDDD24B46C}"/>
    <hyperlink ref="A41" r:id="rId524" display="file:///premium/stock-advisor/coverage/18/coverage/issues/2010/05/21/recommendation-boston-beer.aspx" xr:uid="{8F033971-E5A8-914B-BDA4-A40D2D48AB82}"/>
    <hyperlink ref="E41" r:id="rId525" display="file:///premium/company/205361" xr:uid="{8DCFF728-2364-A44D-AB45-804597C5753D}"/>
    <hyperlink ref="H41" r:id="rId526" display="file:///premium/stock-advisor/risk-rating/current/205361" xr:uid="{43282CF5-357D-DB43-A075-9060E8C1E446}"/>
    <hyperlink ref="E247" r:id="rId527" display="file:///premium/company/206414" xr:uid="{EAA94145-4167-4045-91CA-EA962A70EAC6}"/>
    <hyperlink ref="E218" r:id="rId528" display="file:///premium/company/205572" xr:uid="{DDB87CFA-3987-2945-8C40-5B4B641D29A8}"/>
    <hyperlink ref="E238" r:id="rId529" display="file:///premium/company/204370" xr:uid="{7259D12C-7612-8B44-807B-10FB513EE77A}"/>
    <hyperlink ref="A104" r:id="rId530" display="file:///premium/stock-advisor/coverage/18/coverage/issues/2010/03/19/recommendation-scripps-networks-interactive.aspx" xr:uid="{23AA34D1-C3C0-4947-B8CC-2E8554B233BB}"/>
    <hyperlink ref="E104" r:id="rId531" display="file:///premium/company/220461" xr:uid="{2A697640-5FE1-4D49-BAC3-6074357CF914}"/>
    <hyperlink ref="A267" r:id="rId532" display="file:///premium/stock-advisor/coverage/18/coverage/issues/2010/03/19/recommendation-nucor.aspx" xr:uid="{55D4274D-28FB-5446-8F59-AFB268180D32}"/>
    <hyperlink ref="E267" r:id="rId533" display="file:///premium/company/204765" xr:uid="{FBE293CA-38E5-5149-A2CA-4D1EE5D04EEE}"/>
    <hyperlink ref="H267" r:id="rId534" display="file:///premium/stock-advisor/risk-rating/current/204765" xr:uid="{CAD15798-56C9-D041-B423-B7DC6F396DAB}"/>
    <hyperlink ref="E393" r:id="rId535" display="file:///premium/company/222544" xr:uid="{0CC4FC60-AE0F-6142-A9A8-88D981674087}"/>
    <hyperlink ref="E130" r:id="rId536" display="file:///premium/company/203264" xr:uid="{518BE6C3-BC50-F544-B5D4-2979CB5E16E9}"/>
    <hyperlink ref="E298" r:id="rId537" display="file:///premium/company/202915" xr:uid="{EDDDEE6E-803C-CA4B-BDA5-4BD8243F062F}"/>
    <hyperlink ref="E276" r:id="rId538" display="file:///premium/company/215768" xr:uid="{E647EB57-8B52-A74A-B566-7C18DD379D9D}"/>
    <hyperlink ref="A16" r:id="rId539" display="file:///premium/stock-advisor/coverage/18/coverage/issues/2009/12/18/team-davids-review.aspx" xr:uid="{B94F90CA-B2DC-ED40-80C6-834A1FCCA972}"/>
    <hyperlink ref="E16" r:id="rId540" display="file:///premium/company/204770" xr:uid="{0FB9C1A0-8C2D-9849-9CD1-5CA38DB32F80}"/>
    <hyperlink ref="H16" r:id="rId541" display="file:///premium/stock-advisor/risk-rating/current/204770" xr:uid="{A963EEEE-C19F-B145-B4A2-7111C1156121}"/>
    <hyperlink ref="E97" r:id="rId542" display="file:///premium/company/207962" xr:uid="{D083F02A-CD55-AF45-9FCF-40E4CFB65CC4}"/>
    <hyperlink ref="A114" r:id="rId543" display="file:///premium/stock-advisor/coverage/18/coverage/issues/2009/11/20/team-toms-review.aspx" xr:uid="{C7218695-65C2-EB42-814B-2148C833D45B}"/>
    <hyperlink ref="E114" r:id="rId544" display="file:///premium/company/202746" xr:uid="{1276A8E4-DE64-6041-87CF-A734AED8161E}"/>
    <hyperlink ref="E200" r:id="rId545" display="file:///premium/company/203490" xr:uid="{FD993834-7802-D843-9CD0-307A92B325EC}"/>
    <hyperlink ref="H200" r:id="rId546" display="file:///premium/stock-advisor/risk-rating/current/203490" xr:uid="{C483D3F5-B642-1C47-B03D-CF61C1D64662}"/>
    <hyperlink ref="A79" r:id="rId547" display="file:///premium/stock-advisor/coverage/18/coverage/issues/2009/10/16/hasbro.aspx" xr:uid="{76399C32-2FEC-8041-8309-788FFBD4DACD}"/>
    <hyperlink ref="E79" r:id="rId548" display="file:///premium/company/203809" xr:uid="{A2127143-53C2-1544-9224-FA7B6FD58600}"/>
    <hyperlink ref="H79" r:id="rId549" display="file:///premium/stock-advisor/risk-rating/current/203809" xr:uid="{447319BB-E8A6-894E-BBD2-FDE06893AB8F}"/>
    <hyperlink ref="E234" r:id="rId550" display="file:///premium/company/202768" xr:uid="{3E8C8196-0ADF-E445-BF5D-BAFDCAFA2358}"/>
    <hyperlink ref="A43" r:id="rId551" display="file:///premium/stock-advisor/coverage/18/coverage/issues/2009/09/18/dassault-systemes.aspx" xr:uid="{F9221C96-D9D6-E54A-B668-5BB418ACCD9A}"/>
    <hyperlink ref="E43" r:id="rId552" display="file:///premium/company/207032" xr:uid="{FA11C0F3-189D-C14F-8471-B13706B1B50C}"/>
    <hyperlink ref="H43" r:id="rId553" display="file:///premium/stock-advisor/risk-rating/current/207032" xr:uid="{580A2222-B575-C54E-A194-C7954D455DCD}"/>
    <hyperlink ref="E204" r:id="rId554" display="file:///premium/company/203244" xr:uid="{A15E1627-3B13-0942-B03A-47D34FE2FDF8}"/>
    <hyperlink ref="A28" r:id="rId555" display="file:///premium/stock-advisor/coverage/18/coverage/issues/2009/08/21/adobe-systems.aspx" xr:uid="{3E6C9681-9557-AC46-9C9A-6802C851FFFD}"/>
    <hyperlink ref="E28" r:id="rId556" display="file:///premium/company/202723" xr:uid="{C187A889-86F8-2249-BF41-0C3A2D5E8253}"/>
    <hyperlink ref="H28" r:id="rId557" display="file:///premium/stock-advisor/risk-rating/current/202723" xr:uid="{436D4C59-F66F-A84F-AF40-9BCA8D97B245}"/>
    <hyperlink ref="E160" r:id="rId558" display="file:///premium/company/335396" xr:uid="{BE6E6254-8FEA-5D4A-A870-95428C89B638}"/>
    <hyperlink ref="E356" r:id="rId559" display="file:///premium/company/209081" xr:uid="{89643973-ED5B-C24B-A584-4E4403FBCECE}"/>
    <hyperlink ref="H356" r:id="rId560" display="file:///premium/stock-advisor/risk-rating/current/209081" xr:uid="{50C54C5B-A6ED-CC45-9FF6-46A1CF2F9BF9}"/>
    <hyperlink ref="E188" r:id="rId561" display="file:///premium/company/203991" xr:uid="{F38D8900-42BB-174B-85C0-53705A205977}"/>
    <hyperlink ref="A58" r:id="rId562" display="file:///premium/stock-advisor/coverage/18/coverage/issues/2009/06/19/recommendation-interactive-brokers.aspx" xr:uid="{59C186F2-2A3E-4544-B82C-9ED35D030CA6}"/>
    <hyperlink ref="E58" r:id="rId563" display="file:///premium/company/210157" xr:uid="{F3055875-20DB-DF47-B464-76111A6FD81E}"/>
    <hyperlink ref="E151" r:id="rId564" display="file:///premium/company/209353" xr:uid="{B9CB13F6-A70C-7441-8316-CDC5FC150EF7}"/>
    <hyperlink ref="A69" r:id="rId565" display="file:///premium/stock-advisor/coverage/18/coverage/issues/2009/05/15/berkshire-and-team-toms-six-month-review.aspx" xr:uid="{4EEE6C43-19D2-8643-8157-6CE2FAFD0150}"/>
    <hyperlink ref="E69" r:id="rId566" display="file:///premium/company/206602" xr:uid="{D1E64AE5-1CCC-684A-A488-94560B9ED320}"/>
    <hyperlink ref="E118" r:id="rId567" display="file:///premium/company/206026" xr:uid="{5E5D7C12-A1F8-7E40-8045-DE2DA30D7D68}"/>
    <hyperlink ref="E158" r:id="rId568" display="file:///premium/company/217376" xr:uid="{BEC4DF41-ABAB-BF43-AE55-C4DBDBC5B5EA}"/>
    <hyperlink ref="E209" r:id="rId569" display="file:///premium/company/220563" xr:uid="{F235E9E5-F520-5544-8260-7E3FAB158950}"/>
    <hyperlink ref="E153" r:id="rId570" display="file:///premium/company/209535" xr:uid="{EF071942-1CD4-E245-9FF6-C3289F81A271}"/>
    <hyperlink ref="E168" r:id="rId571" display="file:///premium/company/205061" xr:uid="{4A014AEB-4289-A244-A7A0-AD77E0D66F4C}"/>
    <hyperlink ref="A72" r:id="rId572" display="file:///premium/stock-advisor/coverage/18/coverage/issues/2009/02/20/recommendation-mckesson.aspx" xr:uid="{2806635C-DC61-4445-9EA8-F59B82D1ABEB}"/>
    <hyperlink ref="E72" r:id="rId573" display="file:///premium/company/204404" xr:uid="{CC33D79A-3567-E14B-84AC-2637032C2554}"/>
    <hyperlink ref="H72" r:id="rId574" display="file:///premium/stock-advisor/risk-rating/current/204404" xr:uid="{C03A879D-F03B-2D44-9E68-D4D819128440}"/>
    <hyperlink ref="E105" r:id="rId575" display="file:///premium/company/204369" xr:uid="{5137687F-49FF-CE47-A76C-B0F50F992691}"/>
    <hyperlink ref="A78" r:id="rId576" display="file:///premium/stock-advisor/coverage/18/coverage/issues/2009/01/16/recommendation-national-instruments.aspx" xr:uid="{63A407FB-FAC3-2C4A-A572-E0F223743240}"/>
    <hyperlink ref="E78" r:id="rId577" display="file:///premium/company/204611" xr:uid="{03E74BA7-CEC4-C043-9951-369C5869A9B9}"/>
    <hyperlink ref="E81" r:id="rId578" display="file:///premium/company/250179" xr:uid="{F85C454E-F0B1-CB4E-9722-34432EA5175C}"/>
    <hyperlink ref="A18" r:id="rId579" display="file:///premium/stock-advisor/coverage/18/coverage/issues/2008/12/19/recommendation-cintas.aspx" xr:uid="{84B62925-C005-FD4B-A090-14882C95A4D9}"/>
    <hyperlink ref="E18" r:id="rId580" display="file:///premium/company/203230" xr:uid="{3362E980-921B-4C4C-9484-5C9504BC63ED}"/>
    <hyperlink ref="E34" r:id="rId581" display="file:///premium/company/203310" xr:uid="{54349512-EB29-E74E-99FB-86B8243B3F73}"/>
    <hyperlink ref="H34" r:id="rId582" display="file:///premium/stock-advisor/risk-rating/current/203310" xr:uid="{79404372-AA71-9F46-9BB7-93EFDF323960}"/>
    <hyperlink ref="E56" r:id="rId583" display="file:///premium/company/204579" xr:uid="{080EAE9C-E757-E345-A504-CA6BEAB3CDC3}"/>
    <hyperlink ref="E278" r:id="rId584" display="file:///premium/company/205594" xr:uid="{BA061B47-40C8-3D49-8D14-C8B183E234C1}"/>
    <hyperlink ref="A87" r:id="rId585" display="file:///premium/stock-advisor/coverage/18/coverage/issues/2008/10/17/recommendation-national-instruments.aspx" xr:uid="{977BCD48-4029-F045-A484-2CCA5EF4CEBC}"/>
    <hyperlink ref="E87" r:id="rId586" display="file:///premium/company/204611" xr:uid="{038211E6-0072-A544-9BAB-5A1C2D748104}"/>
    <hyperlink ref="E346" r:id="rId587" display="file:///premium/company/206628" xr:uid="{1B89F86D-AC5C-6845-8177-D1236302490F}"/>
    <hyperlink ref="A65" r:id="rId588" display="file:///premium/stock-advisor/coverage/18/coverage/issues/2008/09/19/recommendation-activision-blizzard.aspx" xr:uid="{7CD2C8B3-D06E-0745-8E37-79DE89C1DE14}"/>
    <hyperlink ref="E65" r:id="rId589" display="file:///premium/company/202876" xr:uid="{5181E41C-BEDA-C546-BA2D-6264A1545D1E}"/>
    <hyperlink ref="H65" r:id="rId590" display="file:///premium/stock-advisor/risk-rating/current/202876" xr:uid="{7BE43033-C5CC-8644-A3AA-E74FE2B86987}"/>
    <hyperlink ref="E102" r:id="rId591" display="file:///premium/company/204947" xr:uid="{E24686F2-1B30-5744-B2EA-26FF8FFE45FD}"/>
    <hyperlink ref="E173" r:id="rId592" display="file:///premium/company/205737" xr:uid="{8D89B6BE-62B2-C444-A8C9-7422482F6A35}"/>
    <hyperlink ref="A39" r:id="rId593" display="file:///premium/stock-advisor/coverage/18/coverage/issues/2008/07/18/recommendation-illumina.aspx" xr:uid="{2A6961E2-42F5-6146-BD61-F066961ADBCD}"/>
    <hyperlink ref="E39" r:id="rId594" display="file:///premium/company/204015" xr:uid="{BB467AE2-33E8-6940-981E-698B87A62E4E}"/>
    <hyperlink ref="H39" r:id="rId595" display="file:///premium/stock-advisor/risk-rating/current/204015" xr:uid="{307C9EE1-7BB6-B147-A179-1FB246731349}"/>
    <hyperlink ref="E108" r:id="rId596" display="file:///premium/company/204335" xr:uid="{3F8F2E21-F996-3C4C-B959-8887037C9C63}"/>
    <hyperlink ref="A21" r:id="rId597" display="file:///premium/stock-advisor/coverage/18/coverage/issues/2008/06/20/recommendation-apple-and-review.aspx" xr:uid="{FA011896-EA27-1147-8057-1EE34D26D658}"/>
    <hyperlink ref="E21" r:id="rId598" display="file:///premium/company/202686" xr:uid="{8F678ED9-EC1A-5043-8C11-29B01519ED03}"/>
    <hyperlink ref="H21" r:id="rId599" display="file:///premium/stock-advisor/risk-rating/current/202686" xr:uid="{32D4CDF0-35A9-E54B-B7D4-43D25D6EECF0}"/>
    <hyperlink ref="E353" r:id="rId600" display="file:///premium/company/205395" xr:uid="{8CFC7371-E042-0746-8CB8-A4F248E6FB1F}"/>
    <hyperlink ref="E264" r:id="rId601" display="file:///premium/company/209112" xr:uid="{2E0BFD1B-3214-9F4F-8E00-7A29FC6E2FE7}"/>
    <hyperlink ref="E133" r:id="rId602" display="file:///premium/company/203422" xr:uid="{38FE73C1-746C-3447-A55C-D4CD79A6A287}"/>
    <hyperlink ref="E96" r:id="rId603" display="file:///premium/company/204579" xr:uid="{24F88AB7-1136-E041-A7FC-5FF8C0E79FD7}"/>
    <hyperlink ref="E269" r:id="rId604" display="file:///premium/company/206855" xr:uid="{FA9F8129-0D9B-B242-BA96-0A2D9825CF38}"/>
    <hyperlink ref="A22" r:id="rId605" display="file:///premium/stock-advisor/coverage/18/coverage/issues/2008/03/20/recommendation-sherwin-williams.aspx" xr:uid="{B3133EED-5629-2B49-828D-9830D778BF59}"/>
    <hyperlink ref="E22" r:id="rId606" display="file:///premium/company/205418" xr:uid="{A1B14CB8-0D5A-9645-9AED-B076842A63EE}"/>
    <hyperlink ref="A60" r:id="rId607" display="file:///premium/stock-advisor/coverage/18/coverage/issues/2008/03/20/recommendation-canadian-national-railway.aspx" xr:uid="{C1AA2EB1-6787-A54F-96D5-680C96F063F7}"/>
    <hyperlink ref="E60" r:id="rId608" display="file:///premium/company/206909" xr:uid="{DCD024C7-3ED0-6340-9CB7-0FAF3A50371A}"/>
    <hyperlink ref="H60" r:id="rId609" display="file:///premium/stock-advisor/risk-rating/current/206909" xr:uid="{0730A8A8-E1F9-8E40-8972-196615A4A114}"/>
    <hyperlink ref="E100" r:id="rId610" display="file:///premium/company/206054" xr:uid="{6909A7A6-1513-8E4C-8EBC-3836F1775DFB}"/>
    <hyperlink ref="E242" r:id="rId611" display="file:///premium/company/209112" xr:uid="{5ABEE27B-4A09-0C47-BD02-79F89B05299A}"/>
    <hyperlink ref="A19" r:id="rId612" display="file:///premium/stock-advisor/coverage/18/coverage/issues/2008/01/18/recommendation-apple.aspx" xr:uid="{DDAD7306-2296-7445-B6B5-2F53C0422016}"/>
    <hyperlink ref="E19" r:id="rId613" display="file:///premium/company/202686" xr:uid="{1254716F-865B-1C4B-8F90-A61541E33144}"/>
    <hyperlink ref="H19" r:id="rId614" display="file:///premium/stock-advisor/risk-rating/current/202686" xr:uid="{655A1568-366C-4A42-A1DE-70D2F51D6C43}"/>
    <hyperlink ref="E111" r:id="rId615" display="file:///premium/company/203165" xr:uid="{FDEC024C-D399-5B44-BE50-6B1D3F59E4EC}"/>
    <hyperlink ref="E421" r:id="rId616" display="file:///premium/company/206258" xr:uid="{81599CFA-A074-8D4F-8907-93FF28059438}"/>
    <hyperlink ref="E367" r:id="rId617" display="file:///premium/company/209353" xr:uid="{581C654C-F8DE-FF4E-B863-7B7A39BF4F8B}"/>
    <hyperlink ref="E215" r:id="rId618" display="file:///premium/company/204405" xr:uid="{B1BFF65F-9BCC-CB48-9B9C-F4E8AF6CDEC4}"/>
    <hyperlink ref="E382" r:id="rId619" display="file:///premium/company/209711" xr:uid="{8BD1CBDC-0752-DE4A-AA8D-3362322CDCB7}"/>
    <hyperlink ref="E371" r:id="rId620" display="file:///premium/company/205555" xr:uid="{F43F4218-19F1-8448-8ED3-158BAB18490C}"/>
    <hyperlink ref="E189" r:id="rId621" display="file:///premium/company/202801" xr:uid="{5886A05D-9769-BF45-B5EE-32ECBC628F9A}"/>
    <hyperlink ref="E408" r:id="rId622" display="file:///premium/company/205192" xr:uid="{7998159C-05A1-1648-ACBC-A5E32FED4091}"/>
    <hyperlink ref="E195" r:id="rId623" display="file:///premium/company/224034" xr:uid="{D0A412B1-9DB9-5543-ACB2-65CAA98F7934}"/>
    <hyperlink ref="E416" r:id="rId624" display="file:///premium/company/202877" xr:uid="{B666E562-CF2A-6F43-9850-CBED5CDD51CA}"/>
    <hyperlink ref="E174" r:id="rId625" display="file:///premium/company/203187" xr:uid="{1BC898E7-2970-8C4C-97B5-97021604FB0F}"/>
    <hyperlink ref="E338" r:id="rId626" display="file:///premium/company/205988" xr:uid="{AC1DFB91-FBD1-624A-A3DA-AC752562B37F}"/>
    <hyperlink ref="E400" r:id="rId627" display="file:///premium/company/205876" xr:uid="{A605DCB5-10A8-9F4D-9E19-BB6AFE0D89C6}"/>
    <hyperlink ref="A4" r:id="rId628" display="file:///premium/stock-advisor/coverage/18/coverage/issues/2007/06/15/recommendation-netflix.aspx" xr:uid="{F157B835-44DD-6249-AEA9-4BD5FB91FE59}"/>
    <hyperlink ref="E4" r:id="rId629" display="file:///premium/company/204654" xr:uid="{D6B58534-B558-AE43-8522-EF282B639613}"/>
    <hyperlink ref="E154" r:id="rId630" display="file:///premium/company/208198" xr:uid="{D3B78AF7-4158-AB44-BE05-9B95A6DB45A8}"/>
    <hyperlink ref="E342" r:id="rId631" display="file:///premium/company/205908" xr:uid="{2D5CD79B-7840-8042-BA44-0BFE0F56F360}"/>
    <hyperlink ref="E434" r:id="rId632" display="file:///premium/company/224572" xr:uid="{E3216F3E-9CEF-B240-843F-A9C41D253F0C}"/>
    <hyperlink ref="A88" r:id="rId633" display="file:///premium/stock-advisor/coverage/18/coverage/issues/2007/04/20/recommendation-berkshire.aspx" xr:uid="{9C737D15-3CDB-E745-9FDC-0E077A568FC6}"/>
    <hyperlink ref="E88" r:id="rId634" display="file:///premium/company/206602" xr:uid="{12789C9D-9A6C-3044-B1F6-51F30E7E4543}"/>
    <hyperlink ref="A245" r:id="rId635" display="file:///premium/stock-advisor/coverage/18/coverage/issues/2007/04/20/recommendation-mobile-mini.aspx" xr:uid="{E57A054C-AACA-C247-B643-8C92D69F87F4}"/>
    <hyperlink ref="E245" r:id="rId636" display="file:///premium/company/204487" xr:uid="{7606255B-EB39-C440-BE0D-0F04BD6EEF8D}"/>
    <hyperlink ref="H245" r:id="rId637" display="file:///premium/stock-advisor/risk-rating/current/204487" xr:uid="{757765BF-9AEB-2047-B240-38E6266171AA}"/>
    <hyperlink ref="A144" r:id="rId638" display="file:///premium/stock-advisor/coverage/18/coverage/issues/2007/03/16/recommendation-meritage-homes.aspx" xr:uid="{498B62FE-BBCA-2B47-AA54-A356246E68EF}"/>
    <hyperlink ref="E144" r:id="rId639" display="file:///premium/company/204586" xr:uid="{BBD17B98-B728-2649-8DA4-793CE29D70AE}"/>
    <hyperlink ref="A311" r:id="rId640" display="file:///premium/stock-advisor/coverage/18/coverage/issues/2007/03/16/recommendation-netgear.aspx" xr:uid="{FED06DAB-C1C6-304B-B118-F0B909116942}"/>
    <hyperlink ref="H311" r:id="rId641" display="file:///premium/stock-advisor/risk-rating/current/204759" xr:uid="{BC048970-F08C-8D45-A2A2-AEB57090E20E}"/>
    <hyperlink ref="E313" r:id="rId642" display="file:///premium/company/205908" xr:uid="{2FC34635-76D8-4F41-B9B9-9D0864ACC329}"/>
    <hyperlink ref="E401" r:id="rId643" display="file:///premium/company/204228" xr:uid="{18844CBD-58CB-564B-9BE1-9E4606E04C8A}"/>
    <hyperlink ref="E395" r:id="rId644" display="file:///premium/company/220650" xr:uid="{A54AD1CF-AFDC-1D42-BB9C-A8165CD66C27}"/>
    <hyperlink ref="H395" r:id="rId645" display="file:///premium/stock-advisor/risk-rating/current/220650" xr:uid="{30FF2943-97EF-E348-B2A3-2531203ADB12}"/>
    <hyperlink ref="E428" r:id="rId646" display="file:///premium/company/203070" xr:uid="{24820028-FFD8-424C-8EED-798A6FC421F9}"/>
    <hyperlink ref="A258" r:id="rId647" display="file:///premium/stock-advisor/coverage/18/coverage/issues/2006/12/15/04.aspx" xr:uid="{C7536AE4-594B-A748-8C2D-2937559CEDB5}"/>
    <hyperlink ref="E258" r:id="rId648" display="file:///premium/company/203564" xr:uid="{4EC42E20-C4BA-F944-9E5F-E8FDC2BD0290}"/>
    <hyperlink ref="H258" r:id="rId649" display="file:///premium/stock-advisor/risk-rating/current/203564" xr:uid="{C3598E74-01FB-E14F-A84D-112CDD7C834D}"/>
    <hyperlink ref="E220" r:id="rId650" display="file:///premium/company/202999" xr:uid="{2BE0147B-935E-7D4E-9343-E1107ED8352A}"/>
    <hyperlink ref="E198" r:id="rId651" display="file:///premium/company/207731" xr:uid="{49829C51-4FEE-A646-A30F-D73425E1BD9A}"/>
    <hyperlink ref="E140" r:id="rId652" display="file:///premium/company/209353" xr:uid="{6785F18B-3E99-7341-B5AB-CC16F24F2332}"/>
    <hyperlink ref="E125" r:id="rId653" display="file:///premium/company/207731" xr:uid="{FC11C0A1-A4F5-1344-BAF8-AC5A11C2BBDD}"/>
    <hyperlink ref="E368" r:id="rId654" display="file:///premium/company/206628" xr:uid="{EBBFEDF3-C513-DB48-B432-583F567E8FFE}"/>
    <hyperlink ref="A6" r:id="rId655" display="file:///premium/stock-advisor/coverage/18/coverage/issues/2006/09/15/02.aspx" xr:uid="{10B49353-44C8-8A41-BFC2-6A4F3C0B47C0}"/>
    <hyperlink ref="E6" r:id="rId656" display="file:///premium/company/204654" xr:uid="{6ECE3748-2CFB-C242-8734-B0BE64182292}"/>
    <hyperlink ref="H6" r:id="rId657" display="file:///premium/stock-advisor/risk-rating/current/204654" xr:uid="{9019568E-02FD-A748-BEEA-3F28393F8DD1}"/>
    <hyperlink ref="E399" r:id="rId658" display="file:///premium/company/203262" xr:uid="{976109CC-B465-A447-9659-B618FA5145A7}"/>
    <hyperlink ref="E62" r:id="rId659" display="file:///premium/company/206251" xr:uid="{0E8F5866-95A0-8548-B047-F50816C88C2C}"/>
    <hyperlink ref="E138" r:id="rId660" display="file:///premium/company/207731" xr:uid="{B8DF58E4-F4DE-5048-A791-7060FCA0F358}"/>
    <hyperlink ref="E261" r:id="rId661" display="file:///premium/company/339235" xr:uid="{265C5E7E-74A6-324B-A611-6268FC0B5147}"/>
    <hyperlink ref="E126" r:id="rId662" display="file:///premium/company/208198" xr:uid="{18EF3286-A180-1748-8D42-E8825CD58B51}"/>
    <hyperlink ref="A112" r:id="rId663" display="file:///premium/stock-advisor/coverage/18/coverage/issues/2006/06/16/02.aspx" xr:uid="{7B15A245-581A-0746-890A-213AA764E9D4}"/>
    <hyperlink ref="E112" r:id="rId664" display="file:///premium/company/202746" xr:uid="{4B33AABC-89BD-EF44-B7C4-270773C8A060}"/>
    <hyperlink ref="A7" r:id="rId665" display="file:///premium/stock-advisor/coverage/18/coverage/issues/2006/06/16/04.aspx" xr:uid="{CC2E9EF2-19A7-BE45-A15C-EADBA40C5EFE}"/>
    <hyperlink ref="E7" r:id="rId666" display="file:///premium/company/204654" xr:uid="{FD2C79D8-85D8-964D-B449-8B6A1CCDBB0D}"/>
    <hyperlink ref="H7" r:id="rId667" display="file:///premium/stock-advisor/risk-rating/current/204654" xr:uid="{0886B372-E570-7D4C-BED2-6719BD2C3AC5}"/>
    <hyperlink ref="E390" r:id="rId668" display="file:///premium/company/202739" xr:uid="{D9AE65FA-3D37-0B4F-AD05-D43C99DBA4E1}"/>
    <hyperlink ref="E405" r:id="rId669" display="file:///premium/company/205413" xr:uid="{77F9DC1B-CC76-A541-B970-24EE78C40ACE}"/>
    <hyperlink ref="E320" r:id="rId670" display="file:///premium/company/203252" xr:uid="{ACCF9AE5-0AEC-204E-B9A7-887DFCEE2EA6}"/>
    <hyperlink ref="E375" r:id="rId671" display="file:///premium/company/224051" xr:uid="{BC89F8CF-76EA-4741-A96C-B99DFBA1EDF1}"/>
    <hyperlink ref="E260" r:id="rId672" display="file:///premium/company/203992" xr:uid="{0DEF9F62-2189-6D4B-9C40-8F12C062A8B3}"/>
    <hyperlink ref="E373" r:id="rId673" display="file:///premium/company/205200" xr:uid="{3D609A4A-D7D6-F44D-A08E-18BF015ABFF1}"/>
    <hyperlink ref="A49" r:id="rId674" display="file:///premium/stock-advisor/coverage/18/coverage/issues/2006/02/17/02.aspx" xr:uid="{E724D1F1-002A-BF41-8268-41E83C3B4D6A}"/>
    <hyperlink ref="E49" r:id="rId675" display="file:///premium/company/205374" xr:uid="{4C39ED8D-5690-F144-8975-8006F69916B1}"/>
    <hyperlink ref="H49" r:id="rId676" display="file:///premium/stock-advisor/risk-rating/current/205374" xr:uid="{CF05585D-6DA5-0C43-B9B0-278D61B57C1E}"/>
    <hyperlink ref="E321" r:id="rId677" display="file:///premium/company/202916" xr:uid="{95CE120E-B4D4-D142-B5D4-E040C6C9ADB0}"/>
    <hyperlink ref="E64" r:id="rId678" display="file:///premium/company/206251" xr:uid="{1E3E820A-CD57-6447-826F-AB55E7DCF3D6}"/>
    <hyperlink ref="E325" r:id="rId679" display="file:///premium/company/202935" xr:uid="{02265784-037A-8941-AA6D-E6E856F22CFE}"/>
    <hyperlink ref="E236" r:id="rId680" display="file:///premium/company/203761" xr:uid="{41D99F0A-B97E-0543-BB30-EBD3148C1899}"/>
    <hyperlink ref="E435" r:id="rId681" display="file:///premium/company/205149" xr:uid="{0939BB82-4509-DF4E-874C-8B7BDC3E02B6}"/>
    <hyperlink ref="A196" r:id="rId682" display="file:///premium/stock-advisor/coverage/18/coverage/issues/2005/11/18/03.aspx" xr:uid="{29B5A93D-CCFB-4C44-927C-F44F2E121433}"/>
    <hyperlink ref="H196" r:id="rId683" display="file:///premium/stock-advisor/risk-rating/current/205424" xr:uid="{F0EA4236-A48D-3347-AC5D-A8BFE6341C0A}"/>
    <hyperlink ref="E159" r:id="rId684" display="file:///premium/company/205178" xr:uid="{6499693F-507E-4D45-B23F-3A04B86CAB40}"/>
    <hyperlink ref="E332" r:id="rId685" display="file:///premium/company/202916" xr:uid="{D24DBE65-BF8F-0C4E-B409-E7517D34004C}"/>
    <hyperlink ref="E341" r:id="rId686" display="file:///premium/company/204429" xr:uid="{BBAEF438-E36C-6E43-A63F-C5F31541D923}"/>
    <hyperlink ref="E365" r:id="rId687" display="file:///premium/company/203779" xr:uid="{C627C92D-7B31-DE41-9B8D-CD80DA1A582F}"/>
    <hyperlink ref="E161" r:id="rId688" display="file:///premium/company/203560" xr:uid="{B9E8A7F7-B195-C149-A281-748DB7106EF1}"/>
    <hyperlink ref="E176" r:id="rId689" display="file:///premium/company/206054" xr:uid="{CE5EA040-B384-374F-A02E-9DD6795EA843}"/>
    <hyperlink ref="E424" r:id="rId690" display="file:///premium/company/209016" xr:uid="{F8CB4F47-DF47-A34E-A228-699D4CA465C4}"/>
    <hyperlink ref="E145" r:id="rId691" display="file:///premium/company/206414" xr:uid="{E3E349DB-EDAC-C44B-A3F3-784D8AEE6821}"/>
    <hyperlink ref="E348" r:id="rId692" display="file:///premium/company/205200" xr:uid="{DC4970C2-E202-5D42-804B-3C435F0413F3}"/>
    <hyperlink ref="E67" r:id="rId693" display="file:///premium/company/204930" xr:uid="{869EFB35-ED52-E14F-8073-17B6227F54B3}"/>
    <hyperlink ref="E414" r:id="rId694" display="file:///premium/company/203416" xr:uid="{F185F5FC-1B2F-2949-BA34-64927DC6970D}"/>
    <hyperlink ref="H414" r:id="rId695" display="file:///premium/stock-advisor/risk-rating/current/203416" xr:uid="{2D7F32AC-F554-E24F-BD81-3F94E3D797AD}"/>
    <hyperlink ref="E177" r:id="rId696" display="file:///premium/company/224024" xr:uid="{3BF84F17-55C2-7F4D-AE90-991FC1AA8AD4}"/>
    <hyperlink ref="E228" r:id="rId697" display="file:///premium/company/224046" xr:uid="{E5C85646-1823-964E-94D2-88FB22C818AD}"/>
    <hyperlink ref="A10" r:id="rId698" display="file:///premium/stock-advisor/coverage/18/coverage/issues/2005/04/01/page_04.aspx" xr:uid="{E85AB4DE-A956-374E-BE40-E2F8D53BF535}"/>
    <hyperlink ref="E10" r:id="rId699" display="file:///premium/company/204770" xr:uid="{29B45803-2003-C84D-B1BD-45A1547038F1}"/>
    <hyperlink ref="H10" r:id="rId700" display="file:///premium/stock-advisor/risk-rating/current/204770" xr:uid="{12E090C5-9AF7-4A47-ACE7-5E8041DDA2A1}"/>
    <hyperlink ref="E157" r:id="rId701" display="file:///premium/company/224024" xr:uid="{3EB5141B-46FF-0F4A-B53B-642EC8F906FB}"/>
    <hyperlink ref="E422" r:id="rId702" display="file:///premium/company/209016" xr:uid="{E6E21F11-BEE9-B047-A862-9C77BC9CA570}"/>
    <hyperlink ref="E294" r:id="rId703" display="file:///premium/company/204887" xr:uid="{2931B154-DDFE-F04A-8341-F6D2EA03DF0C}"/>
    <hyperlink ref="A52" r:id="rId704" display="file:///premium/stock-advisor/coverage/18/coverage/issues/2005/02/01/page_02.aspx" xr:uid="{ACE0EDC6-EDC4-6B40-94C2-DA803F568772}"/>
    <hyperlink ref="E52" r:id="rId705" display="file:///premium/company/205359" xr:uid="{9049B927-01AF-8944-82A8-0176F60B1198}"/>
    <hyperlink ref="E329" r:id="rId706" display="file:///premium/company/202954" xr:uid="{B5481502-D1CD-C14C-9FDB-02A72D107346}"/>
    <hyperlink ref="H329" r:id="rId707" display="file:///premium/stock-advisor/risk-rating/current/202954" xr:uid="{654A6457-B851-B047-99B8-096B0FD72131}"/>
    <hyperlink ref="A84" r:id="rId708" display="file:///premium/stock-advisor/coverage/18/coverage/issues/2005/01/01/page_02.aspx" xr:uid="{C755A1B2-181C-134C-B32E-BE3B7E30DAE3}"/>
    <hyperlink ref="E84" r:id="rId709" display="file:///premium/company/205439" xr:uid="{A712B842-1AC1-574B-B3D0-6DAA9017531C}"/>
    <hyperlink ref="E83" r:id="rId710" display="file:///premium/company/204969" xr:uid="{DB1C9A99-1174-FB49-95C4-22BA2274B809}"/>
    <hyperlink ref="A2" r:id="rId711" display="file:///premium/stock-advisor/coverage/18/coverage/issues/2004/12/01/page_02.aspx" xr:uid="{5BE053E1-50D5-654C-B533-2F63B8CC4684}"/>
    <hyperlink ref="E2" r:id="rId712" display="file:///premium/company/204654" xr:uid="{969612E0-A761-0749-AAE6-E494E4BEBA4B}"/>
    <hyperlink ref="H2" r:id="rId713" display="file:///premium/stock-advisor/risk-rating/current/204654" xr:uid="{FDF4D181-DAE9-2546-8F38-2250083F21B6}"/>
    <hyperlink ref="E359" r:id="rId714" display="file:///premium/company/205822" xr:uid="{5572DCB1-2BF6-6040-8B80-B76DCF3A43BD}"/>
    <hyperlink ref="E284" r:id="rId715" display="file:///premium/company/203415" xr:uid="{09C9FE25-61A3-DB40-99B8-FDA5318C4961}"/>
    <hyperlink ref="H284" r:id="rId716" display="file:///premium/stock-advisor/risk-rating/current/203415" xr:uid="{2A325E49-0935-1A46-8283-919A62B1F2A3}"/>
    <hyperlink ref="E210" r:id="rId717" display="file:///premium/company/203252" xr:uid="{932E4A17-A1EC-7444-9D3C-0869A8EF332B}"/>
    <hyperlink ref="A3" r:id="rId718" display="file:///premium/stock-advisor/coverage/18/coverage/issues/2004/10/01/page_04.aspx" xr:uid="{571911D5-8151-AF45-8414-985D18F4E8E7}"/>
    <hyperlink ref="E3" r:id="rId719" display="file:///premium/company/204654" xr:uid="{CC1378CB-1C59-AB44-A68B-FA75F3484B84}"/>
    <hyperlink ref="H3" r:id="rId720" display="file:///premium/stock-advisor/risk-rating/current/204654" xr:uid="{C490CA26-7390-F44C-BC34-67A770FF0185}"/>
    <hyperlink ref="E235" r:id="rId721" display="file:///premium/company/205439" xr:uid="{63861C71-1A50-0641-9D6F-9180FA098078}"/>
    <hyperlink ref="E121" r:id="rId722" display="file:///premium/company/273457" xr:uid="{BF69855A-E5F4-3040-AA53-9A393613D32E}"/>
    <hyperlink ref="E99" r:id="rId723" display="file:///premium/company/203761" xr:uid="{208E9A25-9DBE-1744-830F-CFB0A37139CE}"/>
    <hyperlink ref="E17" r:id="rId724" display="file:///premium/company/203310" xr:uid="{553300D6-9E9C-2647-A3EF-E03858157F04}"/>
    <hyperlink ref="H17" r:id="rId725" display="file:///premium/stock-advisor/risk-rating/current/203310" xr:uid="{68C21CF3-7020-D048-8FD0-2E723CF9A797}"/>
    <hyperlink ref="E221" r:id="rId726" display="file:///premium/company/205439" xr:uid="{F661FBB6-6341-894C-A8F3-2BA2D032E7CB}"/>
    <hyperlink ref="A193" r:id="rId727" display="file:///premium/stock-advisor/coverage/18/coverage/issues/2004/07/16/page_02.aspx" xr:uid="{76D364CD-48D4-0C47-8C42-BCA9B830748C}"/>
    <hyperlink ref="H193" r:id="rId728" display="file:///premium/stock-advisor/risk-rating/current/205424" xr:uid="{DBDA91F2-61B8-344B-92FF-A06BE019C85F}"/>
    <hyperlink ref="E318" r:id="rId729" display="file:///premium/company/203975" xr:uid="{5AC6390E-C3B7-6C41-93E8-62EB76A958F4}"/>
    <hyperlink ref="E293" r:id="rId730" display="file:///premium/company/203978" xr:uid="{9EDF3D76-6DBD-8B42-A0A6-334B27E41C11}"/>
    <hyperlink ref="E407" r:id="rId731" display="file:///premium/company/204130" xr:uid="{6398361B-DDA6-944E-A145-55010A68AE26}"/>
    <hyperlink ref="H407" r:id="rId732" display="file:///premium/stock-advisor/risk-rating/current/204130" xr:uid="{9363A8D0-4284-9E4B-AC2F-46DF32C271B4}"/>
    <hyperlink ref="A26" r:id="rId733" display="file:///premium/stock-advisor/coverage/18/coverage/issues/2004/05/21/page_02.aspx" xr:uid="{C64A09E4-56D6-404A-904E-EC11D33EC1BC}"/>
    <hyperlink ref="E26" r:id="rId734" display="file:///premium/company/205890" xr:uid="{9E99B02E-2BDA-2348-AFE7-84805F4343B2}"/>
    <hyperlink ref="A8" r:id="rId735" display="file:///premium/stock-advisor/coverage/18/coverage/issues/2004/05/01/page_03.aspx" xr:uid="{50EBE2C2-0859-7942-876E-5EB139CCC0ED}"/>
    <hyperlink ref="E8" r:id="rId736" display="file:///premium/company/204946" xr:uid="{138A9AF4-6376-9047-A2ED-B415A1F37FB1}"/>
    <hyperlink ref="H8" r:id="rId737" display="file:///premium/stock-advisor/risk-rating/current/204946" xr:uid="{94C4C104-4189-3248-91F6-E1B190FA9478}"/>
    <hyperlink ref="A201" r:id="rId738" display="file:///premium/stock-advisor/coverage/18/coverage/issues/2004/04/01/page_04.aspx" xr:uid="{94D72DD6-D5BB-3D45-8D33-1AD97105A3F8}"/>
    <hyperlink ref="E201" r:id="rId739" display="file:///premium/company/215395" xr:uid="{5390100C-0360-614B-8144-27D76906EB01}"/>
    <hyperlink ref="H201" r:id="rId740" display="file:///premium/stock-advisor/risk-rating/current/215395" xr:uid="{D245EA54-3695-D641-8036-1F25B152C6F2}"/>
    <hyperlink ref="E366" r:id="rId741" display="file:///premium/company/205413" xr:uid="{850DCEF5-166C-5F41-BA41-56385B03F6EC}"/>
    <hyperlink ref="E363" r:id="rId742" display="file:///premium/company/203774" xr:uid="{6652F55E-3767-284B-82ED-54F18A610F6E}"/>
    <hyperlink ref="E259" r:id="rId743" display="file:///premium/company/205637" xr:uid="{4A12B83E-7252-7747-B44D-BA40E08E8E4A}"/>
    <hyperlink ref="E397" r:id="rId744" display="file:///premium/company/204130" xr:uid="{9B538FD8-B295-5A41-8F80-DF474FDBC79D}"/>
    <hyperlink ref="H397" r:id="rId745" display="file:///premium/stock-advisor/risk-rating/current/204130" xr:uid="{F471B48D-AD7A-7E4C-B483-B4FC1B3203FF}"/>
    <hyperlink ref="E169" r:id="rId746" display="file:///premium/company/224044" xr:uid="{7247922D-B494-3440-A613-622CE062589A}"/>
    <hyperlink ref="E372" r:id="rId747" display="file:///premium/company/203298" xr:uid="{1F53B46A-CFB7-A14F-9F77-2A9D6415C3B7}"/>
    <hyperlink ref="E281" r:id="rId748" display="file:///premium/company/205214" xr:uid="{CE9CBA18-76C6-EE47-9E65-1B635AC29EA6}"/>
    <hyperlink ref="E309" r:id="rId749" display="file:///premium/company/202846" xr:uid="{1B92BB71-E8B5-5247-A501-11226A7F9F4B}"/>
    <hyperlink ref="E254" r:id="rId750" display="file:///premium/company/203278" xr:uid="{73A1EF40-0F1A-5142-93DF-B51062ED370C}"/>
    <hyperlink ref="E53" r:id="rId751" display="file:///premium/company/202752" xr:uid="{3E9C8337-C2D7-384C-A354-F98445E0BB07}"/>
    <hyperlink ref="E306" r:id="rId752" display="file:///premium/company/202921" xr:uid="{B12D14AA-5C65-A740-9108-B0B87A242631}"/>
    <hyperlink ref="E266" r:id="rId753" display="file:///premium/company/202846" xr:uid="{BF53CA69-246D-514B-93F5-AB4658FB5303}"/>
    <hyperlink ref="E349" r:id="rId754" display="file:///premium/company/223284" xr:uid="{607386E9-7446-0242-86C6-41F5E0231CB8}"/>
    <hyperlink ref="E404" r:id="rId755" display="file:///premium/company/203416" xr:uid="{96489ED8-4A37-854A-B2D4-FDCDB1169843}"/>
    <hyperlink ref="H404" r:id="rId756" display="file:///premium/stock-advisor/risk-rating/current/203416" xr:uid="{F44CF211-D0E5-2746-96A1-D159881FD628}"/>
    <hyperlink ref="E246" r:id="rId757" display="file:///premium/company/202752" xr:uid="{3A6D12A9-4643-7C49-AA5E-3FC013E7C016}"/>
    <hyperlink ref="E429" r:id="rId758" display="file:///premium/company/204175" xr:uid="{35806C0E-A751-2541-BDD0-F0BD673C266D}"/>
    <hyperlink ref="E377" r:id="rId759" display="file:///premium/company/224042" xr:uid="{179621B8-E275-6044-83A6-17C8633F29DD}"/>
    <hyperlink ref="E29" r:id="rId760" display="file:///premium/company/203310" xr:uid="{90D5239E-7A30-F341-9A46-F2BF757C0A7D}"/>
    <hyperlink ref="H29" r:id="rId761" display="file:///premium/stock-advisor/risk-rating/current/203310" xr:uid="{4AB078C8-CCFB-3643-A8BB-CAAB0424AC94}"/>
    <hyperlink ref="E77" r:id="rId762" display="file:///premium/company/204302" xr:uid="{DAACA340-1D85-714F-8CC2-7520F3CA6874}"/>
    <hyperlink ref="E364" r:id="rId763" display="file:///premium/company/341858" xr:uid="{1B31C256-8556-F64B-A107-247FDB101B02}"/>
    <hyperlink ref="E322" r:id="rId764" display="file:///premium/company/203252" xr:uid="{7D0C133A-3CC5-DB44-AAD3-9CE6516B441C}"/>
    <hyperlink ref="E304" r:id="rId765" display="file:///premium/company/203252" xr:uid="{43FC7F6C-1288-674F-AFD1-38F31241FB1D}"/>
    <hyperlink ref="E92" r:id="rId766" display="file:///premium/company/204654" xr:uid="{DC7BED9C-F5CC-1742-BF1D-7C350103EA7C}"/>
    <hyperlink ref="H92" r:id="rId767" display="file:///premium/stock-advisor/risk-rating/current/204654" xr:uid="{4DD3F7A8-33F6-6A43-AF6A-ABA9EF1204EA}"/>
    <hyperlink ref="A35" r:id="rId768" display="file:///premium/stock-advisor/coverage/18/coverage/issues/2003/04/01/page_04.aspx" xr:uid="{736E48B2-755A-FA43-ADA9-E1CB744FCCFA}"/>
    <hyperlink ref="E35" r:id="rId769" display="file:///premium/company/203809" xr:uid="{64DFEF8E-08EB-A448-ADDC-5FCFBCBCCCF5}"/>
    <hyperlink ref="H35" r:id="rId770" display="file:///premium/stock-advisor/risk-rating/current/203809" xr:uid="{482A4F21-1641-6943-9DE9-9A8174F9BAED}"/>
    <hyperlink ref="E197" r:id="rId771" display="file:///premium/company/204185" xr:uid="{4A5BDF9F-C3AD-0043-8EB7-73EC98130B30}"/>
    <hyperlink ref="E24" r:id="rId772" display="file:///premium/company/203310" xr:uid="{A744D99A-0227-5D4D-92DC-1F2A062255E4}"/>
    <hyperlink ref="H24" r:id="rId773" display="file:///premium/stock-advisor/risk-rating/current/203310" xr:uid="{E6E3243F-CF3B-8941-9032-1340F8B21DDE}"/>
    <hyperlink ref="E30" r:id="rId774" display="file:///premium/company/205178" xr:uid="{22CFAA06-7802-0548-B6FE-036CB6888559}"/>
    <hyperlink ref="E12" r:id="rId775" display="file:///premium/company/202876" xr:uid="{46F36968-8757-F145-8F83-3D6BA76855C7}"/>
    <hyperlink ref="H12" r:id="rId776" display="file:///premium/stock-advisor/risk-rating/current/202876" xr:uid="{59F79F05-C5C5-FB40-B72F-73D91CE14522}"/>
    <hyperlink ref="E33" r:id="rId777" display="file:///premium/company/205178" xr:uid="{5B59AB0B-7E71-0449-8A1C-2001707C0C45}"/>
    <hyperlink ref="A50" r:id="rId778" display="file:///premium/stock-advisor/coverage/18/coverage/issues/2003/01/01/page_04.aspx" xr:uid="{EF5576CC-66A1-374F-8299-FAD3C770A2E7}"/>
    <hyperlink ref="E50" r:id="rId779" display="file:///premium/company/203015" xr:uid="{5E7AEAF9-F200-5145-A13B-F5071BDE3B70}"/>
    <hyperlink ref="A110" r:id="rId780" display="file:///premium/stock-advisor/coverage/18/coverage/issues/2003/01/01/page_02.aspx" xr:uid="{E0BEC35B-BEB3-054B-BB8C-89C49CD1A737}"/>
    <hyperlink ref="E110" r:id="rId781" display="file:///premium/company/203564" xr:uid="{3DF0780B-6CF0-3E42-AFCB-1B5967F96F00}"/>
    <hyperlink ref="H110" r:id="rId782" display="file:///premium/stock-advisor/risk-rating/current/203564" xr:uid="{6F521035-EFBF-F648-925C-A9039F7811EA}"/>
    <hyperlink ref="E13" r:id="rId783" display="file:///premium/company/205890" xr:uid="{0CC0AAEC-6D5E-B142-8C33-6635EE818B02}"/>
    <hyperlink ref="E352" r:id="rId784" display="file:///premium/company/205712" xr:uid="{0ED2CC70-C5DE-E445-94FA-2D6F9E924A3A}"/>
    <hyperlink ref="E11" r:id="rId785" display="file:///premium/company/203310" xr:uid="{46FE8F4B-68E0-1D4D-BEFC-E2EBCCA09E13}"/>
    <hyperlink ref="H11" r:id="rId786" display="file:///premium/stock-advisor/risk-rating/current/203310" xr:uid="{5178CCB4-C847-8347-B78C-2F0B889804C7}"/>
    <hyperlink ref="E279" r:id="rId787" display="file:///premium/company/206039" xr:uid="{5B32F54E-9D3A-204F-BFDB-4C0E102B3C70}"/>
    <hyperlink ref="E71" r:id="rId788" display="file:///premium/company/202803" xr:uid="{13022E34-38D1-C646-A9AB-A53AE389BE3F}"/>
    <hyperlink ref="E179" r:id="rId789" display="file:///premium/company/204580" xr:uid="{4DA4FD52-72A1-DB46-902C-F101CC2AC7FE}"/>
    <hyperlink ref="A5" r:id="rId790" display="file:///premium/stock-advisor/coverage/18/coverage/issues/2002/09/01/page_02.aspx" xr:uid="{0D7BF209-0EAD-0644-A753-7B9023038BFE}"/>
    <hyperlink ref="E5" r:id="rId791" display="file:///premium/company/202816" xr:uid="{2A00E43D-4B30-1349-A2AC-9A15DCFCC7BC}"/>
    <hyperlink ref="H5" r:id="rId792" display="file:///premium/stock-advisor/risk-rating/current/202816" xr:uid="{8C3C6DCC-6A18-A848-AFE9-A9A27390D1E7}"/>
    <hyperlink ref="E149" r:id="rId793" display="file:///premium/company/205358" xr:uid="{A079A747-A737-6C4F-8DAA-D802B3CC69F6}"/>
    <hyperlink ref="E15" r:id="rId794" display="file:///premium/company/202876" xr:uid="{5AEAF327-EE9D-2F47-B02E-D4F248407580}"/>
    <hyperlink ref="H15" r:id="rId795" display="file:///premium/stock-advisor/risk-rating/current/202876" xr:uid="{6759D92A-01CE-E946-AD93-FB71C3554DBC}"/>
    <hyperlink ref="E82" r:id="rId796" display="file:///premium/company/202803" xr:uid="{C1E72E67-4E6A-CB4F-A2E7-C5BC0450AECC}"/>
    <hyperlink ref="E351" r:id="rId797" display="file:///premium/company/203447" xr:uid="{E015C158-4142-4241-A83E-8A927233B94A}"/>
    <hyperlink ref="E248" r:id="rId798" display="file:///premium/company/205832" xr:uid="{530D0C8A-F458-5042-B7C0-9789567564AC}"/>
    <hyperlink ref="E9" r:id="rId799" display="file:///premium/company/203310" xr:uid="{445D5CDA-2BFA-B243-BCA7-7EF629124E41}"/>
    <hyperlink ref="H9" r:id="rId800" display="file:///premium/stock-advisor/risk-rating/current/203310" xr:uid="{E5BA0306-1C9C-0040-9E0A-A447C88B685C}"/>
    <hyperlink ref="E226" r:id="rId801" display="file:///premium/company/206054" xr:uid="{52CB78AB-F9F9-D248-8B60-C774775CC458}"/>
    <hyperlink ref="H31" r:id="rId802" display="file:///premium/stock-advisor/risk-rating/current/335416" xr:uid="{F4B58224-0368-A344-AF87-CF9693452D03}"/>
    <hyperlink ref="E219" r:id="rId803" display="file:///premium/company/206054" xr:uid="{5081C87F-853D-9843-9021-D07D3F524E86}"/>
    <hyperlink ref="A27" r:id="rId804" display="file:///premium/stock-advisor/coverage/18/coverage/issues/2002/04/12/page_04.aspx" xr:uid="{CAA7FF95-6FFB-4043-B52B-4A990D8D3EAD}"/>
    <hyperlink ref="E27" r:id="rId805" display="file:///premium/company/203178" xr:uid="{2141E995-524B-8643-85BB-BAC65FAAF387}"/>
    <hyperlink ref="E380" r:id="rId806" display="file:///premium/company/203416" xr:uid="{140B9D65-E030-B045-850A-28ACC5EE9B5F}"/>
    <hyperlink ref="H380" r:id="rId807" display="file:///premium/stock-advisor/risk-rating/current/203416" xr:uid="{E27F0439-A1D2-C84B-93CD-1B2420E07605}"/>
    <hyperlink ref="E95" r:id="rId808" display="file:///premium/company/204405" xr:uid="{7894343E-EE4D-BF48-9994-4ED4AC060F17}"/>
    <hyperlink ref="E277" r:id="rId809" display="file:///premium/company/206628" xr:uid="{8911F94E-4CD8-7541-B12A-204EA4B4BEF7}"/>
  </hyperlinks>
  <pageMargins left="0.7" right="0.7" top="0.75" bottom="0.75" header="0.3" footer="0.3"/>
  <tableParts count="1">
    <tablePart r:id="rId8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50CB6-0D36-674C-9748-0E7D8F2B0308}">
  <dimension ref="A1:E411"/>
  <sheetViews>
    <sheetView workbookViewId="0">
      <selection activeCell="D61" sqref="D61"/>
    </sheetView>
  </sheetViews>
  <sheetFormatPr baseColWidth="10" defaultRowHeight="16" x14ac:dyDescent="0.2"/>
  <cols>
    <col min="1" max="1" width="13.1640625" bestFit="1" customWidth="1"/>
    <col min="2" max="2" width="13" bestFit="1" customWidth="1"/>
    <col min="3" max="3" width="6.83203125" bestFit="1" customWidth="1"/>
    <col min="4" max="4" width="17.5" bestFit="1" customWidth="1"/>
    <col min="5" max="5" width="13" bestFit="1" customWidth="1"/>
    <col min="6" max="6" width="6.83203125" bestFit="1" customWidth="1"/>
    <col min="7" max="7" width="6.1640625" bestFit="1" customWidth="1"/>
    <col min="8" max="8" width="6.83203125" bestFit="1" customWidth="1"/>
    <col min="9" max="9" width="6.1640625" bestFit="1" customWidth="1"/>
    <col min="10" max="10" width="8.33203125" bestFit="1" customWidth="1"/>
    <col min="11" max="11" width="6.1640625" bestFit="1" customWidth="1"/>
    <col min="12" max="12" width="5.1640625" bestFit="1" customWidth="1"/>
    <col min="13" max="14" width="6.83203125" bestFit="1" customWidth="1"/>
    <col min="15" max="15" width="6.33203125" bestFit="1" customWidth="1"/>
    <col min="16" max="16" width="6.83203125" bestFit="1" customWidth="1"/>
    <col min="17" max="17" width="6.6640625" bestFit="1" customWidth="1"/>
    <col min="18" max="18" width="6.83203125" bestFit="1" customWidth="1"/>
    <col min="19" max="19" width="8.1640625" bestFit="1" customWidth="1"/>
    <col min="20" max="20" width="6.83203125" bestFit="1" customWidth="1"/>
    <col min="21" max="21" width="6.1640625" bestFit="1" customWidth="1"/>
    <col min="22" max="22" width="6.83203125" bestFit="1" customWidth="1"/>
    <col min="23" max="23" width="7.1640625" bestFit="1" customWidth="1"/>
    <col min="24" max="24" width="5.83203125" bestFit="1" customWidth="1"/>
    <col min="25" max="25" width="8.1640625" bestFit="1" customWidth="1"/>
    <col min="26" max="26" width="7.33203125" bestFit="1" customWidth="1"/>
    <col min="27" max="27" width="6.83203125" bestFit="1" customWidth="1"/>
    <col min="28" max="28" width="8.5" bestFit="1" customWidth="1"/>
    <col min="29" max="30" width="6.83203125" bestFit="1" customWidth="1"/>
    <col min="31" max="32" width="6.1640625" bestFit="1" customWidth="1"/>
    <col min="33" max="33" width="8.83203125" bestFit="1" customWidth="1"/>
    <col min="34" max="37" width="6.83203125" bestFit="1" customWidth="1"/>
    <col min="38" max="38" width="7.1640625" bestFit="1" customWidth="1"/>
    <col min="39" max="39" width="6.33203125" bestFit="1" customWidth="1"/>
    <col min="40" max="40" width="7" bestFit="1" customWidth="1"/>
    <col min="41" max="41" width="6.83203125" bestFit="1" customWidth="1"/>
    <col min="42" max="42" width="6.1640625" bestFit="1" customWidth="1"/>
    <col min="43" max="43" width="6.33203125" bestFit="1" customWidth="1"/>
    <col min="44" max="45" width="6.1640625" bestFit="1" customWidth="1"/>
    <col min="46" max="46" width="9" bestFit="1" customWidth="1"/>
    <col min="47" max="47" width="6.83203125" bestFit="1" customWidth="1"/>
    <col min="48" max="48" width="6.1640625" bestFit="1" customWidth="1"/>
    <col min="49" max="49" width="4.83203125" bestFit="1" customWidth="1"/>
    <col min="50" max="55" width="6.1640625" bestFit="1" customWidth="1"/>
    <col min="56" max="56" width="6.83203125" bestFit="1" customWidth="1"/>
    <col min="57" max="57" width="6.1640625" bestFit="1" customWidth="1"/>
    <col min="58" max="58" width="6.83203125" bestFit="1" customWidth="1"/>
    <col min="59" max="59" width="6.1640625" bestFit="1" customWidth="1"/>
    <col min="60" max="60" width="7.1640625" bestFit="1" customWidth="1"/>
    <col min="61" max="61" width="6.1640625" bestFit="1" customWidth="1"/>
    <col min="62" max="62" width="5.1640625" bestFit="1" customWidth="1"/>
    <col min="63" max="63" width="8.33203125" bestFit="1" customWidth="1"/>
    <col min="64" max="64" width="6.83203125" bestFit="1" customWidth="1"/>
    <col min="65" max="65" width="7.5" bestFit="1" customWidth="1"/>
    <col min="66" max="66" width="6.83203125" bestFit="1" customWidth="1"/>
    <col min="67" max="69" width="6.1640625" bestFit="1" customWidth="1"/>
    <col min="70" max="70" width="6.6640625" bestFit="1" customWidth="1"/>
    <col min="71" max="71" width="6.83203125" bestFit="1" customWidth="1"/>
    <col min="72" max="72" width="8.5" bestFit="1" customWidth="1"/>
    <col min="73" max="73" width="6.83203125" bestFit="1" customWidth="1"/>
    <col min="74" max="74" width="7.83203125" bestFit="1" customWidth="1"/>
    <col min="75" max="75" width="7.1640625" bestFit="1" customWidth="1"/>
    <col min="76" max="77" width="6.1640625" bestFit="1" customWidth="1"/>
    <col min="78" max="78" width="7" bestFit="1" customWidth="1"/>
    <col min="79" max="79" width="11.33203125" bestFit="1" customWidth="1"/>
    <col min="80" max="80" width="6.1640625" bestFit="1" customWidth="1"/>
    <col min="81" max="82" width="6.83203125" bestFit="1" customWidth="1"/>
    <col min="83" max="86" width="6.1640625" bestFit="1" customWidth="1"/>
    <col min="87" max="87" width="6.83203125" bestFit="1" customWidth="1"/>
    <col min="88" max="90" width="6.1640625" bestFit="1" customWidth="1"/>
    <col min="91" max="91" width="7.5" bestFit="1" customWidth="1"/>
    <col min="92" max="92" width="6.1640625" bestFit="1" customWidth="1"/>
    <col min="93" max="93" width="6.83203125" bestFit="1" customWidth="1"/>
    <col min="94" max="97" width="6.1640625" bestFit="1" customWidth="1"/>
    <col min="98" max="98" width="5.1640625" bestFit="1" customWidth="1"/>
    <col min="99" max="99" width="8" bestFit="1" customWidth="1"/>
    <col min="100" max="100" width="6.1640625" bestFit="1" customWidth="1"/>
    <col min="101" max="101" width="6.83203125" bestFit="1" customWidth="1"/>
    <col min="102" max="102" width="6.5" bestFit="1" customWidth="1"/>
    <col min="103" max="103" width="13.1640625" bestFit="1" customWidth="1"/>
    <col min="104" max="104" width="5.83203125" bestFit="1" customWidth="1"/>
    <col min="105" max="105" width="6.83203125" bestFit="1" customWidth="1"/>
    <col min="106" max="107" width="6.1640625" bestFit="1" customWidth="1"/>
    <col min="108" max="108" width="6.83203125" bestFit="1" customWidth="1"/>
    <col min="109" max="112" width="6.1640625" bestFit="1" customWidth="1"/>
    <col min="113" max="113" width="7.83203125" bestFit="1" customWidth="1"/>
    <col min="114" max="116" width="6.83203125" bestFit="1" customWidth="1"/>
    <col min="117" max="117" width="8.1640625" bestFit="1" customWidth="1"/>
    <col min="118" max="118" width="6.83203125" bestFit="1" customWidth="1"/>
    <col min="119" max="119" width="6.1640625" bestFit="1" customWidth="1"/>
    <col min="120" max="120" width="7.6640625" bestFit="1" customWidth="1"/>
    <col min="121" max="121" width="6.1640625" bestFit="1" customWidth="1"/>
    <col min="122" max="122" width="5.33203125" bestFit="1" customWidth="1"/>
    <col min="123" max="125" width="6.1640625" bestFit="1" customWidth="1"/>
    <col min="126" max="126" width="5.83203125" bestFit="1" customWidth="1"/>
    <col min="127" max="128" width="6.1640625" bestFit="1" customWidth="1"/>
    <col min="129" max="130" width="6.83203125" bestFit="1" customWidth="1"/>
    <col min="131" max="131" width="6.1640625" bestFit="1" customWidth="1"/>
    <col min="132" max="132" width="6.83203125" bestFit="1" customWidth="1"/>
    <col min="133" max="134" width="6.1640625" bestFit="1" customWidth="1"/>
    <col min="135" max="137" width="6.83203125" bestFit="1" customWidth="1"/>
    <col min="138" max="138" width="6.1640625" bestFit="1" customWidth="1"/>
    <col min="139" max="139" width="8.33203125" bestFit="1" customWidth="1"/>
    <col min="140" max="140" width="8" bestFit="1" customWidth="1"/>
    <col min="141" max="141" width="6.1640625" bestFit="1" customWidth="1"/>
    <col min="142" max="142" width="11.33203125" bestFit="1" customWidth="1"/>
    <col min="143" max="143" width="6.1640625" bestFit="1" customWidth="1"/>
    <col min="144" max="144" width="6.83203125" bestFit="1" customWidth="1"/>
    <col min="145" max="146" width="6.1640625" bestFit="1" customWidth="1"/>
    <col min="147" max="147" width="8.5" bestFit="1" customWidth="1"/>
    <col min="148" max="149" width="6.83203125" bestFit="1" customWidth="1"/>
    <col min="150" max="152" width="6.1640625" bestFit="1" customWidth="1"/>
    <col min="153" max="153" width="5.1640625" bestFit="1" customWidth="1"/>
    <col min="154" max="154" width="6.1640625" bestFit="1" customWidth="1"/>
    <col min="155" max="155" width="7.5" bestFit="1" customWidth="1"/>
    <col min="156" max="157" width="6.1640625" bestFit="1" customWidth="1"/>
    <col min="158" max="158" width="5.1640625" bestFit="1" customWidth="1"/>
    <col min="159" max="159" width="6.83203125" bestFit="1" customWidth="1"/>
    <col min="160" max="160" width="6.6640625" bestFit="1" customWidth="1"/>
    <col min="161" max="161" width="6.1640625" bestFit="1" customWidth="1"/>
    <col min="162" max="162" width="7.83203125" bestFit="1" customWidth="1"/>
    <col min="163" max="165" width="6.1640625" bestFit="1" customWidth="1"/>
    <col min="166" max="166" width="6.83203125" bestFit="1" customWidth="1"/>
    <col min="167" max="167" width="6.1640625" bestFit="1" customWidth="1"/>
    <col min="168" max="169" width="6.83203125" bestFit="1" customWidth="1"/>
    <col min="170" max="170" width="6.33203125" bestFit="1" customWidth="1"/>
    <col min="171" max="171" width="6.83203125" bestFit="1" customWidth="1"/>
    <col min="172" max="172" width="8.1640625" bestFit="1" customWidth="1"/>
    <col min="173" max="173" width="6.83203125" bestFit="1" customWidth="1"/>
    <col min="174" max="174" width="6.1640625" bestFit="1" customWidth="1"/>
    <col min="175" max="175" width="7.1640625" bestFit="1" customWidth="1"/>
    <col min="176" max="176" width="11" bestFit="1" customWidth="1"/>
    <col min="177" max="177" width="5.83203125" bestFit="1" customWidth="1"/>
    <col min="178" max="178" width="6.83203125" bestFit="1" customWidth="1"/>
    <col min="179" max="179" width="5.1640625" bestFit="1" customWidth="1"/>
    <col min="180" max="180" width="6.1640625" bestFit="1" customWidth="1"/>
    <col min="181" max="181" width="5.1640625" bestFit="1" customWidth="1"/>
    <col min="182" max="182" width="8.33203125" bestFit="1" customWidth="1"/>
    <col min="183" max="183" width="6.83203125" bestFit="1" customWidth="1"/>
    <col min="184" max="184" width="7.1640625" bestFit="1" customWidth="1"/>
    <col min="185" max="187" width="6.1640625" bestFit="1" customWidth="1"/>
    <col min="188" max="188" width="6.83203125" bestFit="1" customWidth="1"/>
    <col min="189" max="189" width="9" bestFit="1" customWidth="1"/>
    <col min="190" max="190" width="6.83203125" bestFit="1" customWidth="1"/>
    <col min="191" max="191" width="5.1640625" bestFit="1" customWidth="1"/>
    <col min="192" max="192" width="9.5" bestFit="1" customWidth="1"/>
    <col min="193" max="194" width="6.1640625" bestFit="1" customWidth="1"/>
    <col min="195" max="195" width="6.83203125" bestFit="1" customWidth="1"/>
    <col min="196" max="196" width="6.1640625" bestFit="1" customWidth="1"/>
    <col min="197" max="197" width="8.5" bestFit="1" customWidth="1"/>
    <col min="198" max="199" width="6.1640625" bestFit="1" customWidth="1"/>
    <col min="200" max="200" width="8.1640625" bestFit="1" customWidth="1"/>
    <col min="201" max="201" width="5.5" bestFit="1" customWidth="1"/>
    <col min="202" max="202" width="7.6640625" bestFit="1" customWidth="1"/>
    <col min="203" max="203" width="9.83203125" bestFit="1" customWidth="1"/>
    <col min="204" max="204" width="6.1640625" bestFit="1" customWidth="1"/>
    <col min="205" max="205" width="7.33203125" bestFit="1" customWidth="1"/>
    <col min="206" max="207" width="6.83203125" bestFit="1" customWidth="1"/>
    <col min="208" max="213" width="6.1640625" bestFit="1" customWidth="1"/>
    <col min="214" max="214" width="6.83203125" bestFit="1" customWidth="1"/>
    <col min="215" max="218" width="6.1640625" bestFit="1" customWidth="1"/>
    <col min="219" max="219" width="6.83203125" bestFit="1" customWidth="1"/>
    <col min="220" max="220" width="6.5" bestFit="1" customWidth="1"/>
    <col min="221" max="221" width="6.1640625" bestFit="1" customWidth="1"/>
    <col min="222" max="222" width="5.83203125" bestFit="1" customWidth="1"/>
    <col min="223" max="223" width="6.83203125" bestFit="1" customWidth="1"/>
    <col min="224" max="224" width="8" bestFit="1" customWidth="1"/>
    <col min="225" max="226" width="7.1640625" bestFit="1" customWidth="1"/>
    <col min="227" max="227" width="8.6640625" bestFit="1" customWidth="1"/>
    <col min="228" max="231" width="6.1640625" bestFit="1" customWidth="1"/>
    <col min="232" max="232" width="7.5" bestFit="1" customWidth="1"/>
    <col min="233" max="234" width="6.83203125" bestFit="1" customWidth="1"/>
    <col min="235" max="235" width="5.83203125" bestFit="1" customWidth="1"/>
    <col min="236" max="236" width="6.1640625" bestFit="1" customWidth="1"/>
    <col min="237" max="237" width="9.1640625" bestFit="1" customWidth="1"/>
    <col min="238" max="238" width="5.83203125" bestFit="1" customWidth="1"/>
    <col min="239" max="239" width="6.1640625" bestFit="1" customWidth="1"/>
    <col min="240" max="240" width="6.83203125" bestFit="1" customWidth="1"/>
    <col min="241" max="241" width="5.1640625" bestFit="1" customWidth="1"/>
    <col min="242" max="243" width="6.83203125" bestFit="1" customWidth="1"/>
    <col min="244" max="245" width="6.1640625" bestFit="1" customWidth="1"/>
    <col min="246" max="247" width="6.83203125" bestFit="1" customWidth="1"/>
    <col min="248" max="248" width="7.6640625" bestFit="1" customWidth="1"/>
    <col min="249" max="249" width="6.33203125" bestFit="1" customWidth="1"/>
    <col min="250" max="252" width="6.83203125" bestFit="1" customWidth="1"/>
    <col min="253" max="253" width="6.1640625" bestFit="1" customWidth="1"/>
    <col min="254" max="254" width="5.1640625" bestFit="1" customWidth="1"/>
    <col min="255" max="255" width="10.1640625" bestFit="1" customWidth="1"/>
    <col min="256" max="256" width="6.1640625" bestFit="1" customWidth="1"/>
    <col min="257" max="257" width="5.83203125" bestFit="1" customWidth="1"/>
    <col min="258" max="258" width="6.83203125" bestFit="1" customWidth="1"/>
    <col min="259" max="259" width="6.1640625" bestFit="1" customWidth="1"/>
    <col min="260" max="260" width="7.1640625" bestFit="1" customWidth="1"/>
    <col min="261" max="261" width="6.1640625" bestFit="1" customWidth="1"/>
    <col min="262" max="264" width="6.83203125" bestFit="1" customWidth="1"/>
    <col min="265" max="265" width="7.83203125" bestFit="1" customWidth="1"/>
    <col min="266" max="266" width="6.1640625" bestFit="1" customWidth="1"/>
    <col min="267" max="267" width="6.83203125" bestFit="1" customWidth="1"/>
    <col min="268" max="268" width="7.83203125" bestFit="1" customWidth="1"/>
    <col min="269" max="269" width="6.83203125" bestFit="1" customWidth="1"/>
    <col min="270" max="270" width="6.1640625" bestFit="1" customWidth="1"/>
    <col min="271" max="271" width="6.83203125" bestFit="1" customWidth="1"/>
    <col min="272" max="272" width="7.1640625" bestFit="1" customWidth="1"/>
    <col min="273" max="276" width="6.83203125" bestFit="1" customWidth="1"/>
    <col min="277" max="277" width="6.1640625" bestFit="1" customWidth="1"/>
    <col min="278" max="278" width="7.6640625" bestFit="1" customWidth="1"/>
    <col min="279" max="279" width="6.1640625" bestFit="1" customWidth="1"/>
    <col min="280" max="280" width="6.83203125" bestFit="1" customWidth="1"/>
    <col min="281" max="281" width="8.6640625" bestFit="1" customWidth="1"/>
    <col min="282" max="282" width="9.1640625" bestFit="1" customWidth="1"/>
    <col min="283" max="283" width="6.5" bestFit="1" customWidth="1"/>
    <col min="284" max="286" width="6.1640625" bestFit="1" customWidth="1"/>
    <col min="287" max="288" width="6.83203125" bestFit="1" customWidth="1"/>
    <col min="289" max="289" width="5.6640625" bestFit="1" customWidth="1"/>
    <col min="290" max="291" width="6.1640625" bestFit="1" customWidth="1"/>
    <col min="292" max="292" width="7.1640625" bestFit="1" customWidth="1"/>
    <col min="293" max="293" width="9.33203125" bestFit="1" customWidth="1"/>
    <col min="294" max="299" width="6.1640625" bestFit="1" customWidth="1"/>
  </cols>
  <sheetData>
    <row r="1" spans="1:5" x14ac:dyDescent="0.2">
      <c r="A1" s="43" t="s">
        <v>759</v>
      </c>
      <c r="B1" t="s">
        <v>763</v>
      </c>
      <c r="D1" s="43" t="s">
        <v>759</v>
      </c>
      <c r="E1" t="s">
        <v>763</v>
      </c>
    </row>
    <row r="2" spans="1:5" x14ac:dyDescent="0.2">
      <c r="A2" s="45" t="s">
        <v>29</v>
      </c>
      <c r="B2" s="24">
        <v>661.51699999999994</v>
      </c>
      <c r="D2" s="44" t="s">
        <v>783</v>
      </c>
      <c r="E2" s="24">
        <v>268.86500000000001</v>
      </c>
    </row>
    <row r="3" spans="1:5" x14ac:dyDescent="0.2">
      <c r="A3" s="45" t="s">
        <v>528</v>
      </c>
      <c r="B3" s="24">
        <v>128.66</v>
      </c>
      <c r="D3" s="54" t="s">
        <v>91</v>
      </c>
      <c r="E3" s="24">
        <v>116.61</v>
      </c>
    </row>
    <row r="4" spans="1:5" x14ac:dyDescent="0.2">
      <c r="A4" s="45" t="s">
        <v>91</v>
      </c>
      <c r="B4" s="24">
        <v>125.767</v>
      </c>
      <c r="D4" s="54" t="s">
        <v>528</v>
      </c>
      <c r="E4" s="24">
        <v>91.701999999999998</v>
      </c>
    </row>
    <row r="5" spans="1:5" x14ac:dyDescent="0.2">
      <c r="A5" s="45" t="s">
        <v>292</v>
      </c>
      <c r="B5" s="24">
        <v>72.147000000000006</v>
      </c>
      <c r="D5" s="54" t="s">
        <v>681</v>
      </c>
      <c r="E5" s="24">
        <v>20.847999999999999</v>
      </c>
    </row>
    <row r="6" spans="1:5" x14ac:dyDescent="0.2">
      <c r="A6" s="45" t="s">
        <v>279</v>
      </c>
      <c r="B6" s="24">
        <v>56.478999999999992</v>
      </c>
      <c r="D6" s="54" t="s">
        <v>279</v>
      </c>
      <c r="E6" s="24">
        <v>17.276</v>
      </c>
    </row>
    <row r="7" spans="1:5" x14ac:dyDescent="0.2">
      <c r="A7" s="45" t="s">
        <v>177</v>
      </c>
      <c r="B7" s="24">
        <v>52.71</v>
      </c>
      <c r="D7" s="54" t="s">
        <v>739</v>
      </c>
      <c r="E7" s="24">
        <v>8.8960000000000008</v>
      </c>
    </row>
    <row r="8" spans="1:5" x14ac:dyDescent="0.2">
      <c r="A8" s="45" t="s">
        <v>681</v>
      </c>
      <c r="B8" s="24">
        <v>29.943999999999999</v>
      </c>
      <c r="D8" s="54" t="s">
        <v>737</v>
      </c>
      <c r="E8" s="24">
        <v>6.97</v>
      </c>
    </row>
    <row r="9" spans="1:5" x14ac:dyDescent="0.2">
      <c r="A9" s="45" t="s">
        <v>414</v>
      </c>
      <c r="B9" s="24">
        <v>29.25</v>
      </c>
      <c r="D9" s="54" t="s">
        <v>236</v>
      </c>
      <c r="E9" s="24">
        <v>4.1920000000000002</v>
      </c>
    </row>
    <row r="10" spans="1:5" x14ac:dyDescent="0.2">
      <c r="A10" s="45" t="s">
        <v>20</v>
      </c>
      <c r="B10" s="24">
        <v>18.509</v>
      </c>
      <c r="D10" s="54" t="s">
        <v>558</v>
      </c>
      <c r="E10" s="24">
        <v>1.542</v>
      </c>
    </row>
    <row r="11" spans="1:5" x14ac:dyDescent="0.2">
      <c r="A11" s="45" t="s">
        <v>113</v>
      </c>
      <c r="B11" s="24">
        <v>16.337</v>
      </c>
      <c r="D11" s="54" t="s">
        <v>730</v>
      </c>
      <c r="E11" s="24">
        <v>0.74099999999999999</v>
      </c>
    </row>
    <row r="12" spans="1:5" x14ac:dyDescent="0.2">
      <c r="A12" s="45" t="s">
        <v>637</v>
      </c>
      <c r="B12" s="24">
        <v>14.564</v>
      </c>
      <c r="D12" s="54" t="s">
        <v>351</v>
      </c>
      <c r="E12" s="24">
        <v>0.53500000000000003</v>
      </c>
    </row>
    <row r="13" spans="1:5" x14ac:dyDescent="0.2">
      <c r="A13" s="45" t="s">
        <v>525</v>
      </c>
      <c r="B13" s="24">
        <v>12.504</v>
      </c>
      <c r="D13" s="54" t="s">
        <v>728</v>
      </c>
      <c r="E13" s="24">
        <v>0.501</v>
      </c>
    </row>
    <row r="14" spans="1:5" x14ac:dyDescent="0.2">
      <c r="A14" s="45" t="s">
        <v>300</v>
      </c>
      <c r="B14" s="24">
        <v>12.338000000000001</v>
      </c>
      <c r="D14" s="54" t="s">
        <v>734</v>
      </c>
      <c r="E14" s="24">
        <v>0.153</v>
      </c>
    </row>
    <row r="15" spans="1:5" x14ac:dyDescent="0.2">
      <c r="A15" s="45" t="s">
        <v>84</v>
      </c>
      <c r="B15" s="24">
        <v>9.9330000000000016</v>
      </c>
      <c r="D15" s="54" t="s">
        <v>535</v>
      </c>
      <c r="E15" s="24">
        <v>2.3E-2</v>
      </c>
    </row>
    <row r="16" spans="1:5" x14ac:dyDescent="0.2">
      <c r="A16" s="45" t="s">
        <v>739</v>
      </c>
      <c r="B16" s="24">
        <v>8.8960000000000008</v>
      </c>
      <c r="D16" s="54" t="s">
        <v>725</v>
      </c>
      <c r="E16" s="24">
        <v>1.7999999999999999E-2</v>
      </c>
    </row>
    <row r="17" spans="1:5" x14ac:dyDescent="0.2">
      <c r="A17" s="45" t="s">
        <v>497</v>
      </c>
      <c r="B17" s="24">
        <v>8.3119999999999994</v>
      </c>
      <c r="D17" s="54" t="s">
        <v>732</v>
      </c>
      <c r="E17" s="24">
        <v>-0.33600000000000002</v>
      </c>
    </row>
    <row r="18" spans="1:5" x14ac:dyDescent="0.2">
      <c r="A18" s="45" t="s">
        <v>197</v>
      </c>
      <c r="B18" s="24">
        <v>8.1679999999999993</v>
      </c>
      <c r="D18" s="54" t="s">
        <v>723</v>
      </c>
      <c r="E18" s="24">
        <v>-0.33700000000000002</v>
      </c>
    </row>
    <row r="19" spans="1:5" x14ac:dyDescent="0.2">
      <c r="A19" s="45" t="s">
        <v>489</v>
      </c>
      <c r="B19" s="24">
        <v>7.8379999999999992</v>
      </c>
      <c r="D19" s="54" t="s">
        <v>652</v>
      </c>
      <c r="E19" s="24">
        <v>-0.46899999999999997</v>
      </c>
    </row>
    <row r="20" spans="1:5" x14ac:dyDescent="0.2">
      <c r="A20" s="45" t="s">
        <v>190</v>
      </c>
      <c r="B20" s="24">
        <v>6.984</v>
      </c>
      <c r="D20" s="44" t="s">
        <v>784</v>
      </c>
      <c r="E20" s="24">
        <v>82.206999999999979</v>
      </c>
    </row>
    <row r="21" spans="1:5" x14ac:dyDescent="0.2">
      <c r="A21" s="45" t="s">
        <v>737</v>
      </c>
      <c r="B21" s="24">
        <v>6.97</v>
      </c>
      <c r="D21" s="54" t="s">
        <v>279</v>
      </c>
      <c r="E21" s="24">
        <v>34.591999999999999</v>
      </c>
    </row>
    <row r="22" spans="1:5" x14ac:dyDescent="0.2">
      <c r="A22" s="45" t="s">
        <v>152</v>
      </c>
      <c r="B22" s="24">
        <v>5.7989999999999995</v>
      </c>
      <c r="D22" s="54" t="s">
        <v>528</v>
      </c>
      <c r="E22" s="24">
        <v>17.750999999999998</v>
      </c>
    </row>
    <row r="23" spans="1:5" x14ac:dyDescent="0.2">
      <c r="A23" s="45" t="s">
        <v>217</v>
      </c>
      <c r="B23" s="24">
        <v>5.7530000000000001</v>
      </c>
      <c r="D23" s="54" t="s">
        <v>637</v>
      </c>
      <c r="E23" s="24">
        <v>13.91</v>
      </c>
    </row>
    <row r="24" spans="1:5" x14ac:dyDescent="0.2">
      <c r="A24" s="45" t="s">
        <v>374</v>
      </c>
      <c r="B24" s="24">
        <v>5.7460000000000004</v>
      </c>
      <c r="D24" s="54" t="s">
        <v>489</v>
      </c>
      <c r="E24" s="24">
        <v>5.8209999999999997</v>
      </c>
    </row>
    <row r="25" spans="1:5" x14ac:dyDescent="0.2">
      <c r="A25" s="45" t="s">
        <v>609</v>
      </c>
      <c r="B25" s="24">
        <v>5.5449999999999999</v>
      </c>
      <c r="D25" s="54" t="s">
        <v>171</v>
      </c>
      <c r="E25" s="24">
        <v>3.5</v>
      </c>
    </row>
    <row r="26" spans="1:5" x14ac:dyDescent="0.2">
      <c r="A26" s="45" t="s">
        <v>184</v>
      </c>
      <c r="B26" s="24">
        <v>5.2079999999999993</v>
      </c>
      <c r="D26" s="54" t="s">
        <v>702</v>
      </c>
      <c r="E26" s="24">
        <v>3.4910000000000001</v>
      </c>
    </row>
    <row r="27" spans="1:5" x14ac:dyDescent="0.2">
      <c r="A27" s="45" t="s">
        <v>384</v>
      </c>
      <c r="B27" s="24">
        <v>5.1429999999999998</v>
      </c>
      <c r="D27" s="54" t="s">
        <v>439</v>
      </c>
      <c r="E27" s="24">
        <v>2.0819999999999999</v>
      </c>
    </row>
    <row r="28" spans="1:5" x14ac:dyDescent="0.2">
      <c r="A28" s="45" t="s">
        <v>464</v>
      </c>
      <c r="B28" s="24">
        <v>4.923</v>
      </c>
      <c r="D28" s="54" t="s">
        <v>29</v>
      </c>
      <c r="E28" s="24">
        <v>1.5960000000000001</v>
      </c>
    </row>
    <row r="29" spans="1:5" x14ac:dyDescent="0.2">
      <c r="A29" s="45" t="s">
        <v>116</v>
      </c>
      <c r="B29" s="24">
        <v>4.6719999999999997</v>
      </c>
      <c r="D29" s="54" t="s">
        <v>598</v>
      </c>
      <c r="E29" s="24">
        <v>1.26</v>
      </c>
    </row>
    <row r="30" spans="1:5" x14ac:dyDescent="0.2">
      <c r="A30" s="45" t="s">
        <v>531</v>
      </c>
      <c r="B30" s="24">
        <v>4.6719999999999997</v>
      </c>
      <c r="D30" s="54" t="s">
        <v>717</v>
      </c>
      <c r="E30" s="24">
        <v>0.38400000000000001</v>
      </c>
    </row>
    <row r="31" spans="1:5" x14ac:dyDescent="0.2">
      <c r="A31" s="45" t="s">
        <v>493</v>
      </c>
      <c r="B31" s="24">
        <v>4.5579999999999998</v>
      </c>
      <c r="D31" s="54" t="s">
        <v>699</v>
      </c>
      <c r="E31" s="24">
        <v>0.126</v>
      </c>
    </row>
    <row r="32" spans="1:5" x14ac:dyDescent="0.2">
      <c r="A32" s="45" t="s">
        <v>207</v>
      </c>
      <c r="B32" s="24">
        <v>4.3540000000000001</v>
      </c>
      <c r="D32" s="54" t="s">
        <v>697</v>
      </c>
      <c r="E32" s="24">
        <v>-5.800000000000001E-2</v>
      </c>
    </row>
    <row r="33" spans="1:5" x14ac:dyDescent="0.2">
      <c r="A33" s="45" t="s">
        <v>127</v>
      </c>
      <c r="B33" s="24">
        <v>4.1129999999999995</v>
      </c>
      <c r="D33" s="54" t="s">
        <v>704</v>
      </c>
      <c r="E33" s="24">
        <v>-0.125</v>
      </c>
    </row>
    <row r="34" spans="1:5" x14ac:dyDescent="0.2">
      <c r="A34" s="45" t="s">
        <v>448</v>
      </c>
      <c r="B34" s="24">
        <v>3.8570000000000002</v>
      </c>
      <c r="D34" s="54" t="s">
        <v>617</v>
      </c>
      <c r="E34" s="24">
        <v>-0.317</v>
      </c>
    </row>
    <row r="35" spans="1:5" x14ac:dyDescent="0.2">
      <c r="A35" s="45" t="s">
        <v>521</v>
      </c>
      <c r="B35" s="24">
        <v>3.7649999999999997</v>
      </c>
      <c r="D35" s="54" t="s">
        <v>706</v>
      </c>
      <c r="E35" s="24">
        <v>-0.33</v>
      </c>
    </row>
    <row r="36" spans="1:5" x14ac:dyDescent="0.2">
      <c r="A36" s="45" t="s">
        <v>361</v>
      </c>
      <c r="B36" s="24">
        <v>3.7229999999999999</v>
      </c>
      <c r="D36" s="54" t="s">
        <v>713</v>
      </c>
      <c r="E36" s="24">
        <v>-0.376</v>
      </c>
    </row>
    <row r="37" spans="1:5" x14ac:dyDescent="0.2">
      <c r="A37" s="45" t="s">
        <v>277</v>
      </c>
      <c r="B37" s="24">
        <v>3.5720000000000001</v>
      </c>
      <c r="D37" s="54" t="s">
        <v>711</v>
      </c>
      <c r="E37" s="24">
        <v>-0.45600000000000002</v>
      </c>
    </row>
    <row r="38" spans="1:5" x14ac:dyDescent="0.2">
      <c r="A38" s="45" t="s">
        <v>236</v>
      </c>
      <c r="B38" s="24">
        <v>3.5590000000000002</v>
      </c>
      <c r="D38" s="54" t="s">
        <v>652</v>
      </c>
      <c r="E38" s="24">
        <v>-0.64400000000000002</v>
      </c>
    </row>
    <row r="39" spans="1:5" x14ac:dyDescent="0.2">
      <c r="A39" s="45" t="s">
        <v>395</v>
      </c>
      <c r="B39" s="24">
        <v>3.536</v>
      </c>
      <c r="D39" s="44" t="s">
        <v>785</v>
      </c>
      <c r="E39" s="24">
        <v>421.017</v>
      </c>
    </row>
    <row r="40" spans="1:5" x14ac:dyDescent="0.2">
      <c r="A40" s="45" t="s">
        <v>702</v>
      </c>
      <c r="B40" s="24">
        <v>3.4910000000000001</v>
      </c>
      <c r="D40" s="54" t="s">
        <v>29</v>
      </c>
      <c r="E40" s="24">
        <v>333.38499999999999</v>
      </c>
    </row>
    <row r="41" spans="1:5" x14ac:dyDescent="0.2">
      <c r="A41" s="45" t="s">
        <v>400</v>
      </c>
      <c r="B41" s="24">
        <v>3.4769999999999999</v>
      </c>
      <c r="D41" s="54" t="s">
        <v>292</v>
      </c>
      <c r="E41" s="24">
        <v>63.436999999999998</v>
      </c>
    </row>
    <row r="42" spans="1:5" x14ac:dyDescent="0.2">
      <c r="A42" s="45" t="s">
        <v>660</v>
      </c>
      <c r="B42" s="24">
        <v>3.3250000000000002</v>
      </c>
      <c r="D42" s="54" t="s">
        <v>528</v>
      </c>
      <c r="E42" s="24">
        <v>13.349</v>
      </c>
    </row>
    <row r="43" spans="1:5" x14ac:dyDescent="0.2">
      <c r="A43" s="45" t="s">
        <v>441</v>
      </c>
      <c r="B43" s="24">
        <v>3.2839999999999998</v>
      </c>
      <c r="D43" s="54" t="s">
        <v>681</v>
      </c>
      <c r="E43" s="24">
        <v>9.0960000000000001</v>
      </c>
    </row>
    <row r="44" spans="1:5" x14ac:dyDescent="0.2">
      <c r="A44" s="45" t="s">
        <v>171</v>
      </c>
      <c r="B44" s="24">
        <v>3.1470000000000002</v>
      </c>
      <c r="D44" s="54" t="s">
        <v>630</v>
      </c>
      <c r="E44" s="24">
        <v>1.39</v>
      </c>
    </row>
    <row r="45" spans="1:5" x14ac:dyDescent="0.2">
      <c r="A45" s="45" t="s">
        <v>372</v>
      </c>
      <c r="B45" s="24">
        <v>2.988</v>
      </c>
      <c r="D45" s="54" t="s">
        <v>673</v>
      </c>
      <c r="E45" s="24">
        <v>1.099</v>
      </c>
    </row>
    <row r="46" spans="1:5" x14ac:dyDescent="0.2">
      <c r="A46" s="45" t="s">
        <v>552</v>
      </c>
      <c r="B46" s="24">
        <v>2.915</v>
      </c>
      <c r="D46" s="54" t="s">
        <v>691</v>
      </c>
      <c r="E46" s="24">
        <v>0.58199999999999996</v>
      </c>
    </row>
    <row r="47" spans="1:5" x14ac:dyDescent="0.2">
      <c r="A47" s="45" t="s">
        <v>297</v>
      </c>
      <c r="B47" s="24">
        <v>2.7</v>
      </c>
      <c r="D47" s="54" t="s">
        <v>665</v>
      </c>
      <c r="E47" s="24">
        <v>0.503</v>
      </c>
    </row>
    <row r="48" spans="1:5" x14ac:dyDescent="0.2">
      <c r="A48" s="45" t="s">
        <v>32</v>
      </c>
      <c r="B48" s="24">
        <v>2.5270000000000001</v>
      </c>
      <c r="D48" s="54" t="s">
        <v>635</v>
      </c>
      <c r="E48" s="24">
        <v>0.39800000000000002</v>
      </c>
    </row>
    <row r="49" spans="1:5" x14ac:dyDescent="0.2">
      <c r="A49" s="45" t="s">
        <v>351</v>
      </c>
      <c r="B49" s="24">
        <v>2.444</v>
      </c>
      <c r="D49" s="54" t="s">
        <v>684</v>
      </c>
      <c r="E49" s="24">
        <v>0.36399999999999999</v>
      </c>
    </row>
    <row r="50" spans="1:5" x14ac:dyDescent="0.2">
      <c r="A50" s="45" t="s">
        <v>650</v>
      </c>
      <c r="B50" s="24">
        <v>2.4260000000000002</v>
      </c>
      <c r="D50" s="54" t="s">
        <v>617</v>
      </c>
      <c r="E50" s="24">
        <v>0.315</v>
      </c>
    </row>
    <row r="51" spans="1:5" x14ac:dyDescent="0.2">
      <c r="A51" s="45" t="s">
        <v>484</v>
      </c>
      <c r="B51" s="24">
        <v>2.4239999999999999</v>
      </c>
      <c r="D51" s="54" t="s">
        <v>688</v>
      </c>
      <c r="E51" s="24">
        <v>0.11</v>
      </c>
    </row>
    <row r="52" spans="1:5" x14ac:dyDescent="0.2">
      <c r="A52" s="45" t="s">
        <v>665</v>
      </c>
      <c r="B52" s="24">
        <v>2.3410000000000002</v>
      </c>
      <c r="D52" s="54" t="s">
        <v>695</v>
      </c>
      <c r="E52" s="24">
        <v>1.0999999999999999E-2</v>
      </c>
    </row>
    <row r="53" spans="1:5" x14ac:dyDescent="0.2">
      <c r="A53" s="45" t="s">
        <v>602</v>
      </c>
      <c r="B53" s="24">
        <v>2.3040000000000003</v>
      </c>
      <c r="D53" s="54" t="s">
        <v>669</v>
      </c>
      <c r="E53" s="24">
        <v>-6.0000000000000001E-3</v>
      </c>
    </row>
    <row r="54" spans="1:5" x14ac:dyDescent="0.2">
      <c r="A54" s="45" t="s">
        <v>517</v>
      </c>
      <c r="B54" s="24">
        <v>2.23</v>
      </c>
      <c r="D54" s="54" t="s">
        <v>678</v>
      </c>
      <c r="E54" s="24">
        <v>-5.0999999999999997E-2</v>
      </c>
    </row>
    <row r="55" spans="1:5" x14ac:dyDescent="0.2">
      <c r="A55" s="45" t="s">
        <v>439</v>
      </c>
      <c r="B55" s="24">
        <v>2.173</v>
      </c>
      <c r="D55" s="54" t="s">
        <v>676</v>
      </c>
      <c r="E55" s="24">
        <v>-0.16700000000000001</v>
      </c>
    </row>
    <row r="56" spans="1:5" x14ac:dyDescent="0.2">
      <c r="A56" s="45" t="s">
        <v>393</v>
      </c>
      <c r="B56" s="24">
        <v>2.125</v>
      </c>
      <c r="D56" s="54" t="s">
        <v>430</v>
      </c>
      <c r="E56" s="24">
        <v>-0.35799999999999998</v>
      </c>
    </row>
    <row r="57" spans="1:5" x14ac:dyDescent="0.2">
      <c r="A57" s="45" t="s">
        <v>129</v>
      </c>
      <c r="B57" s="24">
        <v>2.069</v>
      </c>
      <c r="D57" s="54" t="s">
        <v>686</v>
      </c>
      <c r="E57" s="24">
        <v>-0.37</v>
      </c>
    </row>
    <row r="58" spans="1:5" x14ac:dyDescent="0.2">
      <c r="A58" s="45" t="s">
        <v>523</v>
      </c>
      <c r="B58" s="24">
        <v>1.9379999999999999</v>
      </c>
      <c r="D58" s="54" t="s">
        <v>615</v>
      </c>
      <c r="E58" s="24">
        <v>-0.379</v>
      </c>
    </row>
    <row r="59" spans="1:5" x14ac:dyDescent="0.2">
      <c r="A59" s="45" t="s">
        <v>667</v>
      </c>
      <c r="B59" s="24">
        <v>1.8959999999999999</v>
      </c>
      <c r="D59" s="54" t="s">
        <v>693</v>
      </c>
      <c r="E59" s="24">
        <v>-0.44400000000000001</v>
      </c>
    </row>
    <row r="60" spans="1:5" x14ac:dyDescent="0.2">
      <c r="A60" s="45" t="s">
        <v>558</v>
      </c>
      <c r="B60" s="24">
        <v>1.8320000000000001</v>
      </c>
      <c r="D60" s="54" t="s">
        <v>182</v>
      </c>
      <c r="E60" s="24">
        <v>-1.2469999999999999</v>
      </c>
    </row>
    <row r="61" spans="1:5" x14ac:dyDescent="0.2">
      <c r="A61" s="45" t="s">
        <v>579</v>
      </c>
      <c r="B61" s="24">
        <v>1.79</v>
      </c>
      <c r="D61" s="44" t="s">
        <v>786</v>
      </c>
      <c r="E61" s="24">
        <v>46.672000000000018</v>
      </c>
    </row>
    <row r="62" spans="1:5" x14ac:dyDescent="0.2">
      <c r="A62" s="45" t="s">
        <v>453</v>
      </c>
      <c r="B62" s="24">
        <v>1.7</v>
      </c>
      <c r="D62" s="54" t="s">
        <v>177</v>
      </c>
      <c r="E62" s="24">
        <v>36.47</v>
      </c>
    </row>
    <row r="63" spans="1:5" x14ac:dyDescent="0.2">
      <c r="A63" s="45" t="s">
        <v>234</v>
      </c>
      <c r="B63" s="24">
        <v>1.625</v>
      </c>
      <c r="D63" s="54" t="s">
        <v>660</v>
      </c>
      <c r="E63" s="24">
        <v>3.3250000000000002</v>
      </c>
    </row>
    <row r="64" spans="1:5" x14ac:dyDescent="0.2">
      <c r="A64" s="45" t="s">
        <v>229</v>
      </c>
      <c r="B64" s="24">
        <v>1.6239999999999999</v>
      </c>
      <c r="D64" s="54" t="s">
        <v>650</v>
      </c>
      <c r="E64" s="24">
        <v>2.4260000000000002</v>
      </c>
    </row>
    <row r="65" spans="1:5" x14ac:dyDescent="0.2">
      <c r="A65" s="45" t="s">
        <v>630</v>
      </c>
      <c r="B65" s="24">
        <v>1.6139999999999999</v>
      </c>
      <c r="D65" s="54" t="s">
        <v>667</v>
      </c>
      <c r="E65" s="24">
        <v>1.8959999999999999</v>
      </c>
    </row>
    <row r="66" spans="1:5" x14ac:dyDescent="0.2">
      <c r="A66" s="45" t="s">
        <v>180</v>
      </c>
      <c r="B66" s="24">
        <v>1.6040000000000001</v>
      </c>
      <c r="D66" s="54" t="s">
        <v>665</v>
      </c>
      <c r="E66" s="24">
        <v>1.8380000000000001</v>
      </c>
    </row>
    <row r="67" spans="1:5" x14ac:dyDescent="0.2">
      <c r="A67" s="45" t="s">
        <v>156</v>
      </c>
      <c r="B67" s="24">
        <v>1.5190000000000001</v>
      </c>
      <c r="D67" s="54" t="s">
        <v>654</v>
      </c>
      <c r="E67" s="24">
        <v>1.1919999999999999</v>
      </c>
    </row>
    <row r="68" spans="1:5" x14ac:dyDescent="0.2">
      <c r="A68" s="45" t="s">
        <v>194</v>
      </c>
      <c r="B68" s="24">
        <v>1.4940000000000002</v>
      </c>
      <c r="D68" s="54" t="s">
        <v>466</v>
      </c>
      <c r="E68" s="24">
        <v>0.77</v>
      </c>
    </row>
    <row r="69" spans="1:5" x14ac:dyDescent="0.2">
      <c r="A69" s="45" t="s">
        <v>482</v>
      </c>
      <c r="B69" s="24">
        <v>1.4810000000000001</v>
      </c>
      <c r="D69" s="54" t="s">
        <v>637</v>
      </c>
      <c r="E69" s="24">
        <v>0.65400000000000003</v>
      </c>
    </row>
    <row r="70" spans="1:5" x14ac:dyDescent="0.2">
      <c r="A70" s="45" t="s">
        <v>357</v>
      </c>
      <c r="B70" s="24">
        <v>1.47</v>
      </c>
      <c r="D70" s="54" t="s">
        <v>644</v>
      </c>
      <c r="E70" s="24">
        <v>0.61599999999999999</v>
      </c>
    </row>
    <row r="71" spans="1:5" x14ac:dyDescent="0.2">
      <c r="A71" s="45" t="s">
        <v>321</v>
      </c>
      <c r="B71" s="24">
        <v>1.427</v>
      </c>
      <c r="D71" s="54" t="s">
        <v>351</v>
      </c>
      <c r="E71" s="24">
        <v>0.51400000000000001</v>
      </c>
    </row>
    <row r="72" spans="1:5" x14ac:dyDescent="0.2">
      <c r="A72" s="45" t="s">
        <v>538</v>
      </c>
      <c r="B72" s="24">
        <v>1.371</v>
      </c>
      <c r="D72" s="54" t="s">
        <v>635</v>
      </c>
      <c r="E72" s="24">
        <v>0.38400000000000001</v>
      </c>
    </row>
    <row r="73" spans="1:5" x14ac:dyDescent="0.2">
      <c r="A73" s="45" t="s">
        <v>598</v>
      </c>
      <c r="B73" s="24">
        <v>1.371</v>
      </c>
      <c r="D73" s="54" t="s">
        <v>656</v>
      </c>
      <c r="E73" s="24">
        <v>0.25</v>
      </c>
    </row>
    <row r="74" spans="1:5" x14ac:dyDescent="0.2">
      <c r="A74" s="45" t="s">
        <v>285</v>
      </c>
      <c r="B74" s="24">
        <v>1.359</v>
      </c>
      <c r="D74" s="54" t="s">
        <v>630</v>
      </c>
      <c r="E74" s="24">
        <v>0.224</v>
      </c>
    </row>
    <row r="75" spans="1:5" x14ac:dyDescent="0.2">
      <c r="A75" s="45" t="s">
        <v>76</v>
      </c>
      <c r="B75" s="24">
        <v>1.3460000000000001</v>
      </c>
      <c r="D75" s="54" t="s">
        <v>658</v>
      </c>
      <c r="E75" s="24">
        <v>-5.6000000000000001E-2</v>
      </c>
    </row>
    <row r="76" spans="1:5" x14ac:dyDescent="0.2">
      <c r="A76" s="45" t="s">
        <v>519</v>
      </c>
      <c r="B76" s="24">
        <v>1.3180000000000001</v>
      </c>
      <c r="D76" s="54" t="s">
        <v>662</v>
      </c>
      <c r="E76" s="24">
        <v>-0.22800000000000001</v>
      </c>
    </row>
    <row r="77" spans="1:5" x14ac:dyDescent="0.2">
      <c r="A77" s="45" t="s">
        <v>451</v>
      </c>
      <c r="B77" s="24">
        <v>1.3049999999999999</v>
      </c>
      <c r="D77" s="54" t="s">
        <v>626</v>
      </c>
      <c r="E77" s="24">
        <v>-0.248</v>
      </c>
    </row>
    <row r="78" spans="1:5" x14ac:dyDescent="0.2">
      <c r="A78" s="45" t="s">
        <v>542</v>
      </c>
      <c r="B78" s="24">
        <v>1.2969999999999999</v>
      </c>
      <c r="D78" s="54" t="s">
        <v>640</v>
      </c>
      <c r="E78" s="24">
        <v>-0.29599999999999999</v>
      </c>
    </row>
    <row r="79" spans="1:5" x14ac:dyDescent="0.2">
      <c r="A79" s="45" t="s">
        <v>261</v>
      </c>
      <c r="B79" s="24">
        <v>1.2609999999999999</v>
      </c>
      <c r="D79" s="54" t="s">
        <v>623</v>
      </c>
      <c r="E79" s="24">
        <v>-0.32400000000000001</v>
      </c>
    </row>
    <row r="80" spans="1:5" x14ac:dyDescent="0.2">
      <c r="A80" s="45" t="s">
        <v>164</v>
      </c>
      <c r="B80" s="24">
        <v>1.204</v>
      </c>
      <c r="D80" s="54" t="s">
        <v>642</v>
      </c>
      <c r="E80" s="24">
        <v>-0.376</v>
      </c>
    </row>
    <row r="81" spans="1:5" x14ac:dyDescent="0.2">
      <c r="A81" s="45" t="s">
        <v>654</v>
      </c>
      <c r="B81" s="24">
        <v>1.1919999999999999</v>
      </c>
      <c r="D81" s="54" t="s">
        <v>652</v>
      </c>
      <c r="E81" s="24">
        <v>-0.72399999999999998</v>
      </c>
    </row>
    <row r="82" spans="1:5" x14ac:dyDescent="0.2">
      <c r="A82" s="45" t="s">
        <v>507</v>
      </c>
      <c r="B82" s="24">
        <v>1.1659999999999999</v>
      </c>
      <c r="D82" s="54" t="s">
        <v>646</v>
      </c>
      <c r="E82" s="24">
        <v>-1.635</v>
      </c>
    </row>
    <row r="83" spans="1:5" x14ac:dyDescent="0.2">
      <c r="A83" s="45" t="s">
        <v>159</v>
      </c>
      <c r="B83" s="24">
        <v>1.139</v>
      </c>
      <c r="D83" s="44" t="s">
        <v>787</v>
      </c>
      <c r="E83" s="24">
        <v>205.83900000000003</v>
      </c>
    </row>
    <row r="84" spans="1:5" x14ac:dyDescent="0.2">
      <c r="A84" s="45" t="s">
        <v>509</v>
      </c>
      <c r="B84" s="24">
        <v>1.1359999999999999</v>
      </c>
      <c r="D84" s="54" t="s">
        <v>29</v>
      </c>
      <c r="E84" s="24">
        <v>194.18600000000001</v>
      </c>
    </row>
    <row r="85" spans="1:5" x14ac:dyDescent="0.2">
      <c r="A85" s="45" t="s">
        <v>347</v>
      </c>
      <c r="B85" s="24">
        <v>1.1140000000000001</v>
      </c>
      <c r="D85" s="54" t="s">
        <v>609</v>
      </c>
      <c r="E85" s="24">
        <v>5.5449999999999999</v>
      </c>
    </row>
    <row r="86" spans="1:5" x14ac:dyDescent="0.2">
      <c r="A86" s="45" t="s">
        <v>379</v>
      </c>
      <c r="B86" s="24">
        <v>1.105</v>
      </c>
      <c r="D86" s="54" t="s">
        <v>190</v>
      </c>
      <c r="E86" s="24">
        <v>3.714</v>
      </c>
    </row>
    <row r="87" spans="1:5" x14ac:dyDescent="0.2">
      <c r="A87" s="45" t="s">
        <v>673</v>
      </c>
      <c r="B87" s="24">
        <v>1.099</v>
      </c>
      <c r="D87" s="54" t="s">
        <v>602</v>
      </c>
      <c r="E87" s="24">
        <v>2.3040000000000003</v>
      </c>
    </row>
    <row r="88" spans="1:5" x14ac:dyDescent="0.2">
      <c r="A88" s="45" t="s">
        <v>410</v>
      </c>
      <c r="B88" s="24">
        <v>1.071</v>
      </c>
      <c r="D88" s="54" t="s">
        <v>484</v>
      </c>
      <c r="E88" s="24">
        <v>1.236</v>
      </c>
    </row>
    <row r="89" spans="1:5" x14ac:dyDescent="0.2">
      <c r="A89" s="45" t="s">
        <v>270</v>
      </c>
      <c r="B89" s="24">
        <v>1.0569999999999999</v>
      </c>
      <c r="D89" s="54" t="s">
        <v>579</v>
      </c>
      <c r="E89" s="24">
        <v>1.0640000000000001</v>
      </c>
    </row>
    <row r="90" spans="1:5" x14ac:dyDescent="0.2">
      <c r="A90" s="45" t="s">
        <v>304</v>
      </c>
      <c r="B90" s="24">
        <v>1.0249999999999999</v>
      </c>
      <c r="D90" s="54" t="s">
        <v>507</v>
      </c>
      <c r="E90" s="24">
        <v>0.81599999999999995</v>
      </c>
    </row>
    <row r="91" spans="1:5" x14ac:dyDescent="0.2">
      <c r="A91" s="45" t="s">
        <v>345</v>
      </c>
      <c r="B91" s="24">
        <v>1.0089999999999999</v>
      </c>
      <c r="D91" s="54" t="s">
        <v>600</v>
      </c>
      <c r="E91" s="24">
        <v>0.27900000000000003</v>
      </c>
    </row>
    <row r="92" spans="1:5" x14ac:dyDescent="0.2">
      <c r="A92" s="45" t="s">
        <v>214</v>
      </c>
      <c r="B92" s="24">
        <v>0.98599999999999999</v>
      </c>
      <c r="D92" s="54" t="s">
        <v>598</v>
      </c>
      <c r="E92" s="24">
        <v>0.111</v>
      </c>
    </row>
    <row r="93" spans="1:5" x14ac:dyDescent="0.2">
      <c r="A93" s="45" t="s">
        <v>476</v>
      </c>
      <c r="B93" s="24">
        <v>0.98099999999999998</v>
      </c>
      <c r="D93" s="54" t="s">
        <v>621</v>
      </c>
      <c r="E93" s="24">
        <v>0.108</v>
      </c>
    </row>
    <row r="94" spans="1:5" x14ac:dyDescent="0.2">
      <c r="A94" s="45" t="s">
        <v>406</v>
      </c>
      <c r="B94" s="24">
        <v>0.97</v>
      </c>
      <c r="D94" s="54" t="s">
        <v>611</v>
      </c>
      <c r="E94" s="24">
        <v>9.6000000000000002E-2</v>
      </c>
    </row>
    <row r="95" spans="1:5" x14ac:dyDescent="0.2">
      <c r="A95" s="45" t="s">
        <v>548</v>
      </c>
      <c r="B95" s="24">
        <v>0.94399999999999995</v>
      </c>
      <c r="D95" s="54" t="s">
        <v>617</v>
      </c>
      <c r="E95" s="24">
        <v>-0.17299999999999999</v>
      </c>
    </row>
    <row r="96" spans="1:5" x14ac:dyDescent="0.2">
      <c r="A96" s="45" t="s">
        <v>466</v>
      </c>
      <c r="B96" s="24">
        <v>0.93800000000000006</v>
      </c>
      <c r="D96" s="54" t="s">
        <v>626</v>
      </c>
      <c r="E96" s="24">
        <v>-0.17599999999999999</v>
      </c>
    </row>
    <row r="97" spans="1:5" x14ac:dyDescent="0.2">
      <c r="A97" s="45" t="s">
        <v>319</v>
      </c>
      <c r="B97" s="24">
        <v>0.92300000000000004</v>
      </c>
      <c r="D97" s="54" t="s">
        <v>628</v>
      </c>
      <c r="E97" s="24">
        <v>-0.20200000000000001</v>
      </c>
    </row>
    <row r="98" spans="1:5" x14ac:dyDescent="0.2">
      <c r="A98" s="45" t="s">
        <v>125</v>
      </c>
      <c r="B98" s="24">
        <v>0.89700000000000002</v>
      </c>
      <c r="D98" s="54" t="s">
        <v>535</v>
      </c>
      <c r="E98" s="24">
        <v>-0.38600000000000001</v>
      </c>
    </row>
    <row r="99" spans="1:5" x14ac:dyDescent="0.2">
      <c r="A99" s="45" t="s">
        <v>437</v>
      </c>
      <c r="B99" s="24">
        <v>0.89</v>
      </c>
      <c r="D99" s="54" t="s">
        <v>623</v>
      </c>
      <c r="E99" s="24">
        <v>-0.44600000000000001</v>
      </c>
    </row>
    <row r="100" spans="1:5" x14ac:dyDescent="0.2">
      <c r="A100" s="45" t="s">
        <v>118</v>
      </c>
      <c r="B100" s="24">
        <v>0.8899999999999999</v>
      </c>
      <c r="D100" s="54" t="s">
        <v>619</v>
      </c>
      <c r="E100" s="24">
        <v>-0.45</v>
      </c>
    </row>
    <row r="101" spans="1:5" x14ac:dyDescent="0.2">
      <c r="A101" s="45" t="s">
        <v>241</v>
      </c>
      <c r="B101" s="24">
        <v>0.86299999999999999</v>
      </c>
      <c r="D101" s="54" t="s">
        <v>613</v>
      </c>
      <c r="E101" s="24">
        <v>-0.53200000000000003</v>
      </c>
    </row>
    <row r="102" spans="1:5" x14ac:dyDescent="0.2">
      <c r="A102" s="45" t="s">
        <v>256</v>
      </c>
      <c r="B102" s="24">
        <v>0.84199999999999997</v>
      </c>
      <c r="D102" s="54" t="s">
        <v>606</v>
      </c>
      <c r="E102" s="24">
        <v>-0.60899999999999999</v>
      </c>
    </row>
    <row r="103" spans="1:5" x14ac:dyDescent="0.2">
      <c r="A103" s="45" t="s">
        <v>349</v>
      </c>
      <c r="B103" s="24">
        <v>0.80500000000000005</v>
      </c>
      <c r="D103" s="54" t="s">
        <v>615</v>
      </c>
      <c r="E103" s="24">
        <v>-0.64600000000000002</v>
      </c>
    </row>
    <row r="104" spans="1:5" x14ac:dyDescent="0.2">
      <c r="A104" s="45" t="s">
        <v>381</v>
      </c>
      <c r="B104" s="24">
        <v>0.80400000000000005</v>
      </c>
      <c r="D104" s="44" t="s">
        <v>788</v>
      </c>
      <c r="E104" s="24">
        <v>120.85800000000002</v>
      </c>
    </row>
    <row r="105" spans="1:5" x14ac:dyDescent="0.2">
      <c r="A105" s="45" t="s">
        <v>199</v>
      </c>
      <c r="B105" s="24">
        <v>0.79600000000000004</v>
      </c>
      <c r="D105" s="54" t="s">
        <v>29</v>
      </c>
      <c r="E105" s="24">
        <v>122.056</v>
      </c>
    </row>
    <row r="106" spans="1:5" x14ac:dyDescent="0.2">
      <c r="A106" s="45" t="s">
        <v>635</v>
      </c>
      <c r="B106" s="24">
        <v>0.78200000000000003</v>
      </c>
      <c r="D106" s="54" t="s">
        <v>207</v>
      </c>
      <c r="E106" s="24">
        <v>1.6619999999999999</v>
      </c>
    </row>
    <row r="107" spans="1:5" x14ac:dyDescent="0.2">
      <c r="A107" s="45" t="s">
        <v>588</v>
      </c>
      <c r="B107" s="24">
        <v>0.77300000000000002</v>
      </c>
      <c r="D107" s="54" t="s">
        <v>588</v>
      </c>
      <c r="E107" s="24">
        <v>0.77300000000000002</v>
      </c>
    </row>
    <row r="108" spans="1:5" x14ac:dyDescent="0.2">
      <c r="A108" s="45" t="s">
        <v>404</v>
      </c>
      <c r="B108" s="24">
        <v>0.76700000000000002</v>
      </c>
      <c r="D108" s="54" t="s">
        <v>579</v>
      </c>
      <c r="E108" s="24">
        <v>0.72599999999999998</v>
      </c>
    </row>
    <row r="109" spans="1:5" x14ac:dyDescent="0.2">
      <c r="A109" s="45" t="s">
        <v>161</v>
      </c>
      <c r="B109" s="24">
        <v>0.76400000000000001</v>
      </c>
      <c r="D109" s="54" t="s">
        <v>572</v>
      </c>
      <c r="E109" s="24">
        <v>0.54600000000000004</v>
      </c>
    </row>
    <row r="110" spans="1:5" x14ac:dyDescent="0.2">
      <c r="A110" s="45" t="s">
        <v>175</v>
      </c>
      <c r="B110" s="24">
        <v>0.75600000000000001</v>
      </c>
      <c r="D110" s="54" t="s">
        <v>564</v>
      </c>
      <c r="E110" s="24">
        <v>0.42399999999999999</v>
      </c>
    </row>
    <row r="111" spans="1:5" x14ac:dyDescent="0.2">
      <c r="A111" s="45" t="s">
        <v>730</v>
      </c>
      <c r="B111" s="24">
        <v>0.74099999999999999</v>
      </c>
      <c r="D111" s="54" t="s">
        <v>568</v>
      </c>
      <c r="E111" s="24">
        <v>0.39100000000000001</v>
      </c>
    </row>
    <row r="112" spans="1:5" x14ac:dyDescent="0.2">
      <c r="A112" s="45" t="s">
        <v>38</v>
      </c>
      <c r="B112" s="24">
        <v>0.73799999999999999</v>
      </c>
      <c r="D112" s="54" t="s">
        <v>558</v>
      </c>
      <c r="E112" s="24">
        <v>0.28999999999999998</v>
      </c>
    </row>
    <row r="113" spans="1:5" x14ac:dyDescent="0.2">
      <c r="A113" s="45" t="s">
        <v>220</v>
      </c>
      <c r="B113" s="24">
        <v>0.73399999999999999</v>
      </c>
      <c r="D113" s="54" t="s">
        <v>586</v>
      </c>
      <c r="E113" s="24">
        <v>0.17199999999999999</v>
      </c>
    </row>
    <row r="114" spans="1:5" x14ac:dyDescent="0.2">
      <c r="A114" s="45" t="s">
        <v>513</v>
      </c>
      <c r="B114" s="24">
        <v>0.72799999999999998</v>
      </c>
      <c r="D114" s="54" t="s">
        <v>590</v>
      </c>
      <c r="E114" s="24">
        <v>-0.13600000000000001</v>
      </c>
    </row>
    <row r="115" spans="1:5" x14ac:dyDescent="0.2">
      <c r="A115" s="45" t="s">
        <v>500</v>
      </c>
      <c r="B115" s="24">
        <v>0.64700000000000002</v>
      </c>
      <c r="D115" s="54" t="s">
        <v>574</v>
      </c>
      <c r="E115" s="24">
        <v>-0.28199999999999997</v>
      </c>
    </row>
    <row r="116" spans="1:5" x14ac:dyDescent="0.2">
      <c r="A116" s="45" t="s">
        <v>644</v>
      </c>
      <c r="B116" s="24">
        <v>0.61599999999999999</v>
      </c>
      <c r="D116" s="54" t="s">
        <v>507</v>
      </c>
      <c r="E116" s="24">
        <v>-0.38200000000000001</v>
      </c>
    </row>
    <row r="117" spans="1:5" x14ac:dyDescent="0.2">
      <c r="A117" s="45" t="s">
        <v>204</v>
      </c>
      <c r="B117" s="24">
        <v>0.61099999999999999</v>
      </c>
      <c r="D117" s="54" t="s">
        <v>562</v>
      </c>
      <c r="E117" s="24">
        <v>-0.42599999999999999</v>
      </c>
    </row>
    <row r="118" spans="1:5" x14ac:dyDescent="0.2">
      <c r="A118" s="45" t="s">
        <v>135</v>
      </c>
      <c r="B118" s="24">
        <v>0.6</v>
      </c>
      <c r="D118" s="54" t="s">
        <v>581</v>
      </c>
      <c r="E118" s="24">
        <v>-0.45099999999999996</v>
      </c>
    </row>
    <row r="119" spans="1:5" x14ac:dyDescent="0.2">
      <c r="A119" s="45" t="s">
        <v>275</v>
      </c>
      <c r="B119" s="24">
        <v>0.59499999999999997</v>
      </c>
      <c r="D119" s="54" t="s">
        <v>560</v>
      </c>
      <c r="E119" s="24">
        <v>-0.501</v>
      </c>
    </row>
    <row r="120" spans="1:5" x14ac:dyDescent="0.2">
      <c r="A120" s="45" t="s">
        <v>691</v>
      </c>
      <c r="B120" s="24">
        <v>0.58199999999999996</v>
      </c>
      <c r="D120" s="54" t="s">
        <v>73</v>
      </c>
      <c r="E120" s="24">
        <v>-0.57199999999999995</v>
      </c>
    </row>
    <row r="121" spans="1:5" x14ac:dyDescent="0.2">
      <c r="A121" s="45" t="s">
        <v>515</v>
      </c>
      <c r="B121" s="24">
        <v>0.58199999999999996</v>
      </c>
      <c r="D121" s="54" t="s">
        <v>577</v>
      </c>
      <c r="E121" s="24">
        <v>-0.60899999999999999</v>
      </c>
    </row>
    <row r="122" spans="1:5" x14ac:dyDescent="0.2">
      <c r="A122" s="45" t="s">
        <v>271</v>
      </c>
      <c r="B122" s="24">
        <v>0.57599999999999996</v>
      </c>
      <c r="D122" s="54" t="s">
        <v>592</v>
      </c>
      <c r="E122" s="24">
        <v>-0.626</v>
      </c>
    </row>
    <row r="123" spans="1:5" x14ac:dyDescent="0.2">
      <c r="A123" s="45" t="s">
        <v>443</v>
      </c>
      <c r="B123" s="24">
        <v>0.56499999999999995</v>
      </c>
      <c r="D123" s="54" t="s">
        <v>566</v>
      </c>
      <c r="E123" s="24">
        <v>-0.66900000000000004</v>
      </c>
    </row>
    <row r="124" spans="1:5" x14ac:dyDescent="0.2">
      <c r="A124" s="45" t="s">
        <v>312</v>
      </c>
      <c r="B124" s="24">
        <v>0.56399999999999995</v>
      </c>
      <c r="D124" s="54" t="s">
        <v>570</v>
      </c>
      <c r="E124" s="24">
        <v>-0.74</v>
      </c>
    </row>
    <row r="125" spans="1:5" x14ac:dyDescent="0.2">
      <c r="A125" s="45" t="s">
        <v>540</v>
      </c>
      <c r="B125" s="24">
        <v>0.56299999999999994</v>
      </c>
      <c r="D125" s="54" t="s">
        <v>555</v>
      </c>
      <c r="E125" s="24">
        <v>-0.78800000000000003</v>
      </c>
    </row>
    <row r="126" spans="1:5" x14ac:dyDescent="0.2">
      <c r="A126" s="45" t="s">
        <v>572</v>
      </c>
      <c r="B126" s="24">
        <v>0.54600000000000004</v>
      </c>
      <c r="D126" s="44" t="s">
        <v>789</v>
      </c>
      <c r="E126" s="24">
        <v>75.786000000000001</v>
      </c>
    </row>
    <row r="127" spans="1:5" x14ac:dyDescent="0.2">
      <c r="A127" s="45" t="s">
        <v>273</v>
      </c>
      <c r="B127" s="24">
        <v>0.53900000000000003</v>
      </c>
      <c r="D127" s="54" t="s">
        <v>414</v>
      </c>
      <c r="E127" s="24">
        <v>23.548000000000002</v>
      </c>
    </row>
    <row r="128" spans="1:5" x14ac:dyDescent="0.2">
      <c r="A128" s="45" t="s">
        <v>202</v>
      </c>
      <c r="B128" s="24">
        <v>0.502</v>
      </c>
      <c r="D128" s="54" t="s">
        <v>525</v>
      </c>
      <c r="E128" s="24">
        <v>12.504</v>
      </c>
    </row>
    <row r="129" spans="1:5" x14ac:dyDescent="0.2">
      <c r="A129" s="45" t="s">
        <v>728</v>
      </c>
      <c r="B129" s="24">
        <v>0.501</v>
      </c>
      <c r="D129" s="54" t="s">
        <v>300</v>
      </c>
      <c r="E129" s="24">
        <v>10.602</v>
      </c>
    </row>
    <row r="130" spans="1:5" x14ac:dyDescent="0.2">
      <c r="A130" s="45" t="s">
        <v>336</v>
      </c>
      <c r="B130" s="24">
        <v>0.496</v>
      </c>
      <c r="D130" s="54" t="s">
        <v>528</v>
      </c>
      <c r="E130" s="24">
        <v>5.8579999999999997</v>
      </c>
    </row>
    <row r="131" spans="1:5" x14ac:dyDescent="0.2">
      <c r="A131" s="45" t="s">
        <v>138</v>
      </c>
      <c r="B131" s="24">
        <v>0.48099999999999998</v>
      </c>
      <c r="D131" s="54" t="s">
        <v>217</v>
      </c>
      <c r="E131" s="24">
        <v>5.024</v>
      </c>
    </row>
    <row r="132" spans="1:5" x14ac:dyDescent="0.2">
      <c r="A132" s="45" t="s">
        <v>445</v>
      </c>
      <c r="B132" s="24">
        <v>0.47299999999999998</v>
      </c>
      <c r="D132" s="54" t="s">
        <v>531</v>
      </c>
      <c r="E132" s="24">
        <v>4.6719999999999997</v>
      </c>
    </row>
    <row r="133" spans="1:5" x14ac:dyDescent="0.2">
      <c r="A133" s="45" t="s">
        <v>121</v>
      </c>
      <c r="B133" s="24">
        <v>0.45700000000000002</v>
      </c>
      <c r="D133" s="54" t="s">
        <v>552</v>
      </c>
      <c r="E133" s="24">
        <v>2.915</v>
      </c>
    </row>
    <row r="134" spans="1:5" x14ac:dyDescent="0.2">
      <c r="A134" s="45" t="s">
        <v>330</v>
      </c>
      <c r="B134" s="24">
        <v>0.439</v>
      </c>
      <c r="D134" s="54" t="s">
        <v>279</v>
      </c>
      <c r="E134" s="24">
        <v>2.6709999999999998</v>
      </c>
    </row>
    <row r="135" spans="1:5" x14ac:dyDescent="0.2">
      <c r="A135" s="45" t="s">
        <v>382</v>
      </c>
      <c r="B135" s="24">
        <v>0.433</v>
      </c>
      <c r="D135" s="54" t="s">
        <v>521</v>
      </c>
      <c r="E135" s="24">
        <v>1.6919999999999999</v>
      </c>
    </row>
    <row r="136" spans="1:5" x14ac:dyDescent="0.2">
      <c r="A136" s="45" t="s">
        <v>505</v>
      </c>
      <c r="B136" s="24">
        <v>0.42899999999999999</v>
      </c>
      <c r="D136" s="54" t="s">
        <v>351</v>
      </c>
      <c r="E136" s="24">
        <v>1.3879999999999999</v>
      </c>
    </row>
    <row r="137" spans="1:5" x14ac:dyDescent="0.2">
      <c r="A137" s="45" t="s">
        <v>564</v>
      </c>
      <c r="B137" s="24">
        <v>0.42399999999999999</v>
      </c>
      <c r="D137" s="54" t="s">
        <v>538</v>
      </c>
      <c r="E137" s="24">
        <v>1.371</v>
      </c>
    </row>
    <row r="138" spans="1:5" x14ac:dyDescent="0.2">
      <c r="A138" s="45" t="s">
        <v>210</v>
      </c>
      <c r="B138" s="24">
        <v>0.41</v>
      </c>
      <c r="D138" s="54" t="s">
        <v>542</v>
      </c>
      <c r="E138" s="24">
        <v>1.2969999999999999</v>
      </c>
    </row>
    <row r="139" spans="1:5" x14ac:dyDescent="0.2">
      <c r="A139" s="45" t="s">
        <v>282</v>
      </c>
      <c r="B139" s="24">
        <v>0.39700000000000002</v>
      </c>
      <c r="D139" s="54" t="s">
        <v>379</v>
      </c>
      <c r="E139" s="24">
        <v>1.258</v>
      </c>
    </row>
    <row r="140" spans="1:5" x14ac:dyDescent="0.2">
      <c r="A140" s="45" t="s">
        <v>568</v>
      </c>
      <c r="B140" s="24">
        <v>0.39100000000000001</v>
      </c>
      <c r="D140" s="54" t="s">
        <v>548</v>
      </c>
      <c r="E140" s="24">
        <v>0.94399999999999995</v>
      </c>
    </row>
    <row r="141" spans="1:5" x14ac:dyDescent="0.2">
      <c r="A141" s="45" t="s">
        <v>717</v>
      </c>
      <c r="B141" s="24">
        <v>0.38400000000000001</v>
      </c>
      <c r="D141" s="54" t="s">
        <v>540</v>
      </c>
      <c r="E141" s="24">
        <v>0.56299999999999994</v>
      </c>
    </row>
    <row r="142" spans="1:5" x14ac:dyDescent="0.2">
      <c r="A142" s="45" t="s">
        <v>487</v>
      </c>
      <c r="B142" s="24">
        <v>0.36499999999999999</v>
      </c>
      <c r="D142" s="54" t="s">
        <v>546</v>
      </c>
      <c r="E142" s="24">
        <v>0.28300000000000003</v>
      </c>
    </row>
    <row r="143" spans="1:5" x14ac:dyDescent="0.2">
      <c r="A143" s="45" t="s">
        <v>684</v>
      </c>
      <c r="B143" s="24">
        <v>0.36399999999999999</v>
      </c>
      <c r="D143" s="54" t="s">
        <v>550</v>
      </c>
      <c r="E143" s="24">
        <v>6.6000000000000003E-2</v>
      </c>
    </row>
    <row r="144" spans="1:5" x14ac:dyDescent="0.2">
      <c r="A144" s="45" t="s">
        <v>363</v>
      </c>
      <c r="B144" s="24">
        <v>0.36299999999999999</v>
      </c>
      <c r="D144" s="54" t="s">
        <v>533</v>
      </c>
      <c r="E144" s="24">
        <v>2.1000000000000001E-2</v>
      </c>
    </row>
    <row r="145" spans="1:5" x14ac:dyDescent="0.2">
      <c r="A145" s="45" t="s">
        <v>495</v>
      </c>
      <c r="B145" s="24">
        <v>0.36</v>
      </c>
      <c r="D145" s="54" t="s">
        <v>355</v>
      </c>
      <c r="E145" s="24">
        <v>-0.23899999999999999</v>
      </c>
    </row>
    <row r="146" spans="1:5" x14ac:dyDescent="0.2">
      <c r="A146" s="45" t="s">
        <v>402</v>
      </c>
      <c r="B146" s="24">
        <v>0.35399999999999998</v>
      </c>
      <c r="D146" s="54" t="s">
        <v>535</v>
      </c>
      <c r="E146" s="24">
        <v>-0.312</v>
      </c>
    </row>
    <row r="147" spans="1:5" x14ac:dyDescent="0.2">
      <c r="A147" s="45" t="s">
        <v>511</v>
      </c>
      <c r="B147" s="24">
        <v>0.33600000000000002</v>
      </c>
      <c r="D147" s="54" t="s">
        <v>544</v>
      </c>
      <c r="E147" s="24">
        <v>-0.34</v>
      </c>
    </row>
    <row r="148" spans="1:5" x14ac:dyDescent="0.2">
      <c r="A148" s="45" t="s">
        <v>323</v>
      </c>
      <c r="B148" s="24">
        <v>0.31799999999999995</v>
      </c>
      <c r="D148" s="44" t="s">
        <v>790</v>
      </c>
      <c r="E148" s="24">
        <v>51.170999999999999</v>
      </c>
    </row>
    <row r="149" spans="1:5" x14ac:dyDescent="0.2">
      <c r="A149" s="45" t="s">
        <v>353</v>
      </c>
      <c r="B149" s="24">
        <v>0.312</v>
      </c>
      <c r="D149" s="54" t="s">
        <v>177</v>
      </c>
      <c r="E149" s="24">
        <v>14.853999999999999</v>
      </c>
    </row>
    <row r="150" spans="1:5" x14ac:dyDescent="0.2">
      <c r="A150" s="45" t="s">
        <v>168</v>
      </c>
      <c r="B150" s="24">
        <v>0.30599999999999999</v>
      </c>
      <c r="D150" s="54" t="s">
        <v>497</v>
      </c>
      <c r="E150" s="24">
        <v>8.3119999999999994</v>
      </c>
    </row>
    <row r="151" spans="1:5" x14ac:dyDescent="0.2">
      <c r="A151" s="45" t="s">
        <v>368</v>
      </c>
      <c r="B151" s="24">
        <v>0.29399999999999998</v>
      </c>
      <c r="D151" s="54" t="s">
        <v>493</v>
      </c>
      <c r="E151" s="24">
        <v>4.5579999999999998</v>
      </c>
    </row>
    <row r="152" spans="1:5" x14ac:dyDescent="0.2">
      <c r="A152" s="45" t="s">
        <v>314</v>
      </c>
      <c r="B152" s="24">
        <v>0.28999999999999998</v>
      </c>
      <c r="D152" s="54" t="s">
        <v>277</v>
      </c>
      <c r="E152" s="24">
        <v>2.9870000000000001</v>
      </c>
    </row>
    <row r="153" spans="1:5" x14ac:dyDescent="0.2">
      <c r="A153" s="45" t="s">
        <v>264</v>
      </c>
      <c r="B153" s="24">
        <v>0.28899999999999998</v>
      </c>
      <c r="D153" s="54" t="s">
        <v>207</v>
      </c>
      <c r="E153" s="24">
        <v>2.33</v>
      </c>
    </row>
    <row r="154" spans="1:5" x14ac:dyDescent="0.2">
      <c r="A154" s="45" t="s">
        <v>546</v>
      </c>
      <c r="B154" s="24">
        <v>0.28300000000000003</v>
      </c>
      <c r="D154" s="54" t="s">
        <v>517</v>
      </c>
      <c r="E154" s="24">
        <v>2.23</v>
      </c>
    </row>
    <row r="155" spans="1:5" x14ac:dyDescent="0.2">
      <c r="A155" s="45" t="s">
        <v>468</v>
      </c>
      <c r="B155" s="24">
        <v>0.28100000000000003</v>
      </c>
      <c r="D155" s="54" t="s">
        <v>521</v>
      </c>
      <c r="E155" s="24">
        <v>2.073</v>
      </c>
    </row>
    <row r="156" spans="1:5" x14ac:dyDescent="0.2">
      <c r="A156" s="45" t="s">
        <v>600</v>
      </c>
      <c r="B156" s="24">
        <v>0.27900000000000003</v>
      </c>
      <c r="D156" s="54" t="s">
        <v>489</v>
      </c>
      <c r="E156" s="24">
        <v>2.0169999999999999</v>
      </c>
    </row>
    <row r="157" spans="1:5" x14ac:dyDescent="0.2">
      <c r="A157" s="45" t="s">
        <v>386</v>
      </c>
      <c r="B157" s="24">
        <v>0.25800000000000001</v>
      </c>
      <c r="D157" s="54" t="s">
        <v>523</v>
      </c>
      <c r="E157" s="24">
        <v>1.9379999999999999</v>
      </c>
    </row>
    <row r="158" spans="1:5" x14ac:dyDescent="0.2">
      <c r="A158" s="45" t="s">
        <v>656</v>
      </c>
      <c r="B158" s="24">
        <v>0.25</v>
      </c>
      <c r="D158" s="54" t="s">
        <v>482</v>
      </c>
      <c r="E158" s="24">
        <v>1.4810000000000001</v>
      </c>
    </row>
    <row r="159" spans="1:5" x14ac:dyDescent="0.2">
      <c r="A159" s="45" t="s">
        <v>40</v>
      </c>
      <c r="B159" s="24">
        <v>0.249</v>
      </c>
      <c r="D159" s="54" t="s">
        <v>519</v>
      </c>
      <c r="E159" s="24">
        <v>1.3180000000000001</v>
      </c>
    </row>
    <row r="160" spans="1:5" x14ac:dyDescent="0.2">
      <c r="A160" s="45" t="s">
        <v>287</v>
      </c>
      <c r="B160" s="24">
        <v>0.23899999999999999</v>
      </c>
      <c r="D160" s="54" t="s">
        <v>484</v>
      </c>
      <c r="E160" s="24">
        <v>1.1879999999999999</v>
      </c>
    </row>
    <row r="161" spans="1:5" x14ac:dyDescent="0.2">
      <c r="A161" s="45" t="s">
        <v>52</v>
      </c>
      <c r="B161" s="24">
        <v>0.23600000000000002</v>
      </c>
      <c r="D161" s="54" t="s">
        <v>509</v>
      </c>
      <c r="E161" s="24">
        <v>1.1359999999999999</v>
      </c>
    </row>
    <row r="162" spans="1:5" x14ac:dyDescent="0.2">
      <c r="A162" s="45" t="s">
        <v>123</v>
      </c>
      <c r="B162" s="24">
        <v>0.23499999999999999</v>
      </c>
      <c r="D162" s="54" t="s">
        <v>507</v>
      </c>
      <c r="E162" s="24">
        <v>0.73199999999999998</v>
      </c>
    </row>
    <row r="163" spans="1:5" x14ac:dyDescent="0.2">
      <c r="A163" s="45" t="s">
        <v>491</v>
      </c>
      <c r="B163" s="24">
        <v>0.23</v>
      </c>
      <c r="D163" s="54" t="s">
        <v>513</v>
      </c>
      <c r="E163" s="24">
        <v>0.72799999999999998</v>
      </c>
    </row>
    <row r="164" spans="1:5" x14ac:dyDescent="0.2">
      <c r="A164" s="45" t="s">
        <v>310</v>
      </c>
      <c r="B164" s="24">
        <v>0.21199999999999999</v>
      </c>
      <c r="D164" s="54" t="s">
        <v>417</v>
      </c>
      <c r="E164" s="24">
        <v>0.68799999999999994</v>
      </c>
    </row>
    <row r="165" spans="1:5" x14ac:dyDescent="0.2">
      <c r="A165" s="45" t="s">
        <v>417</v>
      </c>
      <c r="B165" s="24">
        <v>0.18099999999999994</v>
      </c>
      <c r="D165" s="54" t="s">
        <v>500</v>
      </c>
      <c r="E165" s="24">
        <v>0.64700000000000002</v>
      </c>
    </row>
    <row r="166" spans="1:5" x14ac:dyDescent="0.2">
      <c r="A166" s="45" t="s">
        <v>173</v>
      </c>
      <c r="B166" s="24">
        <v>0.17699999999999999</v>
      </c>
      <c r="D166" s="54" t="s">
        <v>515</v>
      </c>
      <c r="E166" s="24">
        <v>0.58199999999999996</v>
      </c>
    </row>
    <row r="167" spans="1:5" x14ac:dyDescent="0.2">
      <c r="A167" s="45" t="s">
        <v>586</v>
      </c>
      <c r="B167" s="24">
        <v>0.17199999999999999</v>
      </c>
      <c r="D167" s="54" t="s">
        <v>505</v>
      </c>
      <c r="E167" s="24">
        <v>0.42899999999999999</v>
      </c>
    </row>
    <row r="168" spans="1:5" x14ac:dyDescent="0.2">
      <c r="A168" s="45" t="s">
        <v>734</v>
      </c>
      <c r="B168" s="24">
        <v>0.153</v>
      </c>
      <c r="D168" s="54" t="s">
        <v>487</v>
      </c>
      <c r="E168" s="24">
        <v>0.36499999999999999</v>
      </c>
    </row>
    <row r="169" spans="1:5" x14ac:dyDescent="0.2">
      <c r="A169" s="45" t="s">
        <v>246</v>
      </c>
      <c r="B169" s="24">
        <v>0.15</v>
      </c>
      <c r="D169" s="54" t="s">
        <v>495</v>
      </c>
      <c r="E169" s="24">
        <v>0.36</v>
      </c>
    </row>
    <row r="170" spans="1:5" x14ac:dyDescent="0.2">
      <c r="A170" s="45" t="s">
        <v>370</v>
      </c>
      <c r="B170" s="24">
        <v>0.14599999999999999</v>
      </c>
      <c r="D170" s="54" t="s">
        <v>511</v>
      </c>
      <c r="E170" s="24">
        <v>0.33600000000000002</v>
      </c>
    </row>
    <row r="171" spans="1:5" x14ac:dyDescent="0.2">
      <c r="A171" s="45" t="s">
        <v>459</v>
      </c>
      <c r="B171" s="24">
        <v>0.14399999999999999</v>
      </c>
      <c r="D171" s="54" t="s">
        <v>491</v>
      </c>
      <c r="E171" s="24">
        <v>0.23</v>
      </c>
    </row>
    <row r="172" spans="1:5" x14ac:dyDescent="0.2">
      <c r="A172" s="45" t="s">
        <v>89</v>
      </c>
      <c r="B172" s="24">
        <v>0.128</v>
      </c>
      <c r="D172" s="54" t="s">
        <v>502</v>
      </c>
      <c r="E172" s="24">
        <v>-0.34799999999999998</v>
      </c>
    </row>
    <row r="173" spans="1:5" x14ac:dyDescent="0.2">
      <c r="A173" s="45" t="s">
        <v>699</v>
      </c>
      <c r="B173" s="24">
        <v>0.126</v>
      </c>
      <c r="D173" s="44" t="s">
        <v>791</v>
      </c>
      <c r="E173" s="24">
        <v>39.352999999999994</v>
      </c>
    </row>
    <row r="174" spans="1:5" x14ac:dyDescent="0.2">
      <c r="A174" s="45" t="s">
        <v>108</v>
      </c>
      <c r="B174" s="24">
        <v>0.122</v>
      </c>
      <c r="D174" s="54" t="s">
        <v>91</v>
      </c>
      <c r="E174" s="24">
        <v>9.14</v>
      </c>
    </row>
    <row r="175" spans="1:5" x14ac:dyDescent="0.2">
      <c r="A175" s="45" t="s">
        <v>688</v>
      </c>
      <c r="B175" s="24">
        <v>0.11</v>
      </c>
      <c r="D175" s="54" t="s">
        <v>292</v>
      </c>
      <c r="E175" s="24">
        <v>6.9119999999999999</v>
      </c>
    </row>
    <row r="176" spans="1:5" x14ac:dyDescent="0.2">
      <c r="A176" s="45" t="s">
        <v>621</v>
      </c>
      <c r="B176" s="24">
        <v>0.108</v>
      </c>
      <c r="D176" s="54" t="s">
        <v>464</v>
      </c>
      <c r="E176" s="24">
        <v>4.923</v>
      </c>
    </row>
    <row r="177" spans="1:5" x14ac:dyDescent="0.2">
      <c r="A177" s="45" t="s">
        <v>63</v>
      </c>
      <c r="B177" s="24">
        <v>9.9000000000000005E-2</v>
      </c>
      <c r="D177" s="54" t="s">
        <v>184</v>
      </c>
      <c r="E177" s="24">
        <v>4.5149999999999997</v>
      </c>
    </row>
    <row r="178" spans="1:5" x14ac:dyDescent="0.2">
      <c r="A178" s="45" t="s">
        <v>611</v>
      </c>
      <c r="B178" s="24">
        <v>9.6000000000000002E-2</v>
      </c>
      <c r="D178" s="54" t="s">
        <v>448</v>
      </c>
      <c r="E178" s="24">
        <v>3.8570000000000002</v>
      </c>
    </row>
    <row r="179" spans="1:5" x14ac:dyDescent="0.2">
      <c r="A179" s="45" t="s">
        <v>428</v>
      </c>
      <c r="B179" s="24">
        <v>9.1999999999999998E-2</v>
      </c>
      <c r="D179" s="54" t="s">
        <v>441</v>
      </c>
      <c r="E179" s="24">
        <v>3.2839999999999998</v>
      </c>
    </row>
    <row r="180" spans="1:5" x14ac:dyDescent="0.2">
      <c r="A180" s="45" t="s">
        <v>46</v>
      </c>
      <c r="B180" s="24">
        <v>7.6999999999999999E-2</v>
      </c>
      <c r="D180" s="54" t="s">
        <v>395</v>
      </c>
      <c r="E180" s="24">
        <v>2.226</v>
      </c>
    </row>
    <row r="181" spans="1:5" x14ac:dyDescent="0.2">
      <c r="A181" s="45" t="s">
        <v>471</v>
      </c>
      <c r="B181" s="24">
        <v>7.0000000000000007E-2</v>
      </c>
      <c r="D181" s="54" t="s">
        <v>453</v>
      </c>
      <c r="E181" s="24">
        <v>1.7</v>
      </c>
    </row>
    <row r="182" spans="1:5" x14ac:dyDescent="0.2">
      <c r="A182" s="45" t="s">
        <v>550</v>
      </c>
      <c r="B182" s="24">
        <v>6.6000000000000003E-2</v>
      </c>
      <c r="D182" s="54" t="s">
        <v>451</v>
      </c>
      <c r="E182" s="24">
        <v>1.3049999999999999</v>
      </c>
    </row>
    <row r="183" spans="1:5" x14ac:dyDescent="0.2">
      <c r="A183" s="45" t="s">
        <v>187</v>
      </c>
      <c r="B183" s="24">
        <v>0.06</v>
      </c>
      <c r="D183" s="54" t="s">
        <v>476</v>
      </c>
      <c r="E183" s="24">
        <v>0.98099999999999998</v>
      </c>
    </row>
    <row r="184" spans="1:5" x14ac:dyDescent="0.2">
      <c r="A184" s="45" t="s">
        <v>343</v>
      </c>
      <c r="B184" s="24">
        <v>4.9000000000000002E-2</v>
      </c>
      <c r="D184" s="54" t="s">
        <v>443</v>
      </c>
      <c r="E184" s="24">
        <v>0.56499999999999995</v>
      </c>
    </row>
    <row r="185" spans="1:5" x14ac:dyDescent="0.2">
      <c r="A185" s="45" t="s">
        <v>60</v>
      </c>
      <c r="B185" s="24">
        <v>3.6999999999999998E-2</v>
      </c>
      <c r="D185" s="54" t="s">
        <v>445</v>
      </c>
      <c r="E185" s="24">
        <v>0.47299999999999998</v>
      </c>
    </row>
    <row r="186" spans="1:5" x14ac:dyDescent="0.2">
      <c r="A186" s="45" t="s">
        <v>87</v>
      </c>
      <c r="B186" s="24">
        <v>3.5999999999999997E-2</v>
      </c>
      <c r="D186" s="54" t="s">
        <v>468</v>
      </c>
      <c r="E186" s="24">
        <v>0.28100000000000003</v>
      </c>
    </row>
    <row r="187" spans="1:5" x14ac:dyDescent="0.2">
      <c r="A187" s="45" t="s">
        <v>480</v>
      </c>
      <c r="B187" s="24">
        <v>2.9000000000000001E-2</v>
      </c>
      <c r="D187" s="54" t="s">
        <v>466</v>
      </c>
      <c r="E187" s="24">
        <v>0.16800000000000001</v>
      </c>
    </row>
    <row r="188" spans="1:5" x14ac:dyDescent="0.2">
      <c r="A188" s="45" t="s">
        <v>533</v>
      </c>
      <c r="B188" s="24">
        <v>2.1000000000000001E-2</v>
      </c>
      <c r="D188" s="54" t="s">
        <v>459</v>
      </c>
      <c r="E188" s="24">
        <v>0.14399999999999999</v>
      </c>
    </row>
    <row r="189" spans="1:5" x14ac:dyDescent="0.2">
      <c r="A189" s="45" t="s">
        <v>725</v>
      </c>
      <c r="B189" s="24">
        <v>1.7999999999999999E-2</v>
      </c>
      <c r="D189" s="54" t="s">
        <v>439</v>
      </c>
      <c r="E189" s="24">
        <v>9.0999999999999998E-2</v>
      </c>
    </row>
    <row r="190" spans="1:5" x14ac:dyDescent="0.2">
      <c r="A190" s="45" t="s">
        <v>695</v>
      </c>
      <c r="B190" s="24">
        <v>1.0999999999999999E-2</v>
      </c>
      <c r="D190" s="54" t="s">
        <v>471</v>
      </c>
      <c r="E190" s="24">
        <v>7.0000000000000007E-2</v>
      </c>
    </row>
    <row r="191" spans="1:5" x14ac:dyDescent="0.2">
      <c r="A191" s="45" t="s">
        <v>146</v>
      </c>
      <c r="B191" s="24">
        <v>-6.0000000000000001E-3</v>
      </c>
      <c r="D191" s="54" t="s">
        <v>480</v>
      </c>
      <c r="E191" s="24">
        <v>2.9000000000000001E-2</v>
      </c>
    </row>
    <row r="192" spans="1:5" x14ac:dyDescent="0.2">
      <c r="A192" s="45" t="s">
        <v>669</v>
      </c>
      <c r="B192" s="24">
        <v>-6.0000000000000001E-3</v>
      </c>
      <c r="D192" s="54" t="s">
        <v>359</v>
      </c>
      <c r="E192" s="24">
        <v>-2.4E-2</v>
      </c>
    </row>
    <row r="193" spans="1:5" x14ac:dyDescent="0.2">
      <c r="A193" s="45" t="s">
        <v>316</v>
      </c>
      <c r="B193" s="24">
        <v>-1.2999999999999999E-2</v>
      </c>
      <c r="D193" s="54" t="s">
        <v>478</v>
      </c>
      <c r="E193" s="24">
        <v>-9.1999999999999998E-2</v>
      </c>
    </row>
    <row r="194" spans="1:5" x14ac:dyDescent="0.2">
      <c r="A194" s="45" t="s">
        <v>54</v>
      </c>
      <c r="B194" s="24">
        <v>-2.1000000000000001E-2</v>
      </c>
      <c r="D194" s="54" t="s">
        <v>456</v>
      </c>
      <c r="E194" s="24">
        <v>-0.20100000000000001</v>
      </c>
    </row>
    <row r="195" spans="1:5" x14ac:dyDescent="0.2">
      <c r="A195" s="45" t="s">
        <v>144</v>
      </c>
      <c r="B195" s="24">
        <v>-2.5999999999999999E-2</v>
      </c>
      <c r="D195" s="54" t="s">
        <v>462</v>
      </c>
      <c r="E195" s="24">
        <v>-0.45200000000000001</v>
      </c>
    </row>
    <row r="196" spans="1:5" x14ac:dyDescent="0.2">
      <c r="A196" s="45" t="s">
        <v>328</v>
      </c>
      <c r="B196" s="24">
        <v>-2.8000000000000001E-2</v>
      </c>
      <c r="D196" s="54" t="s">
        <v>473</v>
      </c>
      <c r="E196" s="24">
        <v>-0.54200000000000004</v>
      </c>
    </row>
    <row r="197" spans="1:5" x14ac:dyDescent="0.2">
      <c r="A197" s="45" t="s">
        <v>254</v>
      </c>
      <c r="B197" s="24">
        <v>-4.8000000000000001E-2</v>
      </c>
      <c r="D197" s="44" t="s">
        <v>792</v>
      </c>
      <c r="E197" s="24">
        <v>19.90499999999999</v>
      </c>
    </row>
    <row r="198" spans="1:5" x14ac:dyDescent="0.2">
      <c r="A198" s="45" t="s">
        <v>70</v>
      </c>
      <c r="B198" s="24">
        <v>-4.9000000000000016E-2</v>
      </c>
      <c r="D198" s="54" t="s">
        <v>414</v>
      </c>
      <c r="E198" s="24">
        <v>5.702</v>
      </c>
    </row>
    <row r="199" spans="1:5" x14ac:dyDescent="0.2">
      <c r="A199" s="45" t="s">
        <v>678</v>
      </c>
      <c r="B199" s="24">
        <v>-5.0999999999999997E-2</v>
      </c>
      <c r="D199" s="54" t="s">
        <v>152</v>
      </c>
      <c r="E199" s="24">
        <v>4.7869999999999999</v>
      </c>
    </row>
    <row r="200" spans="1:5" x14ac:dyDescent="0.2">
      <c r="A200" s="45" t="s">
        <v>658</v>
      </c>
      <c r="B200" s="24">
        <v>-5.6000000000000001E-2</v>
      </c>
      <c r="D200" s="54" t="s">
        <v>400</v>
      </c>
      <c r="E200" s="24">
        <v>3.4769999999999999</v>
      </c>
    </row>
    <row r="201" spans="1:5" x14ac:dyDescent="0.2">
      <c r="A201" s="45" t="s">
        <v>697</v>
      </c>
      <c r="B201" s="24">
        <v>-5.800000000000001E-2</v>
      </c>
      <c r="D201" s="54" t="s">
        <v>190</v>
      </c>
      <c r="E201" s="24">
        <v>2.8580000000000001</v>
      </c>
    </row>
    <row r="202" spans="1:5" x14ac:dyDescent="0.2">
      <c r="A202" s="45" t="s">
        <v>435</v>
      </c>
      <c r="B202" s="24">
        <v>-6.2E-2</v>
      </c>
      <c r="D202" s="54" t="s">
        <v>395</v>
      </c>
      <c r="E202" s="24">
        <v>1.31</v>
      </c>
    </row>
    <row r="203" spans="1:5" x14ac:dyDescent="0.2">
      <c r="A203" s="45" t="s">
        <v>26</v>
      </c>
      <c r="B203" s="24">
        <v>-7.0999999999999994E-2</v>
      </c>
      <c r="D203" s="54" t="s">
        <v>410</v>
      </c>
      <c r="E203" s="24">
        <v>1.071</v>
      </c>
    </row>
    <row r="204" spans="1:5" x14ac:dyDescent="0.2">
      <c r="A204" s="45" t="s">
        <v>35</v>
      </c>
      <c r="B204" s="24">
        <v>-8.6999999999999994E-2</v>
      </c>
      <c r="D204" s="54" t="s">
        <v>357</v>
      </c>
      <c r="E204" s="24">
        <v>0.97199999999999998</v>
      </c>
    </row>
    <row r="205" spans="1:5" x14ac:dyDescent="0.2">
      <c r="A205" s="45" t="s">
        <v>478</v>
      </c>
      <c r="B205" s="24">
        <v>-9.1999999999999998E-2</v>
      </c>
      <c r="D205" s="54" t="s">
        <v>406</v>
      </c>
      <c r="E205" s="24">
        <v>0.97</v>
      </c>
    </row>
    <row r="206" spans="1:5" x14ac:dyDescent="0.2">
      <c r="A206" s="45" t="s">
        <v>81</v>
      </c>
      <c r="B206" s="24">
        <v>-9.5000000000000001E-2</v>
      </c>
      <c r="D206" s="54" t="s">
        <v>437</v>
      </c>
      <c r="E206" s="24">
        <v>0.89</v>
      </c>
    </row>
    <row r="207" spans="1:5" x14ac:dyDescent="0.2">
      <c r="A207" s="45" t="s">
        <v>231</v>
      </c>
      <c r="B207" s="24">
        <v>-0.11799999999999999</v>
      </c>
      <c r="D207" s="54" t="s">
        <v>404</v>
      </c>
      <c r="E207" s="24">
        <v>0.76700000000000002</v>
      </c>
    </row>
    <row r="208" spans="1:5" x14ac:dyDescent="0.2">
      <c r="A208" s="45" t="s">
        <v>10</v>
      </c>
      <c r="B208" s="24">
        <v>-0.11899999999999999</v>
      </c>
      <c r="D208" s="54" t="s">
        <v>402</v>
      </c>
      <c r="E208" s="24">
        <v>0.35399999999999998</v>
      </c>
    </row>
    <row r="209" spans="1:5" x14ac:dyDescent="0.2">
      <c r="A209" s="45" t="s">
        <v>6</v>
      </c>
      <c r="B209" s="24">
        <v>-0.125</v>
      </c>
      <c r="D209" s="54" t="s">
        <v>428</v>
      </c>
      <c r="E209" s="24">
        <v>9.1999999999999998E-2</v>
      </c>
    </row>
    <row r="210" spans="1:5" x14ac:dyDescent="0.2">
      <c r="A210" s="45" t="s">
        <v>704</v>
      </c>
      <c r="B210" s="24">
        <v>-0.125</v>
      </c>
      <c r="D210" s="54" t="s">
        <v>379</v>
      </c>
      <c r="E210" s="24">
        <v>-4.4999999999999998E-2</v>
      </c>
    </row>
    <row r="211" spans="1:5" x14ac:dyDescent="0.2">
      <c r="A211" s="45" t="s">
        <v>412</v>
      </c>
      <c r="B211" s="24">
        <v>-0.13200000000000001</v>
      </c>
      <c r="D211" s="54" t="s">
        <v>435</v>
      </c>
      <c r="E211" s="24">
        <v>-6.2E-2</v>
      </c>
    </row>
    <row r="212" spans="1:5" x14ac:dyDescent="0.2">
      <c r="A212" s="45" t="s">
        <v>419</v>
      </c>
      <c r="B212" s="24">
        <v>-0.13400000000000001</v>
      </c>
      <c r="D212" s="54" t="s">
        <v>412</v>
      </c>
      <c r="E212" s="24">
        <v>-0.13200000000000001</v>
      </c>
    </row>
    <row r="213" spans="1:5" x14ac:dyDescent="0.2">
      <c r="A213" s="45" t="s">
        <v>590</v>
      </c>
      <c r="B213" s="24">
        <v>-0.13600000000000001</v>
      </c>
      <c r="D213" s="54" t="s">
        <v>419</v>
      </c>
      <c r="E213" s="24">
        <v>-0.13400000000000001</v>
      </c>
    </row>
    <row r="214" spans="1:5" x14ac:dyDescent="0.2">
      <c r="A214" s="45" t="s">
        <v>97</v>
      </c>
      <c r="B214" s="24">
        <v>-0.14399999999999999</v>
      </c>
      <c r="D214" s="54" t="s">
        <v>408</v>
      </c>
      <c r="E214" s="24">
        <v>-0.16700000000000001</v>
      </c>
    </row>
    <row r="215" spans="1:5" x14ac:dyDescent="0.2">
      <c r="A215" s="45" t="s">
        <v>57</v>
      </c>
      <c r="B215" s="24">
        <v>-0.16200000000000001</v>
      </c>
      <c r="D215" s="54" t="s">
        <v>417</v>
      </c>
      <c r="E215" s="24">
        <v>-0.50700000000000001</v>
      </c>
    </row>
    <row r="216" spans="1:5" x14ac:dyDescent="0.2">
      <c r="A216" s="45" t="s">
        <v>68</v>
      </c>
      <c r="B216" s="24">
        <v>-0.16400000000000001</v>
      </c>
      <c r="D216" s="54" t="s">
        <v>421</v>
      </c>
      <c r="E216" s="24">
        <v>-0.51</v>
      </c>
    </row>
    <row r="217" spans="1:5" x14ac:dyDescent="0.2">
      <c r="A217" s="45" t="s">
        <v>676</v>
      </c>
      <c r="B217" s="24">
        <v>-0.16700000000000001</v>
      </c>
      <c r="D217" s="54" t="s">
        <v>430</v>
      </c>
      <c r="E217" s="24">
        <v>-0.52400000000000002</v>
      </c>
    </row>
    <row r="218" spans="1:5" x14ac:dyDescent="0.2">
      <c r="A218" s="45" t="s">
        <v>408</v>
      </c>
      <c r="B218" s="24">
        <v>-0.16700000000000001</v>
      </c>
      <c r="D218" s="54" t="s">
        <v>425</v>
      </c>
      <c r="E218" s="24">
        <v>-0.54100000000000004</v>
      </c>
    </row>
    <row r="219" spans="1:5" x14ac:dyDescent="0.2">
      <c r="A219" s="45" t="s">
        <v>43</v>
      </c>
      <c r="B219" s="24">
        <v>-0.17100000000000001</v>
      </c>
      <c r="D219" s="54" t="s">
        <v>423</v>
      </c>
      <c r="E219" s="24">
        <v>-0.72299999999999998</v>
      </c>
    </row>
    <row r="220" spans="1:5" x14ac:dyDescent="0.2">
      <c r="A220" s="45" t="s">
        <v>617</v>
      </c>
      <c r="B220" s="24">
        <v>-0.17499999999999999</v>
      </c>
      <c r="D220" s="44" t="s">
        <v>793</v>
      </c>
      <c r="E220" s="24">
        <v>41.510999999999996</v>
      </c>
    </row>
    <row r="221" spans="1:5" x14ac:dyDescent="0.2">
      <c r="A221" s="45" t="s">
        <v>456</v>
      </c>
      <c r="B221" s="24">
        <v>-0.20100000000000001</v>
      </c>
      <c r="D221" s="54" t="s">
        <v>20</v>
      </c>
      <c r="E221" s="24">
        <v>18.096</v>
      </c>
    </row>
    <row r="222" spans="1:5" x14ac:dyDescent="0.2">
      <c r="A222" s="45" t="s">
        <v>628</v>
      </c>
      <c r="B222" s="24">
        <v>-0.20200000000000001</v>
      </c>
      <c r="D222" s="54" t="s">
        <v>374</v>
      </c>
      <c r="E222" s="24">
        <v>5.7460000000000004</v>
      </c>
    </row>
    <row r="223" spans="1:5" x14ac:dyDescent="0.2">
      <c r="A223" s="45" t="s">
        <v>341</v>
      </c>
      <c r="B223" s="24">
        <v>-0.20899999999999999</v>
      </c>
      <c r="D223" s="54" t="s">
        <v>384</v>
      </c>
      <c r="E223" s="24">
        <v>5.1429999999999998</v>
      </c>
    </row>
    <row r="224" spans="1:5" x14ac:dyDescent="0.2">
      <c r="A224" s="45" t="s">
        <v>23</v>
      </c>
      <c r="B224" s="24">
        <v>-0.20899999999999999</v>
      </c>
      <c r="D224" s="54" t="s">
        <v>361</v>
      </c>
      <c r="E224" s="24">
        <v>3.7229999999999999</v>
      </c>
    </row>
    <row r="225" spans="1:5" x14ac:dyDescent="0.2">
      <c r="A225" s="45" t="s">
        <v>17</v>
      </c>
      <c r="B225" s="24">
        <v>-0.21099999999999999</v>
      </c>
      <c r="D225" s="54" t="s">
        <v>372</v>
      </c>
      <c r="E225" s="24">
        <v>2.988</v>
      </c>
    </row>
    <row r="226" spans="1:5" x14ac:dyDescent="0.2">
      <c r="A226" s="45" t="s">
        <v>662</v>
      </c>
      <c r="B226" s="24">
        <v>-0.22800000000000001</v>
      </c>
      <c r="D226" s="54" t="s">
        <v>393</v>
      </c>
      <c r="E226" s="24">
        <v>2.125</v>
      </c>
    </row>
    <row r="227" spans="1:5" x14ac:dyDescent="0.2">
      <c r="A227" s="45" t="s">
        <v>14</v>
      </c>
      <c r="B227" s="24">
        <v>-0.248</v>
      </c>
      <c r="D227" s="54" t="s">
        <v>292</v>
      </c>
      <c r="E227" s="24">
        <v>1.595</v>
      </c>
    </row>
    <row r="228" spans="1:5" x14ac:dyDescent="0.2">
      <c r="A228" s="45" t="s">
        <v>104</v>
      </c>
      <c r="B228" s="24">
        <v>-0.26800000000000002</v>
      </c>
      <c r="D228" s="54" t="s">
        <v>381</v>
      </c>
      <c r="E228" s="24">
        <v>0.80400000000000005</v>
      </c>
    </row>
    <row r="229" spans="1:5" x14ac:dyDescent="0.2">
      <c r="A229" s="45" t="s">
        <v>223</v>
      </c>
      <c r="B229" s="24">
        <v>-0.27</v>
      </c>
      <c r="D229" s="54" t="s">
        <v>304</v>
      </c>
      <c r="E229" s="24">
        <v>0.74199999999999999</v>
      </c>
    </row>
    <row r="230" spans="1:5" x14ac:dyDescent="0.2">
      <c r="A230" s="45" t="s">
        <v>141</v>
      </c>
      <c r="B230" s="24">
        <v>-0.27300000000000002</v>
      </c>
      <c r="D230" s="54" t="s">
        <v>323</v>
      </c>
      <c r="E230" s="24">
        <v>0.59199999999999997</v>
      </c>
    </row>
    <row r="231" spans="1:5" x14ac:dyDescent="0.2">
      <c r="A231" s="45" t="s">
        <v>574</v>
      </c>
      <c r="B231" s="24">
        <v>-0.28199999999999997</v>
      </c>
      <c r="D231" s="54" t="s">
        <v>357</v>
      </c>
      <c r="E231" s="24">
        <v>0.498</v>
      </c>
    </row>
    <row r="232" spans="1:5" x14ac:dyDescent="0.2">
      <c r="A232" s="45" t="s">
        <v>132</v>
      </c>
      <c r="B232" s="24">
        <v>-0.28299999999999997</v>
      </c>
      <c r="D232" s="54" t="s">
        <v>382</v>
      </c>
      <c r="E232" s="24">
        <v>0.433</v>
      </c>
    </row>
    <row r="233" spans="1:5" x14ac:dyDescent="0.2">
      <c r="A233" s="45" t="s">
        <v>640</v>
      </c>
      <c r="B233" s="24">
        <v>-0.29599999999999999</v>
      </c>
      <c r="D233" s="54" t="s">
        <v>363</v>
      </c>
      <c r="E233" s="24">
        <v>0.36299999999999999</v>
      </c>
    </row>
    <row r="234" spans="1:5" x14ac:dyDescent="0.2">
      <c r="A234" s="45" t="s">
        <v>102</v>
      </c>
      <c r="B234" s="24">
        <v>-0.30299999999999999</v>
      </c>
      <c r="D234" s="54" t="s">
        <v>368</v>
      </c>
      <c r="E234" s="24">
        <v>0.29399999999999998</v>
      </c>
    </row>
    <row r="235" spans="1:5" x14ac:dyDescent="0.2">
      <c r="A235" s="45" t="s">
        <v>94</v>
      </c>
      <c r="B235" s="24">
        <v>-0.30399999999999999</v>
      </c>
      <c r="D235" s="54" t="s">
        <v>386</v>
      </c>
      <c r="E235" s="24">
        <v>0.25800000000000001</v>
      </c>
    </row>
    <row r="236" spans="1:5" x14ac:dyDescent="0.2">
      <c r="A236" s="45" t="s">
        <v>365</v>
      </c>
      <c r="B236" s="24">
        <v>-0.30499999999999999</v>
      </c>
      <c r="D236" s="54" t="s">
        <v>370</v>
      </c>
      <c r="E236" s="24">
        <v>0.14599999999999999</v>
      </c>
    </row>
    <row r="237" spans="1:5" x14ac:dyDescent="0.2">
      <c r="A237" s="45" t="s">
        <v>359</v>
      </c>
      <c r="B237" s="24">
        <v>-0.317</v>
      </c>
      <c r="D237" s="54" t="s">
        <v>379</v>
      </c>
      <c r="E237" s="24">
        <v>-0.108</v>
      </c>
    </row>
    <row r="238" spans="1:5" x14ac:dyDescent="0.2">
      <c r="A238" s="45" t="s">
        <v>706</v>
      </c>
      <c r="B238" s="24">
        <v>-0.33</v>
      </c>
      <c r="D238" s="54" t="s">
        <v>359</v>
      </c>
      <c r="E238" s="24">
        <v>-0.29299999999999998</v>
      </c>
    </row>
    <row r="239" spans="1:5" x14ac:dyDescent="0.2">
      <c r="A239" s="45" t="s">
        <v>732</v>
      </c>
      <c r="B239" s="24">
        <v>-0.33600000000000002</v>
      </c>
      <c r="D239" s="54" t="s">
        <v>365</v>
      </c>
      <c r="E239" s="24">
        <v>-0.30499999999999999</v>
      </c>
    </row>
    <row r="240" spans="1:5" x14ac:dyDescent="0.2">
      <c r="A240" s="45" t="s">
        <v>723</v>
      </c>
      <c r="B240" s="24">
        <v>-0.33700000000000002</v>
      </c>
      <c r="D240" s="54" t="s">
        <v>231</v>
      </c>
      <c r="E240" s="24">
        <v>-0.36</v>
      </c>
    </row>
    <row r="241" spans="1:5" x14ac:dyDescent="0.2">
      <c r="A241" s="45" t="s">
        <v>544</v>
      </c>
      <c r="B241" s="24">
        <v>-0.34</v>
      </c>
      <c r="D241" s="54" t="s">
        <v>376</v>
      </c>
      <c r="E241" s="24">
        <v>-0.96899999999999997</v>
      </c>
    </row>
    <row r="242" spans="1:5" x14ac:dyDescent="0.2">
      <c r="A242" s="45" t="s">
        <v>283</v>
      </c>
      <c r="B242" s="24">
        <v>-0.34200000000000003</v>
      </c>
      <c r="D242" s="44" t="s">
        <v>794</v>
      </c>
      <c r="E242" s="24">
        <v>21.997000000000003</v>
      </c>
    </row>
    <row r="243" spans="1:5" x14ac:dyDescent="0.2">
      <c r="A243" s="45" t="s">
        <v>154</v>
      </c>
      <c r="B243" s="24">
        <v>-0.34399999999999997</v>
      </c>
      <c r="D243" s="54" t="s">
        <v>29</v>
      </c>
      <c r="E243" s="24">
        <v>10.182</v>
      </c>
    </row>
    <row r="244" spans="1:5" x14ac:dyDescent="0.2">
      <c r="A244" s="45" t="s">
        <v>502</v>
      </c>
      <c r="B244" s="24">
        <v>-0.34799999999999998</v>
      </c>
      <c r="D244" s="54" t="s">
        <v>84</v>
      </c>
      <c r="E244" s="24">
        <v>8.0070000000000014</v>
      </c>
    </row>
    <row r="245" spans="1:5" x14ac:dyDescent="0.2">
      <c r="A245" s="45" t="s">
        <v>73</v>
      </c>
      <c r="B245" s="24">
        <v>-0.35199999999999998</v>
      </c>
      <c r="D245" s="54" t="s">
        <v>129</v>
      </c>
      <c r="E245" s="24">
        <v>2.1890000000000001</v>
      </c>
    </row>
    <row r="246" spans="1:5" x14ac:dyDescent="0.2">
      <c r="A246" s="45" t="s">
        <v>166</v>
      </c>
      <c r="B246" s="24">
        <v>-0.36099999999999999</v>
      </c>
      <c r="D246" s="54" t="s">
        <v>229</v>
      </c>
      <c r="E246" s="24">
        <v>1.1639999999999999</v>
      </c>
    </row>
    <row r="247" spans="1:5" x14ac:dyDescent="0.2">
      <c r="A247" s="45" t="s">
        <v>686</v>
      </c>
      <c r="B247" s="24">
        <v>-0.37</v>
      </c>
      <c r="D247" s="54" t="s">
        <v>347</v>
      </c>
      <c r="E247" s="24">
        <v>1.1140000000000001</v>
      </c>
    </row>
    <row r="248" spans="1:5" x14ac:dyDescent="0.2">
      <c r="A248" s="45" t="s">
        <v>713</v>
      </c>
      <c r="B248" s="24">
        <v>-0.376</v>
      </c>
      <c r="D248" s="54" t="s">
        <v>156</v>
      </c>
      <c r="E248" s="24">
        <v>1.0940000000000001</v>
      </c>
    </row>
    <row r="249" spans="1:5" x14ac:dyDescent="0.2">
      <c r="A249" s="45" t="s">
        <v>642</v>
      </c>
      <c r="B249" s="24">
        <v>-0.376</v>
      </c>
      <c r="D249" s="54" t="s">
        <v>345</v>
      </c>
      <c r="E249" s="24">
        <v>1.0089999999999999</v>
      </c>
    </row>
    <row r="250" spans="1:5" x14ac:dyDescent="0.2">
      <c r="A250" s="45" t="s">
        <v>266</v>
      </c>
      <c r="B250" s="24">
        <v>-0.39900000000000002</v>
      </c>
      <c r="D250" s="54" t="s">
        <v>349</v>
      </c>
      <c r="E250" s="24">
        <v>0.80500000000000005</v>
      </c>
    </row>
    <row r="251" spans="1:5" x14ac:dyDescent="0.2">
      <c r="A251" s="45" t="s">
        <v>243</v>
      </c>
      <c r="B251" s="24">
        <v>-0.41299999999999998</v>
      </c>
      <c r="D251" s="54" t="s">
        <v>336</v>
      </c>
      <c r="E251" s="24">
        <v>0.496</v>
      </c>
    </row>
    <row r="252" spans="1:5" x14ac:dyDescent="0.2">
      <c r="A252" s="45" t="s">
        <v>626</v>
      </c>
      <c r="B252" s="24">
        <v>-0.42399999999999999</v>
      </c>
      <c r="D252" s="54" t="s">
        <v>330</v>
      </c>
      <c r="E252" s="24">
        <v>0.439</v>
      </c>
    </row>
    <row r="253" spans="1:5" x14ac:dyDescent="0.2">
      <c r="A253" s="45" t="s">
        <v>562</v>
      </c>
      <c r="B253" s="24">
        <v>-0.42599999999999999</v>
      </c>
      <c r="D253" s="54" t="s">
        <v>353</v>
      </c>
      <c r="E253" s="24">
        <v>0.312</v>
      </c>
    </row>
    <row r="254" spans="1:5" x14ac:dyDescent="0.2">
      <c r="A254" s="45" t="s">
        <v>693</v>
      </c>
      <c r="B254" s="24">
        <v>-0.44400000000000001</v>
      </c>
      <c r="D254" s="54" t="s">
        <v>343</v>
      </c>
      <c r="E254" s="24">
        <v>4.9000000000000002E-2</v>
      </c>
    </row>
    <row r="255" spans="1:5" x14ac:dyDescent="0.2">
      <c r="A255" s="45" t="s">
        <v>111</v>
      </c>
      <c r="B255" s="24">
        <v>-0.44800000000000001</v>
      </c>
      <c r="D255" s="54" t="s">
        <v>351</v>
      </c>
      <c r="E255" s="24">
        <v>7.0000000000000001E-3</v>
      </c>
    </row>
    <row r="256" spans="1:5" x14ac:dyDescent="0.2">
      <c r="A256" s="45" t="s">
        <v>619</v>
      </c>
      <c r="B256" s="24">
        <v>-0.45</v>
      </c>
      <c r="D256" s="54" t="s">
        <v>328</v>
      </c>
      <c r="E256" s="24">
        <v>-2.8000000000000001E-2</v>
      </c>
    </row>
    <row r="257" spans="1:5" x14ac:dyDescent="0.2">
      <c r="A257" s="45" t="s">
        <v>581</v>
      </c>
      <c r="B257" s="24">
        <v>-0.45099999999999996</v>
      </c>
      <c r="D257" s="54" t="s">
        <v>341</v>
      </c>
      <c r="E257" s="24">
        <v>-0.20899999999999999</v>
      </c>
    </row>
    <row r="258" spans="1:5" x14ac:dyDescent="0.2">
      <c r="A258" s="45" t="s">
        <v>462</v>
      </c>
      <c r="B258" s="24">
        <v>-0.45200000000000001</v>
      </c>
      <c r="D258" s="54" t="s">
        <v>323</v>
      </c>
      <c r="E258" s="24">
        <v>-0.27400000000000002</v>
      </c>
    </row>
    <row r="259" spans="1:5" x14ac:dyDescent="0.2">
      <c r="A259" s="45" t="s">
        <v>711</v>
      </c>
      <c r="B259" s="24">
        <v>-0.45600000000000002</v>
      </c>
      <c r="D259" s="54" t="s">
        <v>355</v>
      </c>
      <c r="E259" s="24">
        <v>-0.40100000000000002</v>
      </c>
    </row>
    <row r="260" spans="1:5" x14ac:dyDescent="0.2">
      <c r="A260" s="45" t="s">
        <v>334</v>
      </c>
      <c r="B260" s="24">
        <v>-0.45700000000000002</v>
      </c>
      <c r="D260" s="54" t="s">
        <v>334</v>
      </c>
      <c r="E260" s="24">
        <v>-0.45700000000000002</v>
      </c>
    </row>
    <row r="261" spans="1:5" x14ac:dyDescent="0.2">
      <c r="A261" s="45" t="s">
        <v>65</v>
      </c>
      <c r="B261" s="24">
        <v>-0.46400000000000002</v>
      </c>
      <c r="D261" s="54" t="s">
        <v>338</v>
      </c>
      <c r="E261" s="24">
        <v>-0.50800000000000001</v>
      </c>
    </row>
    <row r="262" spans="1:5" x14ac:dyDescent="0.2">
      <c r="A262" s="45" t="s">
        <v>78</v>
      </c>
      <c r="B262" s="24">
        <v>-0.48599999999999999</v>
      </c>
      <c r="D262" s="54" t="s">
        <v>294</v>
      </c>
      <c r="E262" s="24">
        <v>-0.54100000000000004</v>
      </c>
    </row>
    <row r="263" spans="1:5" x14ac:dyDescent="0.2">
      <c r="A263" s="45" t="s">
        <v>560</v>
      </c>
      <c r="B263" s="24">
        <v>-0.501</v>
      </c>
      <c r="D263" s="54" t="s">
        <v>332</v>
      </c>
      <c r="E263" s="24">
        <v>-0.751</v>
      </c>
    </row>
    <row r="264" spans="1:5" x14ac:dyDescent="0.2">
      <c r="A264" s="45" t="s">
        <v>338</v>
      </c>
      <c r="B264" s="24">
        <v>-0.50800000000000001</v>
      </c>
      <c r="D264" s="54" t="s">
        <v>325</v>
      </c>
      <c r="E264" s="24">
        <v>-1.7010000000000001</v>
      </c>
    </row>
    <row r="265" spans="1:5" x14ac:dyDescent="0.2">
      <c r="A265" s="45" t="s">
        <v>290</v>
      </c>
      <c r="B265" s="24">
        <v>-0.50800000000000001</v>
      </c>
      <c r="D265" s="44" t="s">
        <v>795</v>
      </c>
      <c r="E265" s="24">
        <v>11.382000000000001</v>
      </c>
    </row>
    <row r="266" spans="1:5" x14ac:dyDescent="0.2">
      <c r="A266" s="45" t="s">
        <v>421</v>
      </c>
      <c r="B266" s="24">
        <v>-0.51</v>
      </c>
      <c r="D266" s="54" t="s">
        <v>297</v>
      </c>
      <c r="E266" s="24">
        <v>2.7</v>
      </c>
    </row>
    <row r="267" spans="1:5" x14ac:dyDescent="0.2">
      <c r="A267" s="45" t="s">
        <v>613</v>
      </c>
      <c r="B267" s="24">
        <v>-0.53200000000000003</v>
      </c>
      <c r="D267" s="54" t="s">
        <v>279</v>
      </c>
      <c r="E267" s="24">
        <v>1.94</v>
      </c>
    </row>
    <row r="268" spans="1:5" x14ac:dyDescent="0.2">
      <c r="A268" s="45" t="s">
        <v>425</v>
      </c>
      <c r="B268" s="24">
        <v>-0.54100000000000004</v>
      </c>
      <c r="D268" s="54" t="s">
        <v>300</v>
      </c>
      <c r="E268" s="24">
        <v>1.736</v>
      </c>
    </row>
    <row r="269" spans="1:5" x14ac:dyDescent="0.2">
      <c r="A269" s="45" t="s">
        <v>473</v>
      </c>
      <c r="B269" s="24">
        <v>-0.54200000000000004</v>
      </c>
      <c r="D269" s="54" t="s">
        <v>321</v>
      </c>
      <c r="E269" s="24">
        <v>1.427</v>
      </c>
    </row>
    <row r="270" spans="1:5" x14ac:dyDescent="0.2">
      <c r="A270" s="45" t="s">
        <v>149</v>
      </c>
      <c r="B270" s="24">
        <v>-0.55000000000000004</v>
      </c>
      <c r="D270" s="54" t="s">
        <v>285</v>
      </c>
      <c r="E270" s="24">
        <v>1.359</v>
      </c>
    </row>
    <row r="271" spans="1:5" x14ac:dyDescent="0.2">
      <c r="A271" s="45" t="s">
        <v>238</v>
      </c>
      <c r="B271" s="24">
        <v>-0.57499999999999996</v>
      </c>
      <c r="D271" s="54" t="s">
        <v>152</v>
      </c>
      <c r="E271" s="24">
        <v>1.1379999999999999</v>
      </c>
    </row>
    <row r="272" spans="1:5" x14ac:dyDescent="0.2">
      <c r="A272" s="45" t="s">
        <v>577</v>
      </c>
      <c r="B272" s="24">
        <v>-0.60899999999999999</v>
      </c>
      <c r="D272" s="54" t="s">
        <v>319</v>
      </c>
      <c r="E272" s="24">
        <v>0.92300000000000004</v>
      </c>
    </row>
    <row r="273" spans="1:5" x14ac:dyDescent="0.2">
      <c r="A273" s="45" t="s">
        <v>606</v>
      </c>
      <c r="B273" s="24">
        <v>-0.60899999999999999</v>
      </c>
      <c r="D273" s="54" t="s">
        <v>118</v>
      </c>
      <c r="E273" s="24">
        <v>0.69099999999999995</v>
      </c>
    </row>
    <row r="274" spans="1:5" x14ac:dyDescent="0.2">
      <c r="A274" s="45" t="s">
        <v>592</v>
      </c>
      <c r="B274" s="24">
        <v>-0.626</v>
      </c>
      <c r="D274" s="54" t="s">
        <v>277</v>
      </c>
      <c r="E274" s="24">
        <v>0.58499999999999996</v>
      </c>
    </row>
    <row r="275" spans="1:5" x14ac:dyDescent="0.2">
      <c r="A275" s="45" t="s">
        <v>106</v>
      </c>
      <c r="B275" s="24">
        <v>-0.627</v>
      </c>
      <c r="D275" s="54" t="s">
        <v>312</v>
      </c>
      <c r="E275" s="24">
        <v>0.56399999999999995</v>
      </c>
    </row>
    <row r="276" spans="1:5" x14ac:dyDescent="0.2">
      <c r="A276" s="45" t="s">
        <v>355</v>
      </c>
      <c r="B276" s="24">
        <v>-0.64</v>
      </c>
      <c r="D276" s="54" t="s">
        <v>282</v>
      </c>
      <c r="E276" s="24">
        <v>0.39700000000000002</v>
      </c>
    </row>
    <row r="277" spans="1:5" x14ac:dyDescent="0.2">
      <c r="A277" s="45" t="s">
        <v>192</v>
      </c>
      <c r="B277" s="24">
        <v>-0.64800000000000002</v>
      </c>
      <c r="D277" s="54" t="s">
        <v>314</v>
      </c>
      <c r="E277" s="24">
        <v>0.28999999999999998</v>
      </c>
    </row>
    <row r="278" spans="1:5" x14ac:dyDescent="0.2">
      <c r="A278" s="45" t="s">
        <v>566</v>
      </c>
      <c r="B278" s="24">
        <v>-0.66900000000000004</v>
      </c>
      <c r="D278" s="54" t="s">
        <v>304</v>
      </c>
      <c r="E278" s="24">
        <v>0.28299999999999997</v>
      </c>
    </row>
    <row r="279" spans="1:5" x14ac:dyDescent="0.2">
      <c r="A279" s="45" t="s">
        <v>535</v>
      </c>
      <c r="B279" s="24">
        <v>-0.67500000000000004</v>
      </c>
      <c r="D279" s="54" t="s">
        <v>287</v>
      </c>
      <c r="E279" s="24">
        <v>0.23899999999999999</v>
      </c>
    </row>
    <row r="280" spans="1:5" x14ac:dyDescent="0.2">
      <c r="A280" s="45" t="s">
        <v>249</v>
      </c>
      <c r="B280" s="24">
        <v>-0.72099999999999997</v>
      </c>
      <c r="D280" s="54" t="s">
        <v>310</v>
      </c>
      <c r="E280" s="24">
        <v>0.21199999999999999</v>
      </c>
    </row>
    <row r="281" spans="1:5" x14ac:dyDescent="0.2">
      <c r="A281" s="45" t="s">
        <v>423</v>
      </c>
      <c r="B281" s="24">
        <v>-0.72299999999999998</v>
      </c>
      <c r="D281" s="54" t="s">
        <v>292</v>
      </c>
      <c r="E281" s="24">
        <v>0.20300000000000001</v>
      </c>
    </row>
    <row r="282" spans="1:5" x14ac:dyDescent="0.2">
      <c r="A282" s="45" t="s">
        <v>570</v>
      </c>
      <c r="B282" s="24">
        <v>-0.74</v>
      </c>
      <c r="D282" s="54" t="s">
        <v>316</v>
      </c>
      <c r="E282" s="24">
        <v>-1.2999999999999999E-2</v>
      </c>
    </row>
    <row r="283" spans="1:5" x14ac:dyDescent="0.2">
      <c r="A283" s="45" t="s">
        <v>332</v>
      </c>
      <c r="B283" s="24">
        <v>-0.751</v>
      </c>
      <c r="D283" s="54" t="s">
        <v>266</v>
      </c>
      <c r="E283" s="24">
        <v>-0.27700000000000002</v>
      </c>
    </row>
    <row r="284" spans="1:5" x14ac:dyDescent="0.2">
      <c r="A284" s="45" t="s">
        <v>302</v>
      </c>
      <c r="B284" s="24">
        <v>-0.76100000000000001</v>
      </c>
      <c r="D284" s="54" t="s">
        <v>283</v>
      </c>
      <c r="E284" s="24">
        <v>-0.34200000000000003</v>
      </c>
    </row>
    <row r="285" spans="1:5" x14ac:dyDescent="0.2">
      <c r="A285" s="45" t="s">
        <v>623</v>
      </c>
      <c r="B285" s="24">
        <v>-0.77</v>
      </c>
      <c r="D285" s="54" t="s">
        <v>290</v>
      </c>
      <c r="E285" s="24">
        <v>-0.50800000000000001</v>
      </c>
    </row>
    <row r="286" spans="1:5" x14ac:dyDescent="0.2">
      <c r="A286" s="45" t="s">
        <v>49</v>
      </c>
      <c r="B286" s="24">
        <v>-0.77400000000000002</v>
      </c>
      <c r="D286" s="54" t="s">
        <v>226</v>
      </c>
      <c r="E286" s="24">
        <v>-0.69099999999999995</v>
      </c>
    </row>
    <row r="287" spans="1:5" x14ac:dyDescent="0.2">
      <c r="A287" s="45" t="s">
        <v>555</v>
      </c>
      <c r="B287" s="24">
        <v>-0.78800000000000003</v>
      </c>
      <c r="D287" s="54" t="s">
        <v>294</v>
      </c>
      <c r="E287" s="24">
        <v>-0.71299999999999997</v>
      </c>
    </row>
    <row r="288" spans="1:5" x14ac:dyDescent="0.2">
      <c r="A288" s="45" t="s">
        <v>100</v>
      </c>
      <c r="B288" s="24">
        <v>-0.79500000000000004</v>
      </c>
      <c r="D288" s="54" t="s">
        <v>302</v>
      </c>
      <c r="E288" s="24">
        <v>-0.76100000000000001</v>
      </c>
    </row>
    <row r="289" spans="1:5" x14ac:dyDescent="0.2">
      <c r="A289" s="45" t="s">
        <v>212</v>
      </c>
      <c r="B289" s="24">
        <v>-0.84800000000000009</v>
      </c>
      <c r="D289" s="44" t="s">
        <v>796</v>
      </c>
      <c r="E289" s="24">
        <v>5.2999999999999989</v>
      </c>
    </row>
    <row r="290" spans="1:5" x14ac:dyDescent="0.2">
      <c r="A290" s="45" t="s">
        <v>430</v>
      </c>
      <c r="B290" s="24">
        <v>-0.88200000000000001</v>
      </c>
      <c r="D290" s="54" t="s">
        <v>234</v>
      </c>
      <c r="E290" s="24">
        <v>1.625</v>
      </c>
    </row>
    <row r="291" spans="1:5" x14ac:dyDescent="0.2">
      <c r="A291" s="45" t="s">
        <v>376</v>
      </c>
      <c r="B291" s="24">
        <v>-0.96899999999999997</v>
      </c>
      <c r="D291" s="54" t="s">
        <v>261</v>
      </c>
      <c r="E291" s="24">
        <v>1.2609999999999999</v>
      </c>
    </row>
    <row r="292" spans="1:5" x14ac:dyDescent="0.2">
      <c r="A292" s="45" t="s">
        <v>615</v>
      </c>
      <c r="B292" s="24">
        <v>-1.0249999999999999</v>
      </c>
      <c r="D292" s="54" t="s">
        <v>194</v>
      </c>
      <c r="E292" s="24">
        <v>1.1220000000000001</v>
      </c>
    </row>
    <row r="293" spans="1:5" x14ac:dyDescent="0.2">
      <c r="A293" s="45" t="s">
        <v>294</v>
      </c>
      <c r="B293" s="24">
        <v>-1.254</v>
      </c>
      <c r="D293" s="54" t="s">
        <v>270</v>
      </c>
      <c r="E293" s="24">
        <v>1.0569999999999999</v>
      </c>
    </row>
    <row r="294" spans="1:5" x14ac:dyDescent="0.2">
      <c r="A294" s="45" t="s">
        <v>226</v>
      </c>
      <c r="B294" s="24">
        <v>-1.3620000000000001</v>
      </c>
      <c r="D294" s="54" t="s">
        <v>241</v>
      </c>
      <c r="E294" s="24">
        <v>0.86299999999999999</v>
      </c>
    </row>
    <row r="295" spans="1:5" x14ac:dyDescent="0.2">
      <c r="A295" s="45" t="s">
        <v>259</v>
      </c>
      <c r="B295" s="24">
        <v>-1.496</v>
      </c>
      <c r="D295" s="54" t="s">
        <v>256</v>
      </c>
      <c r="E295" s="24">
        <v>0.84199999999999997</v>
      </c>
    </row>
    <row r="296" spans="1:5" x14ac:dyDescent="0.2">
      <c r="A296" s="45" t="s">
        <v>182</v>
      </c>
      <c r="B296" s="24">
        <v>-1.601</v>
      </c>
      <c r="D296" s="54" t="s">
        <v>275</v>
      </c>
      <c r="E296" s="24">
        <v>0.59499999999999997</v>
      </c>
    </row>
    <row r="297" spans="1:5" x14ac:dyDescent="0.2">
      <c r="A297" s="45" t="s">
        <v>646</v>
      </c>
      <c r="B297" s="24">
        <v>-1.635</v>
      </c>
      <c r="D297" s="54" t="s">
        <v>161</v>
      </c>
      <c r="E297" s="24">
        <v>0.59199999999999997</v>
      </c>
    </row>
    <row r="298" spans="1:5" x14ac:dyDescent="0.2">
      <c r="A298" s="45" t="s">
        <v>325</v>
      </c>
      <c r="B298" s="24">
        <v>-1.7010000000000001</v>
      </c>
      <c r="D298" s="54" t="s">
        <v>271</v>
      </c>
      <c r="E298" s="24">
        <v>0.57599999999999996</v>
      </c>
    </row>
    <row r="299" spans="1:5" x14ac:dyDescent="0.2">
      <c r="A299" s="45" t="s">
        <v>652</v>
      </c>
      <c r="B299" s="24">
        <v>-1.837</v>
      </c>
      <c r="D299" s="54" t="s">
        <v>273</v>
      </c>
      <c r="E299" s="24">
        <v>0.53900000000000003</v>
      </c>
    </row>
    <row r="300" spans="1:5" x14ac:dyDescent="0.2">
      <c r="A300" s="45" t="s">
        <v>760</v>
      </c>
      <c r="B300" s="24">
        <v>1459.468000000001</v>
      </c>
      <c r="D300" s="54" t="s">
        <v>264</v>
      </c>
      <c r="E300" s="24">
        <v>0.28899999999999998</v>
      </c>
    </row>
    <row r="301" spans="1:5" x14ac:dyDescent="0.2">
      <c r="D301" s="54" t="s">
        <v>231</v>
      </c>
      <c r="E301" s="24">
        <v>0.24199999999999999</v>
      </c>
    </row>
    <row r="302" spans="1:5" x14ac:dyDescent="0.2">
      <c r="D302" s="54" t="s">
        <v>246</v>
      </c>
      <c r="E302" s="24">
        <v>0.15</v>
      </c>
    </row>
    <row r="303" spans="1:5" x14ac:dyDescent="0.2">
      <c r="D303" s="54" t="s">
        <v>156</v>
      </c>
      <c r="E303" s="24">
        <v>6.9000000000000006E-2</v>
      </c>
    </row>
    <row r="304" spans="1:5" x14ac:dyDescent="0.2">
      <c r="D304" s="54" t="s">
        <v>254</v>
      </c>
      <c r="E304" s="24">
        <v>-4.8000000000000001E-2</v>
      </c>
    </row>
    <row r="305" spans="4:5" x14ac:dyDescent="0.2">
      <c r="D305" s="54" t="s">
        <v>266</v>
      </c>
      <c r="E305" s="24">
        <v>-0.122</v>
      </c>
    </row>
    <row r="306" spans="4:5" x14ac:dyDescent="0.2">
      <c r="D306" s="54" t="s">
        <v>243</v>
      </c>
      <c r="E306" s="24">
        <v>-0.41299999999999998</v>
      </c>
    </row>
    <row r="307" spans="4:5" x14ac:dyDescent="0.2">
      <c r="D307" s="54" t="s">
        <v>212</v>
      </c>
      <c r="E307" s="24">
        <v>-0.51400000000000001</v>
      </c>
    </row>
    <row r="308" spans="4:5" x14ac:dyDescent="0.2">
      <c r="D308" s="54" t="s">
        <v>238</v>
      </c>
      <c r="E308" s="24">
        <v>-0.57499999999999996</v>
      </c>
    </row>
    <row r="309" spans="4:5" x14ac:dyDescent="0.2">
      <c r="D309" s="54" t="s">
        <v>236</v>
      </c>
      <c r="E309" s="24">
        <v>-0.63300000000000001</v>
      </c>
    </row>
    <row r="310" spans="4:5" x14ac:dyDescent="0.2">
      <c r="D310" s="54" t="s">
        <v>249</v>
      </c>
      <c r="E310" s="24">
        <v>-0.72099999999999997</v>
      </c>
    </row>
    <row r="311" spans="4:5" x14ac:dyDescent="0.2">
      <c r="D311" s="54" t="s">
        <v>259</v>
      </c>
      <c r="E311" s="24">
        <v>-1.496</v>
      </c>
    </row>
    <row r="312" spans="4:5" x14ac:dyDescent="0.2">
      <c r="D312" s="44" t="s">
        <v>797</v>
      </c>
      <c r="E312" s="24">
        <v>28.388000000000002</v>
      </c>
    </row>
    <row r="313" spans="4:5" x14ac:dyDescent="0.2">
      <c r="D313" s="54" t="s">
        <v>113</v>
      </c>
      <c r="E313" s="24">
        <v>11.943</v>
      </c>
    </row>
    <row r="314" spans="4:5" x14ac:dyDescent="0.2">
      <c r="D314" s="54" t="s">
        <v>197</v>
      </c>
      <c r="E314" s="24">
        <v>8.1679999999999993</v>
      </c>
    </row>
    <row r="315" spans="4:5" x14ac:dyDescent="0.2">
      <c r="D315" s="54" t="s">
        <v>180</v>
      </c>
      <c r="E315" s="24">
        <v>1.6040000000000001</v>
      </c>
    </row>
    <row r="316" spans="4:5" x14ac:dyDescent="0.2">
      <c r="D316" s="54" t="s">
        <v>84</v>
      </c>
      <c r="E316" s="24">
        <v>1.5840000000000001</v>
      </c>
    </row>
    <row r="317" spans="4:5" x14ac:dyDescent="0.2">
      <c r="D317" s="54" t="s">
        <v>214</v>
      </c>
      <c r="E317" s="24">
        <v>0.98599999999999999</v>
      </c>
    </row>
    <row r="318" spans="4:5" x14ac:dyDescent="0.2">
      <c r="D318" s="54" t="s">
        <v>199</v>
      </c>
      <c r="E318" s="24">
        <v>0.79600000000000004</v>
      </c>
    </row>
    <row r="319" spans="4:5" x14ac:dyDescent="0.2">
      <c r="D319" s="54" t="s">
        <v>220</v>
      </c>
      <c r="E319" s="24">
        <v>0.73399999999999999</v>
      </c>
    </row>
    <row r="320" spans="4:5" x14ac:dyDescent="0.2">
      <c r="D320" s="54" t="s">
        <v>217</v>
      </c>
      <c r="E320" s="24">
        <v>0.72899999999999998</v>
      </c>
    </row>
    <row r="321" spans="4:5" x14ac:dyDescent="0.2">
      <c r="D321" s="54" t="s">
        <v>184</v>
      </c>
      <c r="E321" s="24">
        <v>0.69299999999999995</v>
      </c>
    </row>
    <row r="322" spans="4:5" x14ac:dyDescent="0.2">
      <c r="D322" s="54" t="s">
        <v>204</v>
      </c>
      <c r="E322" s="24">
        <v>0.61099999999999999</v>
      </c>
    </row>
    <row r="323" spans="4:5" x14ac:dyDescent="0.2">
      <c r="D323" s="54" t="s">
        <v>202</v>
      </c>
      <c r="E323" s="24">
        <v>0.502</v>
      </c>
    </row>
    <row r="324" spans="4:5" x14ac:dyDescent="0.2">
      <c r="D324" s="54" t="s">
        <v>229</v>
      </c>
      <c r="E324" s="24">
        <v>0.46</v>
      </c>
    </row>
    <row r="325" spans="4:5" x14ac:dyDescent="0.2">
      <c r="D325" s="54" t="s">
        <v>190</v>
      </c>
      <c r="E325" s="24">
        <v>0.41199999999999998</v>
      </c>
    </row>
    <row r="326" spans="4:5" x14ac:dyDescent="0.2">
      <c r="D326" s="54" t="s">
        <v>210</v>
      </c>
      <c r="E326" s="24">
        <v>0.41</v>
      </c>
    </row>
    <row r="327" spans="4:5" x14ac:dyDescent="0.2">
      <c r="D327" s="54" t="s">
        <v>194</v>
      </c>
      <c r="E327" s="24">
        <v>0.372</v>
      </c>
    </row>
    <row r="328" spans="4:5" x14ac:dyDescent="0.2">
      <c r="D328" s="54" t="s">
        <v>207</v>
      </c>
      <c r="E328" s="24">
        <v>0.36199999999999999</v>
      </c>
    </row>
    <row r="329" spans="4:5" x14ac:dyDescent="0.2">
      <c r="D329" s="54" t="s">
        <v>118</v>
      </c>
      <c r="E329" s="24">
        <v>0.23899999999999999</v>
      </c>
    </row>
    <row r="330" spans="4:5" x14ac:dyDescent="0.2">
      <c r="D330" s="54" t="s">
        <v>187</v>
      </c>
      <c r="E330" s="24">
        <v>0.06</v>
      </c>
    </row>
    <row r="331" spans="4:5" x14ac:dyDescent="0.2">
      <c r="D331" s="54" t="s">
        <v>223</v>
      </c>
      <c r="E331" s="24">
        <v>-0.27</v>
      </c>
    </row>
    <row r="332" spans="4:5" x14ac:dyDescent="0.2">
      <c r="D332" s="54" t="s">
        <v>212</v>
      </c>
      <c r="E332" s="24">
        <v>-0.33400000000000002</v>
      </c>
    </row>
    <row r="333" spans="4:5" x14ac:dyDescent="0.2">
      <c r="D333" s="54" t="s">
        <v>182</v>
      </c>
      <c r="E333" s="24">
        <v>-0.35399999999999998</v>
      </c>
    </row>
    <row r="334" spans="4:5" x14ac:dyDescent="0.2">
      <c r="D334" s="54" t="s">
        <v>192</v>
      </c>
      <c r="E334" s="24">
        <v>-0.64800000000000002</v>
      </c>
    </row>
    <row r="335" spans="4:5" x14ac:dyDescent="0.2">
      <c r="D335" s="54" t="s">
        <v>226</v>
      </c>
      <c r="E335" s="24">
        <v>-0.67100000000000004</v>
      </c>
    </row>
    <row r="336" spans="4:5" x14ac:dyDescent="0.2">
      <c r="D336" s="44" t="s">
        <v>798</v>
      </c>
      <c r="E336" s="24">
        <v>10.138</v>
      </c>
    </row>
    <row r="337" spans="4:5" x14ac:dyDescent="0.2">
      <c r="D337" s="54" t="s">
        <v>127</v>
      </c>
      <c r="E337" s="24">
        <v>2.472</v>
      </c>
    </row>
    <row r="338" spans="4:5" x14ac:dyDescent="0.2">
      <c r="D338" s="54" t="s">
        <v>32</v>
      </c>
      <c r="E338" s="24">
        <v>2.4039999999999999</v>
      </c>
    </row>
    <row r="339" spans="4:5" x14ac:dyDescent="0.2">
      <c r="D339" s="54" t="s">
        <v>177</v>
      </c>
      <c r="E339" s="24">
        <v>1.3859999999999999</v>
      </c>
    </row>
    <row r="340" spans="4:5" x14ac:dyDescent="0.2">
      <c r="D340" s="54" t="s">
        <v>164</v>
      </c>
      <c r="E340" s="24">
        <v>1.204</v>
      </c>
    </row>
    <row r="341" spans="4:5" x14ac:dyDescent="0.2">
      <c r="D341" s="54" t="s">
        <v>159</v>
      </c>
      <c r="E341" s="24">
        <v>1.139</v>
      </c>
    </row>
    <row r="342" spans="4:5" x14ac:dyDescent="0.2">
      <c r="D342" s="54" t="s">
        <v>76</v>
      </c>
      <c r="E342" s="24">
        <v>1.0780000000000001</v>
      </c>
    </row>
    <row r="343" spans="4:5" x14ac:dyDescent="0.2">
      <c r="D343" s="54" t="s">
        <v>175</v>
      </c>
      <c r="E343" s="24">
        <v>0.75600000000000001</v>
      </c>
    </row>
    <row r="344" spans="4:5" x14ac:dyDescent="0.2">
      <c r="D344" s="54" t="s">
        <v>135</v>
      </c>
      <c r="E344" s="24">
        <v>0.6</v>
      </c>
    </row>
    <row r="345" spans="4:5" x14ac:dyDescent="0.2">
      <c r="D345" s="54" t="s">
        <v>138</v>
      </c>
      <c r="E345" s="24">
        <v>0.48099999999999998</v>
      </c>
    </row>
    <row r="346" spans="4:5" x14ac:dyDescent="0.2">
      <c r="D346" s="54" t="s">
        <v>156</v>
      </c>
      <c r="E346" s="24">
        <v>0.35599999999999998</v>
      </c>
    </row>
    <row r="347" spans="4:5" x14ac:dyDescent="0.2">
      <c r="D347" s="54" t="s">
        <v>168</v>
      </c>
      <c r="E347" s="24">
        <v>0.30599999999999999</v>
      </c>
    </row>
    <row r="348" spans="4:5" x14ac:dyDescent="0.2">
      <c r="D348" s="54" t="s">
        <v>173</v>
      </c>
      <c r="E348" s="24">
        <v>0.17699999999999999</v>
      </c>
    </row>
    <row r="349" spans="4:5" x14ac:dyDescent="0.2">
      <c r="D349" s="54" t="s">
        <v>161</v>
      </c>
      <c r="E349" s="24">
        <v>0.17199999999999999</v>
      </c>
    </row>
    <row r="350" spans="4:5" x14ac:dyDescent="0.2">
      <c r="D350" s="54" t="s">
        <v>104</v>
      </c>
      <c r="E350" s="24">
        <v>4.9000000000000002E-2</v>
      </c>
    </row>
    <row r="351" spans="4:5" x14ac:dyDescent="0.2">
      <c r="D351" s="54" t="s">
        <v>146</v>
      </c>
      <c r="E351" s="24">
        <v>-6.0000000000000001E-3</v>
      </c>
    </row>
    <row r="352" spans="4:5" x14ac:dyDescent="0.2">
      <c r="D352" s="54" t="s">
        <v>144</v>
      </c>
      <c r="E352" s="24">
        <v>-2.5999999999999999E-2</v>
      </c>
    </row>
    <row r="353" spans="4:5" x14ac:dyDescent="0.2">
      <c r="D353" s="54" t="s">
        <v>129</v>
      </c>
      <c r="E353" s="24">
        <v>-0.12</v>
      </c>
    </row>
    <row r="354" spans="4:5" x14ac:dyDescent="0.2">
      <c r="D354" s="54" t="s">
        <v>152</v>
      </c>
      <c r="E354" s="24">
        <v>-0.126</v>
      </c>
    </row>
    <row r="355" spans="4:5" x14ac:dyDescent="0.2">
      <c r="D355" s="54" t="s">
        <v>141</v>
      </c>
      <c r="E355" s="24">
        <v>-0.27300000000000002</v>
      </c>
    </row>
    <row r="356" spans="4:5" x14ac:dyDescent="0.2">
      <c r="D356" s="54" t="s">
        <v>132</v>
      </c>
      <c r="E356" s="24">
        <v>-0.28299999999999997</v>
      </c>
    </row>
    <row r="357" spans="4:5" x14ac:dyDescent="0.2">
      <c r="D357" s="54" t="s">
        <v>154</v>
      </c>
      <c r="E357" s="24">
        <v>-0.34399999999999997</v>
      </c>
    </row>
    <row r="358" spans="4:5" x14ac:dyDescent="0.2">
      <c r="D358" s="54" t="s">
        <v>171</v>
      </c>
      <c r="E358" s="24">
        <v>-0.35299999999999998</v>
      </c>
    </row>
    <row r="359" spans="4:5" x14ac:dyDescent="0.2">
      <c r="D359" s="54" t="s">
        <v>166</v>
      </c>
      <c r="E359" s="24">
        <v>-0.36099999999999999</v>
      </c>
    </row>
    <row r="360" spans="4:5" x14ac:dyDescent="0.2">
      <c r="D360" s="54" t="s">
        <v>149</v>
      </c>
      <c r="E360" s="24">
        <v>-0.55000000000000004</v>
      </c>
    </row>
    <row r="361" spans="4:5" x14ac:dyDescent="0.2">
      <c r="D361" s="44" t="s">
        <v>799</v>
      </c>
      <c r="E361" s="24">
        <v>10.117999999999999</v>
      </c>
    </row>
    <row r="362" spans="4:5" x14ac:dyDescent="0.2">
      <c r="D362" s="54" t="s">
        <v>116</v>
      </c>
      <c r="E362" s="24">
        <v>4.6719999999999997</v>
      </c>
    </row>
    <row r="363" spans="4:5" x14ac:dyDescent="0.2">
      <c r="D363" s="54" t="s">
        <v>113</v>
      </c>
      <c r="E363" s="24">
        <v>4.3940000000000001</v>
      </c>
    </row>
    <row r="364" spans="4:5" x14ac:dyDescent="0.2">
      <c r="D364" s="54" t="s">
        <v>127</v>
      </c>
      <c r="E364" s="24">
        <v>1.641</v>
      </c>
    </row>
    <row r="365" spans="4:5" x14ac:dyDescent="0.2">
      <c r="D365" s="54" t="s">
        <v>125</v>
      </c>
      <c r="E365" s="24">
        <v>0.89700000000000002</v>
      </c>
    </row>
    <row r="366" spans="4:5" x14ac:dyDescent="0.2">
      <c r="D366" s="54" t="s">
        <v>121</v>
      </c>
      <c r="E366" s="24">
        <v>0.45700000000000002</v>
      </c>
    </row>
    <row r="367" spans="4:5" x14ac:dyDescent="0.2">
      <c r="D367" s="54" t="s">
        <v>84</v>
      </c>
      <c r="E367" s="24">
        <v>0.34200000000000003</v>
      </c>
    </row>
    <row r="368" spans="4:5" x14ac:dyDescent="0.2">
      <c r="D368" s="54" t="s">
        <v>63</v>
      </c>
      <c r="E368" s="24">
        <v>0.25</v>
      </c>
    </row>
    <row r="369" spans="4:5" x14ac:dyDescent="0.2">
      <c r="D369" s="54" t="s">
        <v>123</v>
      </c>
      <c r="E369" s="24">
        <v>0.23499999999999999</v>
      </c>
    </row>
    <row r="370" spans="4:5" x14ac:dyDescent="0.2">
      <c r="D370" s="54" t="s">
        <v>89</v>
      </c>
      <c r="E370" s="24">
        <v>0.128</v>
      </c>
    </row>
    <row r="371" spans="4:5" x14ac:dyDescent="0.2">
      <c r="D371" s="54" t="s">
        <v>108</v>
      </c>
      <c r="E371" s="24">
        <v>0.122</v>
      </c>
    </row>
    <row r="372" spans="4:5" x14ac:dyDescent="0.2">
      <c r="D372" s="54" t="s">
        <v>87</v>
      </c>
      <c r="E372" s="24">
        <v>3.5999999999999997E-2</v>
      </c>
    </row>
    <row r="373" spans="4:5" x14ac:dyDescent="0.2">
      <c r="D373" s="54" t="s">
        <v>91</v>
      </c>
      <c r="E373" s="24">
        <v>1.7000000000000001E-2</v>
      </c>
    </row>
    <row r="374" spans="4:5" x14ac:dyDescent="0.2">
      <c r="D374" s="54" t="s">
        <v>118</v>
      </c>
      <c r="E374" s="24">
        <v>-0.04</v>
      </c>
    </row>
    <row r="375" spans="4:5" x14ac:dyDescent="0.2">
      <c r="D375" s="54" t="s">
        <v>81</v>
      </c>
      <c r="E375" s="24">
        <v>-9.5000000000000001E-2</v>
      </c>
    </row>
    <row r="376" spans="4:5" x14ac:dyDescent="0.2">
      <c r="D376" s="54" t="s">
        <v>97</v>
      </c>
      <c r="E376" s="24">
        <v>-0.14399999999999999</v>
      </c>
    </row>
    <row r="377" spans="4:5" x14ac:dyDescent="0.2">
      <c r="D377" s="54" t="s">
        <v>102</v>
      </c>
      <c r="E377" s="24">
        <v>-0.30299999999999999</v>
      </c>
    </row>
    <row r="378" spans="4:5" x14ac:dyDescent="0.2">
      <c r="D378" s="54" t="s">
        <v>94</v>
      </c>
      <c r="E378" s="24">
        <v>-0.30399999999999999</v>
      </c>
    </row>
    <row r="379" spans="4:5" x14ac:dyDescent="0.2">
      <c r="D379" s="54" t="s">
        <v>104</v>
      </c>
      <c r="E379" s="24">
        <v>-0.317</v>
      </c>
    </row>
    <row r="380" spans="4:5" x14ac:dyDescent="0.2">
      <c r="D380" s="54" t="s">
        <v>111</v>
      </c>
      <c r="E380" s="24">
        <v>-0.44800000000000001</v>
      </c>
    </row>
    <row r="381" spans="4:5" x14ac:dyDescent="0.2">
      <c r="D381" s="54" t="s">
        <v>106</v>
      </c>
      <c r="E381" s="24">
        <v>-0.627</v>
      </c>
    </row>
    <row r="382" spans="4:5" x14ac:dyDescent="0.2">
      <c r="D382" s="54" t="s">
        <v>100</v>
      </c>
      <c r="E382" s="24">
        <v>-0.79500000000000004</v>
      </c>
    </row>
    <row r="383" spans="4:5" x14ac:dyDescent="0.2">
      <c r="D383" s="44" t="s">
        <v>800</v>
      </c>
      <c r="E383" s="24">
        <v>-0.74899999999999967</v>
      </c>
    </row>
    <row r="384" spans="4:5" x14ac:dyDescent="0.2">
      <c r="D384" s="54" t="s">
        <v>38</v>
      </c>
      <c r="E384" s="24">
        <v>0.73799999999999999</v>
      </c>
    </row>
    <row r="385" spans="4:5" x14ac:dyDescent="0.2">
      <c r="D385" s="54" t="s">
        <v>76</v>
      </c>
      <c r="E385" s="24">
        <v>0.26800000000000002</v>
      </c>
    </row>
    <row r="386" spans="4:5" x14ac:dyDescent="0.2">
      <c r="D386" s="54" t="s">
        <v>40</v>
      </c>
      <c r="E386" s="24">
        <v>0.249</v>
      </c>
    </row>
    <row r="387" spans="4:5" x14ac:dyDescent="0.2">
      <c r="D387" s="54" t="s">
        <v>52</v>
      </c>
      <c r="E387" s="24">
        <v>0.23600000000000002</v>
      </c>
    </row>
    <row r="388" spans="4:5" x14ac:dyDescent="0.2">
      <c r="D388" s="54" t="s">
        <v>73</v>
      </c>
      <c r="E388" s="24">
        <v>0.22</v>
      </c>
    </row>
    <row r="389" spans="4:5" x14ac:dyDescent="0.2">
      <c r="D389" s="54" t="s">
        <v>32</v>
      </c>
      <c r="E389" s="24">
        <v>0.123</v>
      </c>
    </row>
    <row r="390" spans="4:5" x14ac:dyDescent="0.2">
      <c r="D390" s="54" t="s">
        <v>29</v>
      </c>
      <c r="E390" s="24">
        <v>0.112</v>
      </c>
    </row>
    <row r="391" spans="4:5" x14ac:dyDescent="0.2">
      <c r="D391" s="54" t="s">
        <v>46</v>
      </c>
      <c r="E391" s="24">
        <v>7.6999999999999999E-2</v>
      </c>
    </row>
    <row r="392" spans="4:5" x14ac:dyDescent="0.2">
      <c r="D392" s="54" t="s">
        <v>60</v>
      </c>
      <c r="E392" s="24">
        <v>3.6999999999999998E-2</v>
      </c>
    </row>
    <row r="393" spans="4:5" x14ac:dyDescent="0.2">
      <c r="D393" s="54" t="s">
        <v>54</v>
      </c>
      <c r="E393" s="24">
        <v>-2.1000000000000001E-2</v>
      </c>
    </row>
    <row r="394" spans="4:5" x14ac:dyDescent="0.2">
      <c r="D394" s="54" t="s">
        <v>70</v>
      </c>
      <c r="E394" s="24">
        <v>-4.9000000000000016E-2</v>
      </c>
    </row>
    <row r="395" spans="4:5" x14ac:dyDescent="0.2">
      <c r="D395" s="54" t="s">
        <v>26</v>
      </c>
      <c r="E395" s="24">
        <v>-7.0999999999999994E-2</v>
      </c>
    </row>
    <row r="396" spans="4:5" x14ac:dyDescent="0.2">
      <c r="D396" s="54" t="s">
        <v>35</v>
      </c>
      <c r="E396" s="24">
        <v>-8.6999999999999994E-2</v>
      </c>
    </row>
    <row r="397" spans="4:5" x14ac:dyDescent="0.2">
      <c r="D397" s="54" t="s">
        <v>63</v>
      </c>
      <c r="E397" s="24">
        <v>-0.151</v>
      </c>
    </row>
    <row r="398" spans="4:5" x14ac:dyDescent="0.2">
      <c r="D398" s="54" t="s">
        <v>57</v>
      </c>
      <c r="E398" s="24">
        <v>-0.16200000000000001</v>
      </c>
    </row>
    <row r="399" spans="4:5" x14ac:dyDescent="0.2">
      <c r="D399" s="54" t="s">
        <v>68</v>
      </c>
      <c r="E399" s="24">
        <v>-0.16400000000000001</v>
      </c>
    </row>
    <row r="400" spans="4:5" x14ac:dyDescent="0.2">
      <c r="D400" s="54" t="s">
        <v>43</v>
      </c>
      <c r="E400" s="24">
        <v>-0.17100000000000001</v>
      </c>
    </row>
    <row r="401" spans="4:5" x14ac:dyDescent="0.2">
      <c r="D401" s="54" t="s">
        <v>23</v>
      </c>
      <c r="E401" s="24">
        <v>-0.20899999999999999</v>
      </c>
    </row>
    <row r="402" spans="4:5" x14ac:dyDescent="0.2">
      <c r="D402" s="54" t="s">
        <v>65</v>
      </c>
      <c r="E402" s="24">
        <v>-0.46400000000000002</v>
      </c>
    </row>
    <row r="403" spans="4:5" x14ac:dyDescent="0.2">
      <c r="D403" s="54" t="s">
        <v>78</v>
      </c>
      <c r="E403" s="24">
        <v>-0.48599999999999999</v>
      </c>
    </row>
    <row r="404" spans="4:5" x14ac:dyDescent="0.2">
      <c r="D404" s="54" t="s">
        <v>49</v>
      </c>
      <c r="E404" s="24">
        <v>-0.77400000000000002</v>
      </c>
    </row>
    <row r="405" spans="4:5" x14ac:dyDescent="0.2">
      <c r="D405" s="44" t="s">
        <v>801</v>
      </c>
      <c r="E405" s="24">
        <v>-0.28999999999999998</v>
      </c>
    </row>
    <row r="406" spans="4:5" x14ac:dyDescent="0.2">
      <c r="D406" s="54" t="s">
        <v>20</v>
      </c>
      <c r="E406" s="24">
        <v>0.41299999999999998</v>
      </c>
    </row>
    <row r="407" spans="4:5" x14ac:dyDescent="0.2">
      <c r="D407" s="54" t="s">
        <v>10</v>
      </c>
      <c r="E407" s="24">
        <v>-0.11899999999999999</v>
      </c>
    </row>
    <row r="408" spans="4:5" x14ac:dyDescent="0.2">
      <c r="D408" s="54" t="s">
        <v>6</v>
      </c>
      <c r="E408" s="24">
        <v>-0.125</v>
      </c>
    </row>
    <row r="409" spans="4:5" x14ac:dyDescent="0.2">
      <c r="D409" s="54" t="s">
        <v>17</v>
      </c>
      <c r="E409" s="24">
        <v>-0.21099999999999999</v>
      </c>
    </row>
    <row r="410" spans="4:5" x14ac:dyDescent="0.2">
      <c r="D410" s="54" t="s">
        <v>14</v>
      </c>
      <c r="E410" s="24">
        <v>-0.248</v>
      </c>
    </row>
    <row r="411" spans="4:5" x14ac:dyDescent="0.2">
      <c r="D411" s="44" t="s">
        <v>760</v>
      </c>
      <c r="E411" s="24">
        <v>1459.468000000003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37825-80CE-B84B-9D10-573BBD99C3EE}">
  <dimension ref="A1:J23"/>
  <sheetViews>
    <sheetView topLeftCell="A12" workbookViewId="0">
      <selection activeCell="A5" sqref="A5"/>
    </sheetView>
  </sheetViews>
  <sheetFormatPr baseColWidth="10" defaultRowHeight="16" x14ac:dyDescent="0.2"/>
  <cols>
    <col min="1" max="1" width="19.1640625" customWidth="1"/>
    <col min="2" max="2" width="6.83203125" bestFit="1" customWidth="1"/>
    <col min="3" max="3" width="7" bestFit="1" customWidth="1"/>
    <col min="5" max="5" width="5.5" bestFit="1" customWidth="1"/>
    <col min="6" max="6" width="35.1640625" bestFit="1" customWidth="1"/>
    <col min="7" max="7" width="34.1640625" bestFit="1" customWidth="1"/>
    <col min="8" max="8" width="26.6640625" bestFit="1" customWidth="1"/>
    <col min="9" max="9" width="21.5" bestFit="1" customWidth="1"/>
    <col min="10" max="10" width="18.5" bestFit="1" customWidth="1"/>
  </cols>
  <sheetData>
    <row r="1" spans="1:10" x14ac:dyDescent="0.2">
      <c r="A1" t="s">
        <v>771</v>
      </c>
    </row>
    <row r="3" spans="1:10" ht="30" x14ac:dyDescent="0.2">
      <c r="A3" s="27"/>
      <c r="B3" s="28" t="s">
        <v>741</v>
      </c>
      <c r="C3" s="28" t="s">
        <v>742</v>
      </c>
      <c r="D3" s="27" t="s">
        <v>743</v>
      </c>
      <c r="E3" s="27" t="s">
        <v>749</v>
      </c>
      <c r="F3" s="27" t="s">
        <v>750</v>
      </c>
      <c r="G3" s="27" t="s">
        <v>770</v>
      </c>
      <c r="H3" s="27" t="s">
        <v>751</v>
      </c>
      <c r="I3" s="27"/>
    </row>
    <row r="4" spans="1:10" x14ac:dyDescent="0.2">
      <c r="A4" s="27" t="s">
        <v>12</v>
      </c>
      <c r="B4" s="29">
        <v>-0.16500000000000001</v>
      </c>
      <c r="C4" s="29">
        <v>-0.16500000000000001</v>
      </c>
      <c r="D4" s="29">
        <v>-0.33</v>
      </c>
      <c r="E4" s="27">
        <v>2</v>
      </c>
      <c r="F4" s="51">
        <v>200</v>
      </c>
      <c r="G4" s="51">
        <v>134</v>
      </c>
      <c r="H4" s="52">
        <v>3.8800000000000001E-2</v>
      </c>
      <c r="I4" s="53">
        <v>3.8759689922480703E-2</v>
      </c>
    </row>
    <row r="5" spans="1:10" x14ac:dyDescent="0.2">
      <c r="A5" s="27" t="s">
        <v>746</v>
      </c>
      <c r="B5" s="29">
        <v>-0.17799999999999999</v>
      </c>
      <c r="C5" s="29">
        <v>-0.17799999999999999</v>
      </c>
      <c r="D5" s="29">
        <v>-0.35499999999999998</v>
      </c>
      <c r="E5" s="27">
        <v>2</v>
      </c>
      <c r="F5" s="51">
        <v>200</v>
      </c>
      <c r="G5" s="51">
        <v>129</v>
      </c>
      <c r="H5" s="52"/>
      <c r="I5" s="27"/>
    </row>
    <row r="6" spans="1:10" x14ac:dyDescent="0.2">
      <c r="A6" s="27" t="s">
        <v>8</v>
      </c>
      <c r="B6" s="29">
        <v>-0.125</v>
      </c>
      <c r="C6" s="29">
        <v>1.2999999999999999E-2</v>
      </c>
      <c r="D6" s="29">
        <v>0.04</v>
      </c>
      <c r="E6" s="27">
        <v>3</v>
      </c>
      <c r="F6" s="51">
        <v>300</v>
      </c>
      <c r="G6" s="51">
        <v>312</v>
      </c>
      <c r="H6" s="52">
        <v>0.8024</v>
      </c>
      <c r="I6" s="53">
        <v>0.80242634315424599</v>
      </c>
    </row>
    <row r="7" spans="1:10" x14ac:dyDescent="0.2">
      <c r="A7" s="27" t="s">
        <v>747</v>
      </c>
      <c r="B7" s="29">
        <v>-0.154</v>
      </c>
      <c r="C7" s="29">
        <v>-0.14099999999999999</v>
      </c>
      <c r="D7" s="29">
        <v>-0.42299999999999999</v>
      </c>
      <c r="E7" s="27">
        <v>3</v>
      </c>
      <c r="F7" s="51">
        <v>300</v>
      </c>
      <c r="G7" s="51">
        <v>173.1</v>
      </c>
      <c r="H7" s="52"/>
      <c r="I7" s="27"/>
    </row>
    <row r="8" spans="1:10" x14ac:dyDescent="0.2">
      <c r="A8" s="27" t="s">
        <v>744</v>
      </c>
      <c r="B8" s="29">
        <v>-0.125</v>
      </c>
      <c r="C8" s="29">
        <v>-5.8000000000000003E-2</v>
      </c>
      <c r="D8" s="29">
        <v>-0.28999999999999998</v>
      </c>
      <c r="E8" s="27">
        <v>5</v>
      </c>
      <c r="F8" s="51">
        <v>500</v>
      </c>
      <c r="G8" s="51">
        <v>355</v>
      </c>
      <c r="H8" s="52">
        <v>2.1981999999999999</v>
      </c>
      <c r="I8" s="53">
        <v>2.1981981981982002</v>
      </c>
    </row>
    <row r="9" spans="1:10" x14ac:dyDescent="0.2">
      <c r="A9" s="27" t="s">
        <v>745</v>
      </c>
      <c r="B9" s="29">
        <v>-0.17</v>
      </c>
      <c r="C9" s="29">
        <v>-0.156</v>
      </c>
      <c r="D9" s="29">
        <v>-0.77800000000000002</v>
      </c>
      <c r="E9" s="27">
        <v>5</v>
      </c>
      <c r="F9" s="51">
        <v>500</v>
      </c>
      <c r="G9" s="51">
        <v>111</v>
      </c>
      <c r="H9" s="30"/>
      <c r="I9" s="27"/>
    </row>
    <row r="10" spans="1:10" x14ac:dyDescent="0.2">
      <c r="A10" s="27"/>
      <c r="B10" s="30"/>
      <c r="C10" s="30"/>
      <c r="D10" s="30"/>
      <c r="E10" s="27"/>
      <c r="F10" s="27"/>
      <c r="G10" s="27"/>
      <c r="H10" s="27"/>
      <c r="I10" s="27"/>
    </row>
    <row r="12" spans="1:10" ht="30" x14ac:dyDescent="0.2">
      <c r="B12" s="2" t="s">
        <v>741</v>
      </c>
      <c r="C12" s="2" t="s">
        <v>742</v>
      </c>
      <c r="D12" t="s">
        <v>743</v>
      </c>
      <c r="E12" t="s">
        <v>749</v>
      </c>
      <c r="F12" t="s">
        <v>772</v>
      </c>
      <c r="G12" t="s">
        <v>778</v>
      </c>
      <c r="H12" t="s">
        <v>779</v>
      </c>
      <c r="I12" t="s">
        <v>780</v>
      </c>
      <c r="J12" t="s">
        <v>781</v>
      </c>
    </row>
    <row r="13" spans="1:10" x14ac:dyDescent="0.2">
      <c r="A13" t="s">
        <v>12</v>
      </c>
      <c r="B13" s="25">
        <f>_xlfn.AGGREGATE(12,5,Table1[Return if David])</f>
        <v>0.253</v>
      </c>
      <c r="C13" s="25">
        <f>_xlfn.AGGREGATE(1,5,Table1[Return if David])</f>
        <v>5.1644675925926</v>
      </c>
      <c r="D13" s="25">
        <v>0.5</v>
      </c>
      <c r="E13" s="24">
        <v>2</v>
      </c>
      <c r="F13" s="6">
        <f>ABS((D14+1)-(D13+1))/(D14+1)</f>
        <v>0.36363636363636354</v>
      </c>
      <c r="G13">
        <f>E13*100</f>
        <v>200</v>
      </c>
      <c r="H13">
        <f>D13*G13</f>
        <v>100</v>
      </c>
      <c r="I13">
        <f>G13+H13</f>
        <v>300</v>
      </c>
      <c r="J13" s="8">
        <f>(1+D13)/(1+D14)-1</f>
        <v>0.36363636363636354</v>
      </c>
    </row>
    <row r="14" spans="1:10" x14ac:dyDescent="0.2">
      <c r="A14" t="s">
        <v>746</v>
      </c>
      <c r="B14" s="26">
        <f>_xlfn.AGGREGATE(12,5,Table1[S&amp;P if David])</f>
        <v>0.52849999999999997</v>
      </c>
      <c r="C14" s="26">
        <f>_xlfn.AGGREGATE(1,5,Table1[S&amp;P if David])</f>
        <v>0.86683333333333301</v>
      </c>
      <c r="D14" s="26">
        <v>0.1</v>
      </c>
      <c r="E14" s="24">
        <v>2</v>
      </c>
      <c r="F14" s="6"/>
      <c r="G14">
        <f t="shared" ref="G14:G23" si="0">E14*100</f>
        <v>200</v>
      </c>
      <c r="H14">
        <f t="shared" ref="H14:H23" si="1">D14*G14</f>
        <v>20</v>
      </c>
      <c r="I14">
        <f t="shared" ref="I14:I23" si="2">G14+H14</f>
        <v>220</v>
      </c>
    </row>
    <row r="16" spans="1:10" x14ac:dyDescent="0.2">
      <c r="A16" t="s">
        <v>12</v>
      </c>
      <c r="B16" s="25">
        <f>_xlfn.AGGREGATE(12,5,Table1[Return if David])</f>
        <v>0.253</v>
      </c>
      <c r="C16" s="25">
        <f>_xlfn.AGGREGATE(1,5,Table1[Return if David])</f>
        <v>5.1644675925926</v>
      </c>
      <c r="D16" s="25">
        <v>0.1</v>
      </c>
      <c r="E16" s="24">
        <v>2</v>
      </c>
      <c r="F16" s="6">
        <f>ABS((D17+1)-(D16+1))/(D17+1)</f>
        <v>0.26666666666666661</v>
      </c>
      <c r="G16">
        <f t="shared" si="0"/>
        <v>200</v>
      </c>
      <c r="H16">
        <f t="shared" si="1"/>
        <v>20</v>
      </c>
      <c r="I16">
        <f t="shared" si="2"/>
        <v>220</v>
      </c>
      <c r="J16" s="8">
        <f>(1+D16)/(1+D17)-1</f>
        <v>-0.26666666666666661</v>
      </c>
    </row>
    <row r="17" spans="1:10" x14ac:dyDescent="0.2">
      <c r="A17" t="s">
        <v>746</v>
      </c>
      <c r="B17" s="26">
        <f>_xlfn.AGGREGATE(12,5,Table1[S&amp;P if David])</f>
        <v>0.52849999999999997</v>
      </c>
      <c r="C17" s="26">
        <f>_xlfn.AGGREGATE(1,5,Table1[S&amp;P if David])</f>
        <v>0.86683333333333301</v>
      </c>
      <c r="D17" s="26">
        <v>0.5</v>
      </c>
      <c r="E17" s="24">
        <v>2</v>
      </c>
      <c r="F17" s="6"/>
      <c r="G17">
        <f t="shared" si="0"/>
        <v>200</v>
      </c>
      <c r="H17">
        <f t="shared" si="1"/>
        <v>100</v>
      </c>
      <c r="I17">
        <f t="shared" si="2"/>
        <v>300</v>
      </c>
    </row>
    <row r="19" spans="1:10" x14ac:dyDescent="0.2">
      <c r="A19" t="s">
        <v>12</v>
      </c>
      <c r="B19" s="25">
        <f>_xlfn.AGGREGATE(12,5,Table1[Return if David])</f>
        <v>0.253</v>
      </c>
      <c r="C19" s="25">
        <f>_xlfn.AGGREGATE(1,5,Table1[Return if David])</f>
        <v>5.1644675925926</v>
      </c>
      <c r="D19" s="25">
        <v>-0.1</v>
      </c>
      <c r="E19" s="24">
        <v>2</v>
      </c>
      <c r="F19" s="6">
        <f>ABS((D20+1)-(D19+1))/(D20+1)</f>
        <v>0.8</v>
      </c>
      <c r="G19">
        <f t="shared" si="0"/>
        <v>200</v>
      </c>
      <c r="H19">
        <f t="shared" si="1"/>
        <v>-20</v>
      </c>
      <c r="I19">
        <f t="shared" si="2"/>
        <v>180</v>
      </c>
      <c r="J19" s="8">
        <f>(1+D19)/(1+D20)-1</f>
        <v>0.8</v>
      </c>
    </row>
    <row r="20" spans="1:10" x14ac:dyDescent="0.2">
      <c r="A20" t="s">
        <v>746</v>
      </c>
      <c r="B20" s="26">
        <f>_xlfn.AGGREGATE(12,5,Table1[S&amp;P if David])</f>
        <v>0.52849999999999997</v>
      </c>
      <c r="C20" s="26">
        <f>_xlfn.AGGREGATE(1,5,Table1[S&amp;P if David])</f>
        <v>0.86683333333333301</v>
      </c>
      <c r="D20" s="26">
        <v>-0.5</v>
      </c>
      <c r="E20" s="24">
        <v>2</v>
      </c>
      <c r="F20" s="6"/>
      <c r="G20">
        <f t="shared" si="0"/>
        <v>200</v>
      </c>
      <c r="H20">
        <f t="shared" si="1"/>
        <v>-100</v>
      </c>
      <c r="I20">
        <f t="shared" si="2"/>
        <v>100</v>
      </c>
    </row>
    <row r="22" spans="1:10" x14ac:dyDescent="0.2">
      <c r="A22" t="s">
        <v>12</v>
      </c>
      <c r="B22" s="25">
        <f>_xlfn.AGGREGATE(12,5,Table1[Return if David])</f>
        <v>0.253</v>
      </c>
      <c r="C22" s="25">
        <f>_xlfn.AGGREGATE(1,5,Table1[Return if David])</f>
        <v>5.1644675925926</v>
      </c>
      <c r="D22" s="25">
        <v>-0.5</v>
      </c>
      <c r="E22" s="24">
        <v>2</v>
      </c>
      <c r="F22" s="6">
        <f>ABS((D23+1)-(D22+1))/(D23+1)</f>
        <v>0.54545454545454553</v>
      </c>
      <c r="G22">
        <f t="shared" si="0"/>
        <v>200</v>
      </c>
      <c r="H22">
        <f t="shared" si="1"/>
        <v>-100</v>
      </c>
      <c r="I22">
        <f t="shared" si="2"/>
        <v>100</v>
      </c>
      <c r="J22" s="8">
        <f>(1+D22)/(1+D23)-1</f>
        <v>-0.54545454545454541</v>
      </c>
    </row>
    <row r="23" spans="1:10" x14ac:dyDescent="0.2">
      <c r="A23" t="s">
        <v>746</v>
      </c>
      <c r="B23" s="26">
        <f>_xlfn.AGGREGATE(12,5,Table1[S&amp;P if David])</f>
        <v>0.52849999999999997</v>
      </c>
      <c r="C23" s="26">
        <f>_xlfn.AGGREGATE(1,5,Table1[S&amp;P if David])</f>
        <v>0.86683333333333301</v>
      </c>
      <c r="D23" s="26">
        <v>0.1</v>
      </c>
      <c r="E23" s="24">
        <v>2</v>
      </c>
      <c r="F23" s="6"/>
      <c r="G23">
        <f t="shared" si="0"/>
        <v>200</v>
      </c>
      <c r="H23">
        <f t="shared" si="1"/>
        <v>20</v>
      </c>
      <c r="I23">
        <f t="shared" si="2"/>
        <v>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 from MF (filter this!)</vt:lpstr>
      <vt:lpstr>Top Returns By Company</vt:lpstr>
      <vt:lpstr>Scratchpad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K</dc:creator>
  <cp:lastModifiedBy>Mike K</cp:lastModifiedBy>
  <dcterms:created xsi:type="dcterms:W3CDTF">2020-03-11T06:17:37Z</dcterms:created>
  <dcterms:modified xsi:type="dcterms:W3CDTF">2022-05-14T20:25:04Z</dcterms:modified>
</cp:coreProperties>
</file>