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pietz/Dropbox/Documents/Freelance current/Trading &amp; Crypto/"/>
    </mc:Choice>
  </mc:AlternateContent>
  <xr:revisionPtr revIDLastSave="0" documentId="13_ncr:1_{9A20B870-7D99-F042-A905-4B10AD6DA8C9}" xr6:coauthVersionLast="45" xr6:coauthVersionMax="45" xr10:uidLastSave="{00000000-0000-0000-0000-000000000000}"/>
  <workbookProtection workbookAlgorithmName="SHA-512" workbookHashValue="/BClf803IDVtOMGMrDZ3rQuzUFPmYlpLBZjYoFXy5uk2K2F1lvtqu96hJoibrOcyTo6iTLhLKf8T9WWGW+10Ng==" workbookSaltValue="C1uMBmo6tC/JgCsA6VsewQ==" workbookSpinCount="100000" lockStructure="1"/>
  <bookViews>
    <workbookView xWindow="560" yWindow="1180" windowWidth="25040" windowHeight="14500" xr2:uid="{7B9E3D61-4553-E846-8659-47875D773419}"/>
  </bookViews>
  <sheets>
    <sheet name="constant product pricing" sheetId="3" r:id="rId1"/>
    <sheet name="Token calcs" sheetId="1" r:id="rId2"/>
    <sheet name="constant prod pricing prev v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3" i="3" l="1"/>
  <c r="AV13" i="3"/>
  <c r="AW12" i="3"/>
  <c r="AV12" i="3"/>
  <c r="AW11" i="3"/>
  <c r="AV11" i="3"/>
  <c r="AV8" i="3"/>
  <c r="AO12" i="3"/>
  <c r="AN12" i="3"/>
  <c r="AO11" i="3"/>
  <c r="AN11" i="3"/>
  <c r="AN8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F11" i="3"/>
  <c r="AF8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11" i="3"/>
  <c r="AU44" i="3" l="1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Q13" i="3"/>
  <c r="AT13" i="3" s="1"/>
  <c r="AU12" i="3"/>
  <c r="AT12" i="3"/>
  <c r="AQ12" i="3"/>
  <c r="AS12" i="3" s="1"/>
  <c r="AU11" i="3"/>
  <c r="AT11" i="3"/>
  <c r="AS11" i="3"/>
  <c r="AQ11" i="3"/>
  <c r="AR11" i="3" s="1"/>
  <c r="AU9" i="3"/>
  <c r="AT9" i="3"/>
  <c r="AS9" i="3"/>
  <c r="AR9" i="3"/>
  <c r="AQ9" i="3"/>
  <c r="AQ8" i="3"/>
  <c r="AS7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I12" i="3"/>
  <c r="AM11" i="3"/>
  <c r="AL11" i="3"/>
  <c r="AK11" i="3"/>
  <c r="AI11" i="3"/>
  <c r="AJ11" i="3" s="1"/>
  <c r="AM9" i="3"/>
  <c r="AL9" i="3"/>
  <c r="AK9" i="3"/>
  <c r="AJ9" i="3"/>
  <c r="AI9" i="3"/>
  <c r="AI8" i="3"/>
  <c r="AK7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D11" i="3"/>
  <c r="AC11" i="3"/>
  <c r="AB11" i="3"/>
  <c r="AA11" i="3"/>
  <c r="AE9" i="3"/>
  <c r="AD9" i="3"/>
  <c r="AC9" i="3"/>
  <c r="AB9" i="3"/>
  <c r="AA9" i="3"/>
  <c r="AA8" i="3"/>
  <c r="AC7" i="3"/>
  <c r="H9" i="3"/>
  <c r="D9" i="3"/>
  <c r="F9" i="3"/>
  <c r="J10" i="3"/>
  <c r="I10" i="3"/>
  <c r="I9" i="3"/>
  <c r="P9" i="3"/>
  <c r="O9" i="3"/>
  <c r="N10" i="3"/>
  <c r="K9" i="3"/>
  <c r="N9" i="3"/>
  <c r="J9" i="3"/>
  <c r="AR13" i="3" l="1"/>
  <c r="AR12" i="3"/>
  <c r="AS13" i="3"/>
  <c r="AK12" i="3"/>
  <c r="AJ12" i="3"/>
  <c r="AL12" i="3"/>
  <c r="S9" i="3" l="1"/>
  <c r="U9" i="3"/>
  <c r="T9" i="3"/>
  <c r="C9" i="3"/>
  <c r="B9" i="3"/>
  <c r="G9" i="3"/>
  <c r="P10" i="3" s="1"/>
  <c r="W9" i="3"/>
  <c r="V9" i="3"/>
  <c r="U7" i="3"/>
  <c r="X8" i="3"/>
  <c r="S8" i="3"/>
  <c r="O10" i="3" l="1"/>
  <c r="H8" i="4"/>
  <c r="P39" i="4" l="1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C6" i="4"/>
  <c r="B6" i="4"/>
  <c r="G6" i="4" s="1"/>
  <c r="K6" i="4" s="1"/>
  <c r="M5" i="4"/>
  <c r="L5" i="4"/>
  <c r="L6" i="4" l="1"/>
  <c r="M6" i="4"/>
  <c r="H6" i="4"/>
  <c r="D6" i="4"/>
  <c r="B7" i="4"/>
  <c r="L10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11" i="3"/>
  <c r="C11" i="3"/>
  <c r="B11" i="3"/>
  <c r="K10" i="3"/>
  <c r="Q10" i="3" s="1"/>
  <c r="N6" i="1"/>
  <c r="E2" i="1"/>
  <c r="A2" i="1"/>
  <c r="B12" i="3" l="1"/>
  <c r="B13" i="3" s="1"/>
  <c r="G11" i="3"/>
  <c r="B8" i="4"/>
  <c r="B9" i="4" s="1"/>
  <c r="Y6" i="4"/>
  <c r="D11" i="3"/>
  <c r="A6" i="1"/>
  <c r="B6" i="1"/>
  <c r="F2" i="1"/>
  <c r="F6" i="1" s="1"/>
  <c r="C6" i="1"/>
  <c r="K1" i="1"/>
  <c r="K3" i="1" s="1"/>
  <c r="G6" i="1" s="1"/>
  <c r="Q6" i="4" l="1"/>
  <c r="O6" i="4"/>
  <c r="U6" i="4"/>
  <c r="C7" i="4"/>
  <c r="B10" i="4"/>
  <c r="B14" i="3"/>
  <c r="H11" i="3"/>
  <c r="J11" i="3"/>
  <c r="N2" i="1"/>
  <c r="K5" i="1"/>
  <c r="E6" i="1" s="1"/>
  <c r="L11" i="3" l="1"/>
  <c r="D7" i="4"/>
  <c r="R6" i="4"/>
  <c r="G7" i="4"/>
  <c r="K7" i="4" s="1"/>
  <c r="B11" i="4"/>
  <c r="V6" i="4"/>
  <c r="W6" i="4"/>
  <c r="X6" i="4"/>
  <c r="Z6" i="4" s="1"/>
  <c r="AA6" i="4" s="1"/>
  <c r="N11" i="3"/>
  <c r="C12" i="3"/>
  <c r="D12" i="3" s="1"/>
  <c r="B15" i="3"/>
  <c r="P11" i="3"/>
  <c r="K11" i="3"/>
  <c r="K7" i="1"/>
  <c r="S11" i="3" l="1"/>
  <c r="Q11" i="3"/>
  <c r="L7" i="4"/>
  <c r="M7" i="4"/>
  <c r="C8" i="4"/>
  <c r="D8" i="4" s="1"/>
  <c r="H7" i="4"/>
  <c r="B12" i="4"/>
  <c r="AG7" i="4"/>
  <c r="Q7" i="4"/>
  <c r="O7" i="4"/>
  <c r="Y7" i="4"/>
  <c r="G12" i="3"/>
  <c r="B16" i="3"/>
  <c r="T11" i="3" l="1"/>
  <c r="U11" i="3"/>
  <c r="V11" i="3"/>
  <c r="X11" i="3" s="1"/>
  <c r="Y11" i="3" s="1"/>
  <c r="G8" i="4"/>
  <c r="K8" i="4" s="1"/>
  <c r="B13" i="4"/>
  <c r="R7" i="4"/>
  <c r="AC7" i="4"/>
  <c r="U7" i="4"/>
  <c r="J12" i="3"/>
  <c r="H12" i="3"/>
  <c r="B17" i="3"/>
  <c r="L8" i="4" l="1"/>
  <c r="M8" i="4"/>
  <c r="B14" i="4"/>
  <c r="AO8" i="4"/>
  <c r="C9" i="4"/>
  <c r="Y8" i="4"/>
  <c r="AG8" i="4"/>
  <c r="Q8" i="4"/>
  <c r="W7" i="4"/>
  <c r="V7" i="4"/>
  <c r="X7" i="4"/>
  <c r="Z7" i="4" s="1"/>
  <c r="AA7" i="4" s="1"/>
  <c r="AF7" i="4"/>
  <c r="AH7" i="4" s="1"/>
  <c r="AI7" i="4" s="1"/>
  <c r="AE7" i="4"/>
  <c r="AD7" i="4"/>
  <c r="O8" i="4"/>
  <c r="K12" i="3"/>
  <c r="P12" i="3"/>
  <c r="L12" i="3"/>
  <c r="C13" i="3"/>
  <c r="N12" i="3"/>
  <c r="B18" i="3"/>
  <c r="AA12" i="3" l="1"/>
  <c r="S12" i="3"/>
  <c r="G13" i="3"/>
  <c r="AK8" i="4"/>
  <c r="AC8" i="4"/>
  <c r="U8" i="4"/>
  <c r="R8" i="4"/>
  <c r="D9" i="4"/>
  <c r="G9" i="4"/>
  <c r="K9" i="4" s="1"/>
  <c r="B15" i="4"/>
  <c r="D13" i="3"/>
  <c r="H13" i="3" s="1"/>
  <c r="Q12" i="3"/>
  <c r="B19" i="3"/>
  <c r="AC12" i="3" l="1"/>
  <c r="AD12" i="3"/>
  <c r="AF12" i="3" s="1"/>
  <c r="AB12" i="3"/>
  <c r="T12" i="3"/>
  <c r="V12" i="3"/>
  <c r="X12" i="3" s="1"/>
  <c r="Y12" i="3" s="1"/>
  <c r="U12" i="3"/>
  <c r="J13" i="3"/>
  <c r="L9" i="4"/>
  <c r="M9" i="4"/>
  <c r="H9" i="4"/>
  <c r="O9" i="4"/>
  <c r="AD8" i="4"/>
  <c r="AF8" i="4"/>
  <c r="AH8" i="4" s="1"/>
  <c r="AI8" i="4" s="1"/>
  <c r="AE8" i="4"/>
  <c r="B16" i="4"/>
  <c r="AM8" i="4"/>
  <c r="AL8" i="4"/>
  <c r="AN8" i="4"/>
  <c r="X8" i="4"/>
  <c r="Z8" i="4" s="1"/>
  <c r="AA8" i="4" s="1"/>
  <c r="W8" i="4"/>
  <c r="V8" i="4"/>
  <c r="B20" i="3"/>
  <c r="C14" i="3" l="1"/>
  <c r="K13" i="3"/>
  <c r="N13" i="3"/>
  <c r="L13" i="3"/>
  <c r="P13" i="3"/>
  <c r="AO9" i="4"/>
  <c r="AS9" i="4"/>
  <c r="C10" i="4"/>
  <c r="Q9" i="4"/>
  <c r="R9" i="4"/>
  <c r="Y9" i="4"/>
  <c r="AW9" i="4"/>
  <c r="AG9" i="4"/>
  <c r="AP8" i="4"/>
  <c r="AQ8" i="4" s="1"/>
  <c r="B17" i="4"/>
  <c r="B21" i="3"/>
  <c r="AI13" i="3" l="1"/>
  <c r="AA13" i="3"/>
  <c r="S13" i="3"/>
  <c r="D14" i="3"/>
  <c r="G14" i="3"/>
  <c r="J14" i="3" s="1"/>
  <c r="Q13" i="3"/>
  <c r="G10" i="4"/>
  <c r="K10" i="4" s="1"/>
  <c r="D10" i="4"/>
  <c r="U9" i="4"/>
  <c r="X9" i="4" s="1"/>
  <c r="Z9" i="4" s="1"/>
  <c r="AA9" i="4" s="1"/>
  <c r="AC9" i="4"/>
  <c r="AD9" i="4" s="1"/>
  <c r="AK9" i="4"/>
  <c r="AN9" i="4" s="1"/>
  <c r="AU9" i="4"/>
  <c r="AV9" i="4"/>
  <c r="AX9" i="4" s="1"/>
  <c r="AY9" i="4" s="1"/>
  <c r="AT9" i="4"/>
  <c r="B18" i="4"/>
  <c r="B22" i="3"/>
  <c r="AD13" i="3" l="1"/>
  <c r="AF13" i="3" s="1"/>
  <c r="AC13" i="3"/>
  <c r="AB13" i="3"/>
  <c r="AJ13" i="3"/>
  <c r="AL13" i="3"/>
  <c r="AN13" i="3" s="1"/>
  <c r="AO13" i="3" s="1"/>
  <c r="AK13" i="3"/>
  <c r="U13" i="3"/>
  <c r="V13" i="3"/>
  <c r="X13" i="3" s="1"/>
  <c r="Y13" i="3" s="1"/>
  <c r="T13" i="3"/>
  <c r="H14" i="3"/>
  <c r="H10" i="4"/>
  <c r="Y10" i="4"/>
  <c r="O10" i="4"/>
  <c r="AO10" i="4"/>
  <c r="Q10" i="4"/>
  <c r="AW10" i="4"/>
  <c r="AG10" i="4"/>
  <c r="L10" i="4"/>
  <c r="M10" i="4"/>
  <c r="AK10" i="4" s="1"/>
  <c r="C11" i="4"/>
  <c r="W9" i="4"/>
  <c r="V9" i="4"/>
  <c r="AL9" i="4"/>
  <c r="AE9" i="4"/>
  <c r="AM9" i="4"/>
  <c r="AF9" i="4"/>
  <c r="AH9" i="4" s="1"/>
  <c r="AI9" i="4" s="1"/>
  <c r="B19" i="4"/>
  <c r="AP9" i="4"/>
  <c r="AQ9" i="4" s="1"/>
  <c r="C15" i="3"/>
  <c r="N14" i="3"/>
  <c r="P14" i="3"/>
  <c r="L14" i="3"/>
  <c r="K14" i="3"/>
  <c r="B23" i="3"/>
  <c r="AQ14" i="3" l="1"/>
  <c r="S14" i="3"/>
  <c r="AI14" i="3"/>
  <c r="AA14" i="3"/>
  <c r="G15" i="3"/>
  <c r="J15" i="3" s="1"/>
  <c r="AC10" i="4"/>
  <c r="AE10" i="4" s="1"/>
  <c r="R10" i="4"/>
  <c r="U10" i="4"/>
  <c r="W10" i="4" s="1"/>
  <c r="AS10" i="4"/>
  <c r="AV10" i="4" s="1"/>
  <c r="AX10" i="4" s="1"/>
  <c r="AY10" i="4" s="1"/>
  <c r="G11" i="4"/>
  <c r="K11" i="4" s="1"/>
  <c r="D11" i="4"/>
  <c r="AL10" i="4"/>
  <c r="AN10" i="4"/>
  <c r="AM10" i="4"/>
  <c r="B20" i="4"/>
  <c r="Q14" i="3"/>
  <c r="D15" i="3"/>
  <c r="B24" i="3"/>
  <c r="V14" i="3" l="1"/>
  <c r="X14" i="3" s="1"/>
  <c r="Y14" i="3" s="1"/>
  <c r="U14" i="3"/>
  <c r="T14" i="3"/>
  <c r="AR14" i="3"/>
  <c r="AS14" i="3"/>
  <c r="AT14" i="3"/>
  <c r="AV14" i="3" s="1"/>
  <c r="AW14" i="3" s="1"/>
  <c r="AD14" i="3"/>
  <c r="AF14" i="3" s="1"/>
  <c r="AB14" i="3"/>
  <c r="AC14" i="3"/>
  <c r="AL14" i="3"/>
  <c r="AN14" i="3" s="1"/>
  <c r="AO14" i="3" s="1"/>
  <c r="AK14" i="3"/>
  <c r="AJ14" i="3"/>
  <c r="H15" i="3"/>
  <c r="H11" i="4"/>
  <c r="V10" i="4"/>
  <c r="X10" i="4"/>
  <c r="Z10" i="4" s="1"/>
  <c r="AA10" i="4" s="1"/>
  <c r="AT10" i="4"/>
  <c r="AU10" i="4"/>
  <c r="AD10" i="4"/>
  <c r="AF10" i="4"/>
  <c r="AH10" i="4" s="1"/>
  <c r="AI10" i="4" s="1"/>
  <c r="Y11" i="4"/>
  <c r="AW11" i="4"/>
  <c r="M11" i="4"/>
  <c r="AC11" i="4" s="1"/>
  <c r="AO11" i="4"/>
  <c r="AG11" i="4"/>
  <c r="O11" i="4"/>
  <c r="L11" i="4"/>
  <c r="C12" i="4"/>
  <c r="G12" i="4" s="1"/>
  <c r="Q11" i="4"/>
  <c r="AP10" i="4"/>
  <c r="AQ10" i="4" s="1"/>
  <c r="B21" i="4"/>
  <c r="K15" i="3"/>
  <c r="N15" i="3"/>
  <c r="L15" i="3"/>
  <c r="P15" i="3"/>
  <c r="C16" i="3"/>
  <c r="B25" i="3"/>
  <c r="AQ15" i="3" l="1"/>
  <c r="AI15" i="3"/>
  <c r="AA15" i="3"/>
  <c r="S15" i="3"/>
  <c r="D12" i="4"/>
  <c r="H12" i="4" s="1"/>
  <c r="AK11" i="4"/>
  <c r="AM11" i="4" s="1"/>
  <c r="U11" i="4"/>
  <c r="V11" i="4" s="1"/>
  <c r="AS11" i="4"/>
  <c r="AT11" i="4" s="1"/>
  <c r="R11" i="4"/>
  <c r="B22" i="4"/>
  <c r="AE11" i="4"/>
  <c r="AD11" i="4"/>
  <c r="AF11" i="4"/>
  <c r="AH11" i="4" s="1"/>
  <c r="AI11" i="4" s="1"/>
  <c r="K12" i="4"/>
  <c r="Q15" i="3"/>
  <c r="G16" i="3"/>
  <c r="J16" i="3" s="1"/>
  <c r="D16" i="3"/>
  <c r="B26" i="3"/>
  <c r="AR15" i="3" l="1"/>
  <c r="AS15" i="3"/>
  <c r="AT15" i="3"/>
  <c r="AV15" i="3" s="1"/>
  <c r="AW15" i="3" s="1"/>
  <c r="V15" i="3"/>
  <c r="X15" i="3" s="1"/>
  <c r="Y15" i="3" s="1"/>
  <c r="T15" i="3"/>
  <c r="U15" i="3"/>
  <c r="AJ15" i="3"/>
  <c r="AL15" i="3"/>
  <c r="AN15" i="3" s="1"/>
  <c r="AO15" i="3" s="1"/>
  <c r="AK15" i="3"/>
  <c r="AD15" i="3"/>
  <c r="AF15" i="3" s="1"/>
  <c r="AB15" i="3"/>
  <c r="AC15" i="3"/>
  <c r="AN11" i="4"/>
  <c r="AP11" i="4" s="1"/>
  <c r="AQ11" i="4" s="1"/>
  <c r="AL11" i="4"/>
  <c r="W11" i="4"/>
  <c r="AV11" i="4"/>
  <c r="AX11" i="4" s="1"/>
  <c r="AY11" i="4" s="1"/>
  <c r="AU11" i="4"/>
  <c r="X11" i="4"/>
  <c r="Z11" i="4" s="1"/>
  <c r="AA11" i="4" s="1"/>
  <c r="L12" i="4"/>
  <c r="M12" i="4"/>
  <c r="Q12" i="4"/>
  <c r="B23" i="4"/>
  <c r="Y12" i="4"/>
  <c r="AO12" i="4"/>
  <c r="O12" i="4"/>
  <c r="AW12" i="4"/>
  <c r="AG12" i="4"/>
  <c r="C13" i="4"/>
  <c r="G13" i="4" s="1"/>
  <c r="L16" i="3"/>
  <c r="K16" i="3"/>
  <c r="N16" i="3"/>
  <c r="P16" i="3"/>
  <c r="H16" i="3"/>
  <c r="C17" i="3"/>
  <c r="B27" i="3"/>
  <c r="AA16" i="3" l="1"/>
  <c r="S16" i="3"/>
  <c r="AI16" i="3"/>
  <c r="AQ16" i="3"/>
  <c r="U12" i="4"/>
  <c r="AS12" i="4"/>
  <c r="AK12" i="4"/>
  <c r="AC12" i="4"/>
  <c r="D13" i="4"/>
  <c r="H13" i="4" s="1"/>
  <c r="K13" i="4"/>
  <c r="R12" i="4"/>
  <c r="B24" i="4"/>
  <c r="Q16" i="3"/>
  <c r="G17" i="3"/>
  <c r="D17" i="3"/>
  <c r="H17" i="3" s="1"/>
  <c r="B28" i="3"/>
  <c r="AC16" i="3" l="1"/>
  <c r="AD16" i="3"/>
  <c r="AF16" i="3" s="1"/>
  <c r="AB16" i="3"/>
  <c r="AS16" i="3"/>
  <c r="AT16" i="3"/>
  <c r="AV16" i="3" s="1"/>
  <c r="AW16" i="3" s="1"/>
  <c r="AR16" i="3"/>
  <c r="AL16" i="3"/>
  <c r="AN16" i="3" s="1"/>
  <c r="AO16" i="3" s="1"/>
  <c r="AK16" i="3"/>
  <c r="AJ16" i="3"/>
  <c r="T16" i="3"/>
  <c r="V16" i="3"/>
  <c r="X16" i="3" s="1"/>
  <c r="Y16" i="3" s="1"/>
  <c r="U16" i="3"/>
  <c r="C14" i="4"/>
  <c r="O13" i="4"/>
  <c r="AO13" i="4"/>
  <c r="AW13" i="4"/>
  <c r="AG13" i="4"/>
  <c r="L13" i="4"/>
  <c r="M13" i="4"/>
  <c r="Q13" i="4"/>
  <c r="Y13" i="4"/>
  <c r="AD12" i="4"/>
  <c r="AF12" i="4"/>
  <c r="AH12" i="4" s="1"/>
  <c r="AI12" i="4" s="1"/>
  <c r="AE12" i="4"/>
  <c r="B25" i="4"/>
  <c r="AM12" i="4"/>
  <c r="AL12" i="4"/>
  <c r="AN12" i="4"/>
  <c r="AV12" i="4"/>
  <c r="AX12" i="4" s="1"/>
  <c r="AY12" i="4" s="1"/>
  <c r="AU12" i="4"/>
  <c r="AT12" i="4"/>
  <c r="X12" i="4"/>
  <c r="Z12" i="4" s="1"/>
  <c r="AA12" i="4" s="1"/>
  <c r="V12" i="4"/>
  <c r="W12" i="4"/>
  <c r="J17" i="3"/>
  <c r="B29" i="3"/>
  <c r="G14" i="4" l="1"/>
  <c r="K14" i="4" s="1"/>
  <c r="Q14" i="4" s="1"/>
  <c r="D14" i="4"/>
  <c r="H14" i="4" s="1"/>
  <c r="R13" i="4"/>
  <c r="U13" i="4"/>
  <c r="AC13" i="4"/>
  <c r="AS13" i="4"/>
  <c r="AK13" i="4"/>
  <c r="B26" i="4"/>
  <c r="AP12" i="4"/>
  <c r="AQ12" i="4" s="1"/>
  <c r="K17" i="3"/>
  <c r="L17" i="3"/>
  <c r="P17" i="3"/>
  <c r="N17" i="3"/>
  <c r="C18" i="3"/>
  <c r="B30" i="3"/>
  <c r="S17" i="3" l="1"/>
  <c r="AA17" i="3"/>
  <c r="AQ17" i="3"/>
  <c r="AI17" i="3"/>
  <c r="AG14" i="4"/>
  <c r="AO14" i="4"/>
  <c r="Y14" i="4"/>
  <c r="M14" i="4"/>
  <c r="AS14" i="4" s="1"/>
  <c r="AT14" i="4" s="1"/>
  <c r="L14" i="4"/>
  <c r="C15" i="4"/>
  <c r="D15" i="4" s="1"/>
  <c r="H15" i="4" s="1"/>
  <c r="O14" i="4"/>
  <c r="AW14" i="4"/>
  <c r="AD13" i="4"/>
  <c r="AF13" i="4"/>
  <c r="AH13" i="4" s="1"/>
  <c r="AI13" i="4" s="1"/>
  <c r="AE13" i="4"/>
  <c r="X13" i="4"/>
  <c r="Z13" i="4" s="1"/>
  <c r="AA13" i="4" s="1"/>
  <c r="W13" i="4"/>
  <c r="V13" i="4"/>
  <c r="AM13" i="4"/>
  <c r="AL13" i="4"/>
  <c r="AN13" i="4"/>
  <c r="B27" i="4"/>
  <c r="AV13" i="4"/>
  <c r="AX13" i="4" s="1"/>
  <c r="AY13" i="4" s="1"/>
  <c r="AU13" i="4"/>
  <c r="AT13" i="4"/>
  <c r="G18" i="3"/>
  <c r="J18" i="3" s="1"/>
  <c r="Q17" i="3"/>
  <c r="D18" i="3"/>
  <c r="H18" i="3" s="1"/>
  <c r="B31" i="3"/>
  <c r="AL17" i="3" l="1"/>
  <c r="AN17" i="3" s="1"/>
  <c r="AO17" i="3" s="1"/>
  <c r="AK17" i="3"/>
  <c r="AJ17" i="3"/>
  <c r="AD17" i="3"/>
  <c r="AF17" i="3" s="1"/>
  <c r="AB17" i="3"/>
  <c r="AC17" i="3"/>
  <c r="AT17" i="3"/>
  <c r="AV17" i="3" s="1"/>
  <c r="AW17" i="3" s="1"/>
  <c r="AR17" i="3"/>
  <c r="AS17" i="3"/>
  <c r="U17" i="3"/>
  <c r="V17" i="3"/>
  <c r="X17" i="3" s="1"/>
  <c r="Y17" i="3" s="1"/>
  <c r="T17" i="3"/>
  <c r="AK14" i="4"/>
  <c r="AL14" i="4" s="1"/>
  <c r="AU14" i="4"/>
  <c r="AV14" i="4"/>
  <c r="AX14" i="4" s="1"/>
  <c r="AY14" i="4" s="1"/>
  <c r="AC14" i="4"/>
  <c r="AF14" i="4" s="1"/>
  <c r="AH14" i="4" s="1"/>
  <c r="AI14" i="4" s="1"/>
  <c r="U14" i="4"/>
  <c r="V14" i="4" s="1"/>
  <c r="G15" i="4"/>
  <c r="K15" i="4" s="1"/>
  <c r="L15" i="4" s="1"/>
  <c r="R14" i="4"/>
  <c r="B28" i="4"/>
  <c r="AP13" i="4"/>
  <c r="AQ13" i="4" s="1"/>
  <c r="L18" i="3"/>
  <c r="K18" i="3"/>
  <c r="P18" i="3"/>
  <c r="C19" i="3"/>
  <c r="N18" i="3"/>
  <c r="B32" i="3"/>
  <c r="S18" i="3" l="1"/>
  <c r="AA18" i="3"/>
  <c r="AQ18" i="3"/>
  <c r="AI18" i="3"/>
  <c r="X14" i="4"/>
  <c r="Z14" i="4" s="1"/>
  <c r="AA14" i="4" s="1"/>
  <c r="AM14" i="4"/>
  <c r="AN14" i="4"/>
  <c r="AP14" i="4" s="1"/>
  <c r="AQ14" i="4" s="1"/>
  <c r="W14" i="4"/>
  <c r="O15" i="4"/>
  <c r="R15" i="4" s="1"/>
  <c r="Q15" i="4"/>
  <c r="AW15" i="4"/>
  <c r="AO15" i="4"/>
  <c r="AG15" i="4"/>
  <c r="Y15" i="4"/>
  <c r="M15" i="4"/>
  <c r="AS15" i="4" s="1"/>
  <c r="AD14" i="4"/>
  <c r="AE14" i="4"/>
  <c r="C16" i="4"/>
  <c r="D16" i="4" s="1"/>
  <c r="H16" i="4" s="1"/>
  <c r="B29" i="4"/>
  <c r="G19" i="3"/>
  <c r="J19" i="3" s="1"/>
  <c r="L19" i="3" s="1"/>
  <c r="D19" i="3"/>
  <c r="H19" i="3" s="1"/>
  <c r="Q18" i="3"/>
  <c r="B33" i="3"/>
  <c r="S19" i="3" l="1"/>
  <c r="AA19" i="3"/>
  <c r="AI19" i="3"/>
  <c r="AJ18" i="3"/>
  <c r="AK18" i="3"/>
  <c r="AL18" i="3"/>
  <c r="AN18" i="3" s="1"/>
  <c r="AO18" i="3" s="1"/>
  <c r="AS18" i="3"/>
  <c r="AT18" i="3"/>
  <c r="AV18" i="3" s="1"/>
  <c r="AW18" i="3" s="1"/>
  <c r="AR18" i="3"/>
  <c r="AD18" i="3"/>
  <c r="AF18" i="3" s="1"/>
  <c r="AC18" i="3"/>
  <c r="AB18" i="3"/>
  <c r="AQ19" i="3"/>
  <c r="V18" i="3"/>
  <c r="X18" i="3" s="1"/>
  <c r="Y18" i="3" s="1"/>
  <c r="U18" i="3"/>
  <c r="T18" i="3"/>
  <c r="AV15" i="4"/>
  <c r="AX15" i="4" s="1"/>
  <c r="AY15" i="4" s="1"/>
  <c r="AU15" i="4"/>
  <c r="AT15" i="4"/>
  <c r="U15" i="4"/>
  <c r="X15" i="4" s="1"/>
  <c r="Z15" i="4" s="1"/>
  <c r="AA15" i="4" s="1"/>
  <c r="AC15" i="4"/>
  <c r="AF15" i="4" s="1"/>
  <c r="AH15" i="4" s="1"/>
  <c r="AI15" i="4" s="1"/>
  <c r="AK15" i="4"/>
  <c r="AN15" i="4" s="1"/>
  <c r="AP15" i="4" s="1"/>
  <c r="AQ15" i="4" s="1"/>
  <c r="G16" i="4"/>
  <c r="K16" i="4" s="1"/>
  <c r="B30" i="4"/>
  <c r="P19" i="3"/>
  <c r="K19" i="3"/>
  <c r="N19" i="3"/>
  <c r="C20" i="3"/>
  <c r="B34" i="3"/>
  <c r="AB19" i="3" l="1"/>
  <c r="AD19" i="3"/>
  <c r="AF19" i="3" s="1"/>
  <c r="AC19" i="3"/>
  <c r="AJ19" i="3"/>
  <c r="AL19" i="3"/>
  <c r="AN19" i="3" s="1"/>
  <c r="AO19" i="3" s="1"/>
  <c r="AK19" i="3"/>
  <c r="AR19" i="3"/>
  <c r="AT19" i="3"/>
  <c r="AV19" i="3" s="1"/>
  <c r="AW19" i="3" s="1"/>
  <c r="AS19" i="3"/>
  <c r="V19" i="3"/>
  <c r="X19" i="3" s="1"/>
  <c r="Y19" i="3" s="1"/>
  <c r="U19" i="3"/>
  <c r="T19" i="3"/>
  <c r="AE15" i="4"/>
  <c r="AD15" i="4"/>
  <c r="V15" i="4"/>
  <c r="AM15" i="4"/>
  <c r="AL15" i="4"/>
  <c r="W15" i="4"/>
  <c r="Y16" i="4"/>
  <c r="Q16" i="4"/>
  <c r="AO16" i="4"/>
  <c r="AG16" i="4"/>
  <c r="C17" i="4"/>
  <c r="D17" i="4" s="1"/>
  <c r="H17" i="4" s="1"/>
  <c r="AW16" i="4"/>
  <c r="L16" i="4"/>
  <c r="M16" i="4"/>
  <c r="AC16" i="4" s="1"/>
  <c r="O16" i="4"/>
  <c r="B31" i="4"/>
  <c r="Q19" i="3"/>
  <c r="G20" i="3"/>
  <c r="D20" i="3"/>
  <c r="H20" i="3" s="1"/>
  <c r="B35" i="3"/>
  <c r="R16" i="4" l="1"/>
  <c r="AS16" i="4"/>
  <c r="AV16" i="4" s="1"/>
  <c r="AX16" i="4" s="1"/>
  <c r="AY16" i="4" s="1"/>
  <c r="U16" i="4"/>
  <c r="V16" i="4" s="1"/>
  <c r="AK16" i="4"/>
  <c r="AM16" i="4" s="1"/>
  <c r="G17" i="4"/>
  <c r="K17" i="4" s="1"/>
  <c r="B32" i="4"/>
  <c r="AE16" i="4"/>
  <c r="AD16" i="4"/>
  <c r="AF16" i="4"/>
  <c r="AH16" i="4" s="1"/>
  <c r="AI16" i="4" s="1"/>
  <c r="J20" i="3"/>
  <c r="B36" i="3"/>
  <c r="K20" i="3" l="1"/>
  <c r="AN16" i="4"/>
  <c r="AP16" i="4" s="1"/>
  <c r="AQ16" i="4" s="1"/>
  <c r="AU16" i="4"/>
  <c r="AT16" i="4"/>
  <c r="X16" i="4"/>
  <c r="Z16" i="4" s="1"/>
  <c r="AA16" i="4" s="1"/>
  <c r="AL16" i="4"/>
  <c r="L17" i="4"/>
  <c r="M17" i="4"/>
  <c r="O17" i="4"/>
  <c r="W16" i="4"/>
  <c r="Q17" i="4"/>
  <c r="AG17" i="4"/>
  <c r="AO17" i="4"/>
  <c r="B33" i="4"/>
  <c r="AW17" i="4"/>
  <c r="Y17" i="4"/>
  <c r="C18" i="4"/>
  <c r="N20" i="3"/>
  <c r="L20" i="3"/>
  <c r="P20" i="3"/>
  <c r="C21" i="3"/>
  <c r="B37" i="3"/>
  <c r="S20" i="3" l="1"/>
  <c r="AA20" i="3"/>
  <c r="AI20" i="3"/>
  <c r="AQ20" i="3"/>
  <c r="G18" i="4"/>
  <c r="U17" i="4"/>
  <c r="AC17" i="4"/>
  <c r="AK17" i="4"/>
  <c r="AS17" i="4"/>
  <c r="B34" i="4"/>
  <c r="R17" i="4"/>
  <c r="D18" i="4"/>
  <c r="H18" i="4" s="1"/>
  <c r="D21" i="3"/>
  <c r="H21" i="3" s="1"/>
  <c r="Q20" i="3"/>
  <c r="G21" i="3"/>
  <c r="B38" i="3"/>
  <c r="AK20" i="3" l="1"/>
  <c r="AJ20" i="3"/>
  <c r="AL20" i="3"/>
  <c r="AN20" i="3" s="1"/>
  <c r="AO20" i="3" s="1"/>
  <c r="AC20" i="3"/>
  <c r="AD20" i="3"/>
  <c r="AF20" i="3" s="1"/>
  <c r="AB20" i="3"/>
  <c r="AS20" i="3"/>
  <c r="AT20" i="3"/>
  <c r="AV20" i="3" s="1"/>
  <c r="AW20" i="3" s="1"/>
  <c r="AR20" i="3"/>
  <c r="T20" i="3"/>
  <c r="V20" i="3"/>
  <c r="X20" i="3" s="1"/>
  <c r="Y20" i="3" s="1"/>
  <c r="U20" i="3"/>
  <c r="K18" i="4"/>
  <c r="B35" i="4"/>
  <c r="AV17" i="4"/>
  <c r="AX17" i="4" s="1"/>
  <c r="AY17" i="4" s="1"/>
  <c r="AU17" i="4"/>
  <c r="AT17" i="4"/>
  <c r="AN17" i="4"/>
  <c r="AL17" i="4"/>
  <c r="AM17" i="4"/>
  <c r="AE17" i="4"/>
  <c r="AF17" i="4"/>
  <c r="AH17" i="4" s="1"/>
  <c r="AI17" i="4" s="1"/>
  <c r="AD17" i="4"/>
  <c r="V17" i="4"/>
  <c r="X17" i="4"/>
  <c r="Z17" i="4" s="1"/>
  <c r="AA17" i="4" s="1"/>
  <c r="W17" i="4"/>
  <c r="J21" i="3"/>
  <c r="B39" i="3"/>
  <c r="K21" i="3" l="1"/>
  <c r="L18" i="4"/>
  <c r="M18" i="4"/>
  <c r="O18" i="4"/>
  <c r="Y18" i="4"/>
  <c r="AP17" i="4"/>
  <c r="AQ17" i="4" s="1"/>
  <c r="Q18" i="4"/>
  <c r="C19" i="4"/>
  <c r="B36" i="4"/>
  <c r="AG18" i="4"/>
  <c r="AO18" i="4"/>
  <c r="AW18" i="4"/>
  <c r="P21" i="3"/>
  <c r="L21" i="3"/>
  <c r="N21" i="3"/>
  <c r="C22" i="3"/>
  <c r="B40" i="3"/>
  <c r="S21" i="3" l="1"/>
  <c r="AA21" i="3"/>
  <c r="AI21" i="3"/>
  <c r="AQ21" i="3"/>
  <c r="R18" i="4"/>
  <c r="G19" i="4"/>
  <c r="B37" i="4"/>
  <c r="D19" i="4"/>
  <c r="H19" i="4" s="1"/>
  <c r="U18" i="4"/>
  <c r="AC18" i="4"/>
  <c r="AK18" i="4"/>
  <c r="AS18" i="4"/>
  <c r="Q21" i="3"/>
  <c r="D22" i="3"/>
  <c r="H22" i="3" s="1"/>
  <c r="G22" i="3"/>
  <c r="B41" i="3"/>
  <c r="AJ21" i="3" l="1"/>
  <c r="AL21" i="3"/>
  <c r="AN21" i="3" s="1"/>
  <c r="AO21" i="3" s="1"/>
  <c r="AK21" i="3"/>
  <c r="AD21" i="3"/>
  <c r="AF21" i="3" s="1"/>
  <c r="AB21" i="3"/>
  <c r="AC21" i="3"/>
  <c r="AT21" i="3"/>
  <c r="AV21" i="3" s="1"/>
  <c r="AW21" i="3" s="1"/>
  <c r="AR21" i="3"/>
  <c r="AS21" i="3"/>
  <c r="T21" i="3"/>
  <c r="V21" i="3"/>
  <c r="X21" i="3" s="1"/>
  <c r="Y21" i="3" s="1"/>
  <c r="U21" i="3"/>
  <c r="K19" i="4"/>
  <c r="O19" i="4" s="1"/>
  <c r="B38" i="4"/>
  <c r="V18" i="4"/>
  <c r="X18" i="4"/>
  <c r="Z18" i="4" s="1"/>
  <c r="AA18" i="4" s="1"/>
  <c r="W18" i="4"/>
  <c r="AT18" i="4"/>
  <c r="AV18" i="4"/>
  <c r="AX18" i="4" s="1"/>
  <c r="AY18" i="4" s="1"/>
  <c r="AU18" i="4"/>
  <c r="AN18" i="4"/>
  <c r="AM18" i="4"/>
  <c r="AL18" i="4"/>
  <c r="AE18" i="4"/>
  <c r="AF18" i="4"/>
  <c r="AH18" i="4" s="1"/>
  <c r="AI18" i="4" s="1"/>
  <c r="AD18" i="4"/>
  <c r="J22" i="3"/>
  <c r="B42" i="3"/>
  <c r="M19" i="4" l="1"/>
  <c r="L19" i="4"/>
  <c r="R19" i="4" s="1"/>
  <c r="Q19" i="4"/>
  <c r="AW19" i="4"/>
  <c r="C20" i="4"/>
  <c r="AP18" i="4"/>
  <c r="AQ18" i="4" s="1"/>
  <c r="AO19" i="4"/>
  <c r="AG19" i="4"/>
  <c r="B39" i="4"/>
  <c r="Y19" i="4"/>
  <c r="K22" i="3"/>
  <c r="P22" i="3"/>
  <c r="L22" i="3"/>
  <c r="N22" i="3"/>
  <c r="C23" i="3"/>
  <c r="B43" i="3"/>
  <c r="S22" i="3" l="1"/>
  <c r="AA22" i="3"/>
  <c r="AI22" i="3"/>
  <c r="AQ22" i="3"/>
  <c r="G20" i="4"/>
  <c r="U19" i="4"/>
  <c r="AC19" i="4"/>
  <c r="AK19" i="4"/>
  <c r="AS19" i="4"/>
  <c r="D20" i="4"/>
  <c r="H20" i="4" s="1"/>
  <c r="D23" i="3"/>
  <c r="H23" i="3" s="1"/>
  <c r="Q22" i="3"/>
  <c r="G23" i="3"/>
  <c r="J23" i="3" s="1"/>
  <c r="B44" i="3"/>
  <c r="AJ22" i="3" l="1"/>
  <c r="AK22" i="3"/>
  <c r="AL22" i="3"/>
  <c r="AN22" i="3" s="1"/>
  <c r="AO22" i="3" s="1"/>
  <c r="AT22" i="3"/>
  <c r="AV22" i="3" s="1"/>
  <c r="AW22" i="3" s="1"/>
  <c r="AS22" i="3"/>
  <c r="AR22" i="3"/>
  <c r="AD22" i="3"/>
  <c r="AF22" i="3" s="1"/>
  <c r="AC22" i="3"/>
  <c r="AB22" i="3"/>
  <c r="V22" i="3"/>
  <c r="X22" i="3" s="1"/>
  <c r="Y22" i="3" s="1"/>
  <c r="T22" i="3"/>
  <c r="U22" i="3"/>
  <c r="K20" i="4"/>
  <c r="AO20" i="4" s="1"/>
  <c r="V19" i="4"/>
  <c r="W19" i="4"/>
  <c r="X19" i="4"/>
  <c r="Z19" i="4" s="1"/>
  <c r="AA19" i="4" s="1"/>
  <c r="AU19" i="4"/>
  <c r="AT19" i="4"/>
  <c r="AV19" i="4"/>
  <c r="AX19" i="4" s="1"/>
  <c r="AY19" i="4" s="1"/>
  <c r="AN19" i="4"/>
  <c r="AM19" i="4"/>
  <c r="AL19" i="4"/>
  <c r="AE19" i="4"/>
  <c r="AF19" i="4"/>
  <c r="AH19" i="4" s="1"/>
  <c r="AI19" i="4" s="1"/>
  <c r="AD19" i="4"/>
  <c r="P23" i="3"/>
  <c r="K23" i="3"/>
  <c r="L23" i="3"/>
  <c r="N23" i="3"/>
  <c r="C24" i="3"/>
  <c r="S23" i="3" l="1"/>
  <c r="AA23" i="3"/>
  <c r="AI23" i="3"/>
  <c r="AQ23" i="3"/>
  <c r="C21" i="4"/>
  <c r="G21" i="4" s="1"/>
  <c r="Q20" i="4"/>
  <c r="AG20" i="4"/>
  <c r="L20" i="4"/>
  <c r="M20" i="4"/>
  <c r="U20" i="4" s="1"/>
  <c r="AW20" i="4"/>
  <c r="Y20" i="4"/>
  <c r="O20" i="4"/>
  <c r="AP19" i="4"/>
  <c r="AQ19" i="4" s="1"/>
  <c r="G24" i="3"/>
  <c r="Q23" i="3"/>
  <c r="D24" i="3"/>
  <c r="H24" i="3" s="1"/>
  <c r="AR23" i="3" l="1"/>
  <c r="AS23" i="3"/>
  <c r="AT23" i="3"/>
  <c r="AV23" i="3" s="1"/>
  <c r="AW23" i="3" s="1"/>
  <c r="AJ23" i="3"/>
  <c r="AK23" i="3"/>
  <c r="AL23" i="3"/>
  <c r="AN23" i="3" s="1"/>
  <c r="AO23" i="3" s="1"/>
  <c r="AD23" i="3"/>
  <c r="AF23" i="3" s="1"/>
  <c r="AC23" i="3"/>
  <c r="AB23" i="3"/>
  <c r="V23" i="3"/>
  <c r="X23" i="3" s="1"/>
  <c r="Y23" i="3" s="1"/>
  <c r="T23" i="3"/>
  <c r="U23" i="3"/>
  <c r="D21" i="4"/>
  <c r="H21" i="4" s="1"/>
  <c r="R20" i="4"/>
  <c r="K21" i="4"/>
  <c r="O21" i="4" s="1"/>
  <c r="AK20" i="4"/>
  <c r="AL20" i="4" s="1"/>
  <c r="AS20" i="4"/>
  <c r="AV20" i="4" s="1"/>
  <c r="AX20" i="4" s="1"/>
  <c r="AY20" i="4" s="1"/>
  <c r="AC20" i="4"/>
  <c r="AE20" i="4" s="1"/>
  <c r="V20" i="4"/>
  <c r="X20" i="4"/>
  <c r="Z20" i="4" s="1"/>
  <c r="AA20" i="4" s="1"/>
  <c r="W20" i="4"/>
  <c r="J24" i="3"/>
  <c r="AM20" i="4" l="1"/>
  <c r="AN20" i="4"/>
  <c r="AP20" i="4" s="1"/>
  <c r="AQ20" i="4" s="1"/>
  <c r="AG21" i="4"/>
  <c r="L21" i="4"/>
  <c r="AT20" i="4"/>
  <c r="AF20" i="4"/>
  <c r="AH20" i="4" s="1"/>
  <c r="AI20" i="4" s="1"/>
  <c r="AD20" i="4"/>
  <c r="AU20" i="4"/>
  <c r="M21" i="4"/>
  <c r="AW21" i="4"/>
  <c r="Y21" i="4"/>
  <c r="Q21" i="4"/>
  <c r="AO21" i="4"/>
  <c r="C22" i="4"/>
  <c r="K24" i="3"/>
  <c r="P24" i="3"/>
  <c r="L24" i="3"/>
  <c r="N24" i="3"/>
  <c r="C25" i="3"/>
  <c r="S24" i="3" l="1"/>
  <c r="AA24" i="3"/>
  <c r="AI24" i="3"/>
  <c r="AQ24" i="3"/>
  <c r="G22" i="4"/>
  <c r="U21" i="4"/>
  <c r="AC21" i="4"/>
  <c r="AK21" i="4"/>
  <c r="AS21" i="4"/>
  <c r="D22" i="4"/>
  <c r="H22" i="4" s="1"/>
  <c r="R21" i="4"/>
  <c r="G25" i="3"/>
  <c r="J25" i="3" s="1"/>
  <c r="D25" i="3"/>
  <c r="H25" i="3" s="1"/>
  <c r="Q24" i="3"/>
  <c r="AS24" i="3" l="1"/>
  <c r="AT24" i="3"/>
  <c r="AV24" i="3" s="1"/>
  <c r="AW24" i="3" s="1"/>
  <c r="AR24" i="3"/>
  <c r="AJ24" i="3"/>
  <c r="AL24" i="3"/>
  <c r="AN24" i="3" s="1"/>
  <c r="AO24" i="3" s="1"/>
  <c r="AK24" i="3"/>
  <c r="AC24" i="3"/>
  <c r="AD24" i="3"/>
  <c r="AF24" i="3" s="1"/>
  <c r="AB24" i="3"/>
  <c r="T24" i="3"/>
  <c r="V24" i="3"/>
  <c r="X24" i="3" s="1"/>
  <c r="Y24" i="3" s="1"/>
  <c r="U24" i="3"/>
  <c r="K22" i="4"/>
  <c r="AW22" i="4" s="1"/>
  <c r="AV21" i="4"/>
  <c r="AX21" i="4" s="1"/>
  <c r="AY21" i="4" s="1"/>
  <c r="AU21" i="4"/>
  <c r="AT21" i="4"/>
  <c r="AN21" i="4"/>
  <c r="AL21" i="4"/>
  <c r="AM21" i="4"/>
  <c r="AE21" i="4"/>
  <c r="AF21" i="4"/>
  <c r="AH21" i="4" s="1"/>
  <c r="AI21" i="4" s="1"/>
  <c r="AD21" i="4"/>
  <c r="V21" i="4"/>
  <c r="X21" i="4"/>
  <c r="Z21" i="4" s="1"/>
  <c r="AA21" i="4" s="1"/>
  <c r="W21" i="4"/>
  <c r="P25" i="3"/>
  <c r="K25" i="3"/>
  <c r="L25" i="3"/>
  <c r="N25" i="3"/>
  <c r="C26" i="3"/>
  <c r="S25" i="3" l="1"/>
  <c r="AA25" i="3"/>
  <c r="AI25" i="3"/>
  <c r="AQ25" i="3"/>
  <c r="L22" i="4"/>
  <c r="M22" i="4"/>
  <c r="AK22" i="4" s="1"/>
  <c r="O22" i="4"/>
  <c r="AO22" i="4"/>
  <c r="Y22" i="4"/>
  <c r="C23" i="4"/>
  <c r="AG22" i="4"/>
  <c r="Q22" i="4"/>
  <c r="AP21" i="4"/>
  <c r="AQ21" i="4" s="1"/>
  <c r="D26" i="3"/>
  <c r="H26" i="3" s="1"/>
  <c r="Q25" i="3"/>
  <c r="G26" i="3"/>
  <c r="J26" i="3" s="1"/>
  <c r="AT25" i="3" l="1"/>
  <c r="AV25" i="3" s="1"/>
  <c r="AW25" i="3" s="1"/>
  <c r="AS25" i="3"/>
  <c r="AR25" i="3"/>
  <c r="AJ25" i="3"/>
  <c r="AL25" i="3"/>
  <c r="AN25" i="3" s="1"/>
  <c r="AO25" i="3" s="1"/>
  <c r="AK25" i="3"/>
  <c r="AD25" i="3"/>
  <c r="AF25" i="3" s="1"/>
  <c r="AC25" i="3"/>
  <c r="AB25" i="3"/>
  <c r="T25" i="3"/>
  <c r="V25" i="3"/>
  <c r="X25" i="3" s="1"/>
  <c r="Y25" i="3" s="1"/>
  <c r="U25" i="3"/>
  <c r="G23" i="4"/>
  <c r="K23" i="4" s="1"/>
  <c r="AC22" i="4"/>
  <c r="AF22" i="4" s="1"/>
  <c r="AH22" i="4" s="1"/>
  <c r="AI22" i="4" s="1"/>
  <c r="AS22" i="4"/>
  <c r="AU22" i="4" s="1"/>
  <c r="R22" i="4"/>
  <c r="U22" i="4"/>
  <c r="X22" i="4" s="1"/>
  <c r="Z22" i="4" s="1"/>
  <c r="AA22" i="4" s="1"/>
  <c r="D23" i="4"/>
  <c r="H23" i="4" s="1"/>
  <c r="AN22" i="4"/>
  <c r="AM22" i="4"/>
  <c r="AL22" i="4"/>
  <c r="P26" i="3"/>
  <c r="K26" i="3"/>
  <c r="L26" i="3"/>
  <c r="C27" i="3"/>
  <c r="N26" i="3"/>
  <c r="S26" i="3" l="1"/>
  <c r="AA26" i="3"/>
  <c r="AI26" i="3"/>
  <c r="AQ26" i="3"/>
  <c r="O23" i="4"/>
  <c r="L23" i="4"/>
  <c r="M23" i="4"/>
  <c r="AK23" i="4" s="1"/>
  <c r="AW23" i="4"/>
  <c r="AD22" i="4"/>
  <c r="AE22" i="4"/>
  <c r="AV22" i="4"/>
  <c r="AX22" i="4" s="1"/>
  <c r="AY22" i="4" s="1"/>
  <c r="V22" i="4"/>
  <c r="AT22" i="4"/>
  <c r="W22" i="4"/>
  <c r="Q23" i="4"/>
  <c r="AO23" i="4"/>
  <c r="AG23" i="4"/>
  <c r="C24" i="4"/>
  <c r="G24" i="4" s="1"/>
  <c r="Y23" i="4"/>
  <c r="AP22" i="4"/>
  <c r="AQ22" i="4" s="1"/>
  <c r="D27" i="3"/>
  <c r="H27" i="3" s="1"/>
  <c r="Q26" i="3"/>
  <c r="G27" i="3"/>
  <c r="J27" i="3" s="1"/>
  <c r="AT26" i="3" l="1"/>
  <c r="AV26" i="3" s="1"/>
  <c r="AW26" i="3" s="1"/>
  <c r="AS26" i="3"/>
  <c r="AR26" i="3"/>
  <c r="AJ26" i="3"/>
  <c r="AL26" i="3"/>
  <c r="AN26" i="3" s="1"/>
  <c r="AO26" i="3" s="1"/>
  <c r="AK26" i="3"/>
  <c r="AD26" i="3"/>
  <c r="AF26" i="3" s="1"/>
  <c r="AC26" i="3"/>
  <c r="AB26" i="3"/>
  <c r="V26" i="3"/>
  <c r="X26" i="3" s="1"/>
  <c r="Y26" i="3" s="1"/>
  <c r="T26" i="3"/>
  <c r="U26" i="3"/>
  <c r="D24" i="4"/>
  <c r="H24" i="4" s="1"/>
  <c r="R23" i="4"/>
  <c r="AC23" i="4"/>
  <c r="AF23" i="4" s="1"/>
  <c r="AH23" i="4" s="1"/>
  <c r="AI23" i="4" s="1"/>
  <c r="U23" i="4"/>
  <c r="W23" i="4" s="1"/>
  <c r="AS23" i="4"/>
  <c r="AU23" i="4" s="1"/>
  <c r="AN23" i="4"/>
  <c r="AM23" i="4"/>
  <c r="AL23" i="4"/>
  <c r="K24" i="4"/>
  <c r="AG24" i="4" s="1"/>
  <c r="K27" i="3"/>
  <c r="L27" i="3"/>
  <c r="N27" i="3"/>
  <c r="C28" i="3"/>
  <c r="P27" i="3"/>
  <c r="S27" i="3" l="1"/>
  <c r="AA27" i="3"/>
  <c r="AI27" i="3"/>
  <c r="AQ27" i="3"/>
  <c r="AE23" i="4"/>
  <c r="AD23" i="4"/>
  <c r="X23" i="4"/>
  <c r="Z23" i="4" s="1"/>
  <c r="AA23" i="4" s="1"/>
  <c r="V23" i="4"/>
  <c r="AV23" i="4"/>
  <c r="AX23" i="4" s="1"/>
  <c r="AY23" i="4" s="1"/>
  <c r="AT23" i="4"/>
  <c r="AP23" i="4"/>
  <c r="AQ23" i="4" s="1"/>
  <c r="L24" i="4"/>
  <c r="Q24" i="4"/>
  <c r="M24" i="4"/>
  <c r="AO24" i="4"/>
  <c r="AW24" i="4"/>
  <c r="O24" i="4"/>
  <c r="Y24" i="4"/>
  <c r="C25" i="4"/>
  <c r="D28" i="3"/>
  <c r="H28" i="3" s="1"/>
  <c r="G28" i="3"/>
  <c r="J28" i="3" s="1"/>
  <c r="Q27" i="3"/>
  <c r="AR27" i="3" l="1"/>
  <c r="AS27" i="3"/>
  <c r="AT27" i="3"/>
  <c r="AV27" i="3" s="1"/>
  <c r="AW27" i="3" s="1"/>
  <c r="AJ27" i="3"/>
  <c r="AK27" i="3"/>
  <c r="AL27" i="3"/>
  <c r="AN27" i="3" s="1"/>
  <c r="AO27" i="3" s="1"/>
  <c r="AB27" i="3"/>
  <c r="AD27" i="3"/>
  <c r="AF27" i="3" s="1"/>
  <c r="AC27" i="3"/>
  <c r="V27" i="3"/>
  <c r="X27" i="3" s="1"/>
  <c r="Y27" i="3" s="1"/>
  <c r="T27" i="3"/>
  <c r="U27" i="3"/>
  <c r="R24" i="4"/>
  <c r="D25" i="4"/>
  <c r="G25" i="4"/>
  <c r="U24" i="4"/>
  <c r="AC24" i="4"/>
  <c r="AK24" i="4"/>
  <c r="AS24" i="4"/>
  <c r="P28" i="3"/>
  <c r="K28" i="3"/>
  <c r="L28" i="3"/>
  <c r="N28" i="3"/>
  <c r="C29" i="3"/>
  <c r="S28" i="3" l="1"/>
  <c r="AA28" i="3"/>
  <c r="AI28" i="3"/>
  <c r="AQ28" i="3"/>
  <c r="H25" i="4"/>
  <c r="K25" i="4"/>
  <c r="AW25" i="4" s="1"/>
  <c r="AV24" i="4"/>
  <c r="AX24" i="4" s="1"/>
  <c r="AY24" i="4" s="1"/>
  <c r="AU24" i="4"/>
  <c r="AT24" i="4"/>
  <c r="V24" i="4"/>
  <c r="X24" i="4"/>
  <c r="Z24" i="4" s="1"/>
  <c r="AA24" i="4" s="1"/>
  <c r="W24" i="4"/>
  <c r="AN24" i="4"/>
  <c r="AM24" i="4"/>
  <c r="AL24" i="4"/>
  <c r="AE24" i="4"/>
  <c r="AD24" i="4"/>
  <c r="AF24" i="4"/>
  <c r="AH24" i="4" s="1"/>
  <c r="AI24" i="4" s="1"/>
  <c r="Q28" i="3"/>
  <c r="G29" i="3"/>
  <c r="J29" i="3" s="1"/>
  <c r="K29" i="3" s="1"/>
  <c r="D29" i="3"/>
  <c r="H29" i="3" s="1"/>
  <c r="AS28" i="3" l="1"/>
  <c r="AT28" i="3"/>
  <c r="AV28" i="3" s="1"/>
  <c r="AW28" i="3" s="1"/>
  <c r="AR28" i="3"/>
  <c r="AK28" i="3"/>
  <c r="AJ28" i="3"/>
  <c r="AL28" i="3"/>
  <c r="AN28" i="3" s="1"/>
  <c r="AO28" i="3" s="1"/>
  <c r="AC28" i="3"/>
  <c r="AD28" i="3"/>
  <c r="AF28" i="3" s="1"/>
  <c r="AB28" i="3"/>
  <c r="T28" i="3"/>
  <c r="V28" i="3"/>
  <c r="X28" i="3" s="1"/>
  <c r="Y28" i="3" s="1"/>
  <c r="U28" i="3"/>
  <c r="C26" i="4"/>
  <c r="G26" i="4" s="1"/>
  <c r="K26" i="4" s="1"/>
  <c r="C27" i="4" s="1"/>
  <c r="M25" i="4"/>
  <c r="U25" i="4" s="1"/>
  <c r="Q25" i="4"/>
  <c r="L25" i="4"/>
  <c r="Y25" i="4"/>
  <c r="AG25" i="4"/>
  <c r="O25" i="4"/>
  <c r="AO25" i="4"/>
  <c r="AP24" i="4"/>
  <c r="AQ24" i="4" s="1"/>
  <c r="P29" i="3"/>
  <c r="L29" i="3"/>
  <c r="N29" i="3"/>
  <c r="C30" i="3"/>
  <c r="S29" i="3" l="1"/>
  <c r="AA29" i="3"/>
  <c r="AI29" i="3"/>
  <c r="AQ29" i="3"/>
  <c r="D26" i="4"/>
  <c r="H26" i="4" s="1"/>
  <c r="AK25" i="4"/>
  <c r="AL25" i="4" s="1"/>
  <c r="AS25" i="4"/>
  <c r="AU25" i="4" s="1"/>
  <c r="AC25" i="4"/>
  <c r="AE25" i="4" s="1"/>
  <c r="R25" i="4"/>
  <c r="O26" i="4"/>
  <c r="D27" i="4"/>
  <c r="G27" i="4"/>
  <c r="AG26" i="4"/>
  <c r="Y26" i="4"/>
  <c r="V25" i="4"/>
  <c r="X25" i="4"/>
  <c r="Z25" i="4" s="1"/>
  <c r="AA25" i="4" s="1"/>
  <c r="W25" i="4"/>
  <c r="L26" i="4"/>
  <c r="Q26" i="4"/>
  <c r="M26" i="4"/>
  <c r="AW26" i="4"/>
  <c r="AO26" i="4"/>
  <c r="Q29" i="3"/>
  <c r="G30" i="3"/>
  <c r="J30" i="3" s="1"/>
  <c r="D30" i="3"/>
  <c r="H30" i="3" s="1"/>
  <c r="AT29" i="3" l="1"/>
  <c r="AV29" i="3" s="1"/>
  <c r="AW29" i="3" s="1"/>
  <c r="AR29" i="3"/>
  <c r="AS29" i="3"/>
  <c r="AJ29" i="3"/>
  <c r="AL29" i="3"/>
  <c r="AN29" i="3" s="1"/>
  <c r="AO29" i="3" s="1"/>
  <c r="AK29" i="3"/>
  <c r="AD29" i="3"/>
  <c r="AF29" i="3" s="1"/>
  <c r="AB29" i="3"/>
  <c r="AC29" i="3"/>
  <c r="T29" i="3"/>
  <c r="V29" i="3"/>
  <c r="X29" i="3" s="1"/>
  <c r="Y29" i="3" s="1"/>
  <c r="U29" i="3"/>
  <c r="AN25" i="4"/>
  <c r="AP25" i="4" s="1"/>
  <c r="AQ25" i="4" s="1"/>
  <c r="H27" i="4"/>
  <c r="AV25" i="4"/>
  <c r="AX25" i="4" s="1"/>
  <c r="AY25" i="4" s="1"/>
  <c r="AT25" i="4"/>
  <c r="AM25" i="4"/>
  <c r="AD25" i="4"/>
  <c r="AF25" i="4"/>
  <c r="AH25" i="4" s="1"/>
  <c r="AI25" i="4" s="1"/>
  <c r="R26" i="4"/>
  <c r="U26" i="4"/>
  <c r="AC26" i="4"/>
  <c r="AK26" i="4"/>
  <c r="AS26" i="4"/>
  <c r="K27" i="4"/>
  <c r="AG27" i="4" s="1"/>
  <c r="P30" i="3"/>
  <c r="K30" i="3"/>
  <c r="L30" i="3"/>
  <c r="N30" i="3"/>
  <c r="C31" i="3"/>
  <c r="S30" i="3" l="1"/>
  <c r="AA30" i="3"/>
  <c r="AI30" i="3"/>
  <c r="AQ30" i="3"/>
  <c r="V26" i="4"/>
  <c r="X26" i="4"/>
  <c r="Z26" i="4" s="1"/>
  <c r="AA26" i="4" s="1"/>
  <c r="W26" i="4"/>
  <c r="AN26" i="4"/>
  <c r="AM26" i="4"/>
  <c r="AL26" i="4"/>
  <c r="L27" i="4"/>
  <c r="Q27" i="4"/>
  <c r="M27" i="4"/>
  <c r="AT26" i="4"/>
  <c r="AV26" i="4"/>
  <c r="AX26" i="4" s="1"/>
  <c r="AY26" i="4" s="1"/>
  <c r="AU26" i="4"/>
  <c r="Y27" i="4"/>
  <c r="O27" i="4"/>
  <c r="AW27" i="4"/>
  <c r="AO27" i="4"/>
  <c r="AE26" i="4"/>
  <c r="AF26" i="4"/>
  <c r="AH26" i="4" s="1"/>
  <c r="AI26" i="4" s="1"/>
  <c r="AD26" i="4"/>
  <c r="C28" i="4"/>
  <c r="Q30" i="3"/>
  <c r="G31" i="3"/>
  <c r="D31" i="3"/>
  <c r="H31" i="3" s="1"/>
  <c r="AK30" i="3" l="1"/>
  <c r="AL30" i="3"/>
  <c r="AN30" i="3" s="1"/>
  <c r="AO30" i="3" s="1"/>
  <c r="AJ30" i="3"/>
  <c r="AD30" i="3"/>
  <c r="AF30" i="3" s="1"/>
  <c r="AC30" i="3"/>
  <c r="AB30" i="3"/>
  <c r="V30" i="3"/>
  <c r="X30" i="3" s="1"/>
  <c r="Y30" i="3" s="1"/>
  <c r="T30" i="3"/>
  <c r="U30" i="3"/>
  <c r="AR30" i="3"/>
  <c r="AS30" i="3"/>
  <c r="AT30" i="3"/>
  <c r="AV30" i="3" s="1"/>
  <c r="AW30" i="3" s="1"/>
  <c r="R27" i="4"/>
  <c r="U27" i="4"/>
  <c r="AC27" i="4"/>
  <c r="AK27" i="4"/>
  <c r="AS27" i="4"/>
  <c r="D28" i="4"/>
  <c r="H28" i="4" s="1"/>
  <c r="G28" i="4"/>
  <c r="AP26" i="4"/>
  <c r="AQ26" i="4" s="1"/>
  <c r="J31" i="3"/>
  <c r="K28" i="4" l="1"/>
  <c r="AG28" i="4" s="1"/>
  <c r="V27" i="4"/>
  <c r="X27" i="4"/>
  <c r="Z27" i="4" s="1"/>
  <c r="AA27" i="4" s="1"/>
  <c r="W27" i="4"/>
  <c r="AV27" i="4"/>
  <c r="AX27" i="4" s="1"/>
  <c r="AY27" i="4" s="1"/>
  <c r="AT27" i="4"/>
  <c r="AU27" i="4"/>
  <c r="AN27" i="4"/>
  <c r="AM27" i="4"/>
  <c r="AL27" i="4"/>
  <c r="AE27" i="4"/>
  <c r="AD27" i="4"/>
  <c r="AF27" i="4"/>
  <c r="AH27" i="4" s="1"/>
  <c r="AI27" i="4" s="1"/>
  <c r="L31" i="3"/>
  <c r="K31" i="3"/>
  <c r="P31" i="3"/>
  <c r="N31" i="3"/>
  <c r="C32" i="3"/>
  <c r="S31" i="3" l="1"/>
  <c r="AA31" i="3"/>
  <c r="AI31" i="3"/>
  <c r="AQ31" i="3"/>
  <c r="AO28" i="4"/>
  <c r="Y28" i="4"/>
  <c r="C29" i="4"/>
  <c r="AW28" i="4"/>
  <c r="L28" i="4"/>
  <c r="Q28" i="4"/>
  <c r="M28" i="4"/>
  <c r="AP27" i="4"/>
  <c r="AQ27" i="4" s="1"/>
  <c r="O28" i="4"/>
  <c r="D32" i="3"/>
  <c r="H32" i="3" s="1"/>
  <c r="Q31" i="3"/>
  <c r="G32" i="3"/>
  <c r="J32" i="3" s="1"/>
  <c r="K32" i="3" s="1"/>
  <c r="AR31" i="3" l="1"/>
  <c r="AT31" i="3"/>
  <c r="AV31" i="3" s="1"/>
  <c r="AW31" i="3" s="1"/>
  <c r="AS31" i="3"/>
  <c r="AJ31" i="3"/>
  <c r="AK31" i="3"/>
  <c r="AL31" i="3"/>
  <c r="AN31" i="3" s="1"/>
  <c r="AO31" i="3" s="1"/>
  <c r="AD31" i="3"/>
  <c r="AF31" i="3" s="1"/>
  <c r="AB31" i="3"/>
  <c r="AC31" i="3"/>
  <c r="V31" i="3"/>
  <c r="X31" i="3" s="1"/>
  <c r="Y31" i="3" s="1"/>
  <c r="T31" i="3"/>
  <c r="U31" i="3"/>
  <c r="D29" i="4"/>
  <c r="G29" i="4"/>
  <c r="U28" i="4"/>
  <c r="AC28" i="4"/>
  <c r="AK28" i="4"/>
  <c r="AS28" i="4"/>
  <c r="R28" i="4"/>
  <c r="P32" i="3"/>
  <c r="L32" i="3"/>
  <c r="N32" i="3"/>
  <c r="C33" i="3"/>
  <c r="S32" i="3" l="1"/>
  <c r="AA32" i="3"/>
  <c r="AI32" i="3"/>
  <c r="AQ32" i="3"/>
  <c r="H29" i="4"/>
  <c r="V28" i="4"/>
  <c r="X28" i="4"/>
  <c r="Z28" i="4" s="1"/>
  <c r="AA28" i="4" s="1"/>
  <c r="W28" i="4"/>
  <c r="AF28" i="4"/>
  <c r="AH28" i="4" s="1"/>
  <c r="AI28" i="4" s="1"/>
  <c r="AE28" i="4"/>
  <c r="AD28" i="4"/>
  <c r="AT28" i="4"/>
  <c r="AU28" i="4"/>
  <c r="AV28" i="4"/>
  <c r="AX28" i="4" s="1"/>
  <c r="AY28" i="4" s="1"/>
  <c r="AM28" i="4"/>
  <c r="AL28" i="4"/>
  <c r="AN28" i="4"/>
  <c r="K29" i="4"/>
  <c r="Q32" i="3"/>
  <c r="G33" i="3"/>
  <c r="J33" i="3" s="1"/>
  <c r="D33" i="3"/>
  <c r="H33" i="3" s="1"/>
  <c r="T32" i="3" l="1"/>
  <c r="V32" i="3"/>
  <c r="X32" i="3" s="1"/>
  <c r="Y32" i="3" s="1"/>
  <c r="U32" i="3"/>
  <c r="AS32" i="3"/>
  <c r="AT32" i="3"/>
  <c r="AV32" i="3" s="1"/>
  <c r="AW32" i="3" s="1"/>
  <c r="AR32" i="3"/>
  <c r="AL32" i="3"/>
  <c r="AN32" i="3" s="1"/>
  <c r="AO32" i="3" s="1"/>
  <c r="AK32" i="3"/>
  <c r="AJ32" i="3"/>
  <c r="AC32" i="3"/>
  <c r="AD32" i="3"/>
  <c r="AF32" i="3" s="1"/>
  <c r="AB32" i="3"/>
  <c r="L29" i="4"/>
  <c r="Q29" i="4"/>
  <c r="M29" i="4"/>
  <c r="C30" i="4"/>
  <c r="O29" i="4"/>
  <c r="AP28" i="4"/>
  <c r="AQ28" i="4" s="1"/>
  <c r="AO29" i="4"/>
  <c r="AW29" i="4"/>
  <c r="Y29" i="4"/>
  <c r="AG29" i="4"/>
  <c r="P33" i="3"/>
  <c r="K33" i="3"/>
  <c r="L33" i="3"/>
  <c r="N33" i="3"/>
  <c r="C34" i="3"/>
  <c r="S33" i="3" l="1"/>
  <c r="AA33" i="3"/>
  <c r="AI33" i="3"/>
  <c r="AQ33" i="3"/>
  <c r="D30" i="4"/>
  <c r="H30" i="4" s="1"/>
  <c r="G30" i="4"/>
  <c r="U29" i="4"/>
  <c r="AC29" i="4"/>
  <c r="AK29" i="4"/>
  <c r="AS29" i="4"/>
  <c r="R29" i="4"/>
  <c r="G34" i="3"/>
  <c r="J34" i="3" s="1"/>
  <c r="D34" i="3"/>
  <c r="H34" i="3" s="1"/>
  <c r="Q33" i="3"/>
  <c r="AJ33" i="3" l="1"/>
  <c r="AK33" i="3"/>
  <c r="AL33" i="3"/>
  <c r="AN33" i="3" s="1"/>
  <c r="AO33" i="3" s="1"/>
  <c r="AT33" i="3"/>
  <c r="AV33" i="3" s="1"/>
  <c r="AW33" i="3" s="1"/>
  <c r="AS33" i="3"/>
  <c r="AR33" i="3"/>
  <c r="AD33" i="3"/>
  <c r="AF33" i="3" s="1"/>
  <c r="AC33" i="3"/>
  <c r="AB33" i="3"/>
  <c r="U33" i="3"/>
  <c r="V33" i="3"/>
  <c r="X33" i="3" s="1"/>
  <c r="Y33" i="3" s="1"/>
  <c r="T33" i="3"/>
  <c r="K30" i="4"/>
  <c r="AG30" i="4" s="1"/>
  <c r="AN29" i="4"/>
  <c r="AL29" i="4"/>
  <c r="AM29" i="4"/>
  <c r="AF29" i="4"/>
  <c r="AH29" i="4" s="1"/>
  <c r="AI29" i="4" s="1"/>
  <c r="AE29" i="4"/>
  <c r="AD29" i="4"/>
  <c r="W29" i="4"/>
  <c r="V29" i="4"/>
  <c r="X29" i="4"/>
  <c r="Z29" i="4" s="1"/>
  <c r="AA29" i="4" s="1"/>
  <c r="AT29" i="4"/>
  <c r="AV29" i="4"/>
  <c r="AX29" i="4" s="1"/>
  <c r="AY29" i="4" s="1"/>
  <c r="AU29" i="4"/>
  <c r="L34" i="3"/>
  <c r="K34" i="3"/>
  <c r="P34" i="3"/>
  <c r="N34" i="3"/>
  <c r="C35" i="3"/>
  <c r="S34" i="3" l="1"/>
  <c r="AA34" i="3"/>
  <c r="AI34" i="3"/>
  <c r="AQ34" i="3"/>
  <c r="AO30" i="4"/>
  <c r="O30" i="4"/>
  <c r="L30" i="4"/>
  <c r="C31" i="4"/>
  <c r="G31" i="4" s="1"/>
  <c r="Q30" i="4"/>
  <c r="AW30" i="4"/>
  <c r="Y30" i="4"/>
  <c r="M30" i="4"/>
  <c r="U30" i="4" s="1"/>
  <c r="AP29" i="4"/>
  <c r="AQ29" i="4" s="1"/>
  <c r="Q34" i="3"/>
  <c r="G35" i="3"/>
  <c r="D35" i="3"/>
  <c r="H35" i="3" s="1"/>
  <c r="AL34" i="3" l="1"/>
  <c r="AN34" i="3" s="1"/>
  <c r="AO34" i="3" s="1"/>
  <c r="AK34" i="3"/>
  <c r="AJ34" i="3"/>
  <c r="AD34" i="3"/>
  <c r="AF34" i="3" s="1"/>
  <c r="AC34" i="3"/>
  <c r="AB34" i="3"/>
  <c r="AS34" i="3"/>
  <c r="AT34" i="3"/>
  <c r="AV34" i="3" s="1"/>
  <c r="AW34" i="3" s="1"/>
  <c r="AR34" i="3"/>
  <c r="V34" i="3"/>
  <c r="X34" i="3" s="1"/>
  <c r="Y34" i="3" s="1"/>
  <c r="U34" i="3"/>
  <c r="T34" i="3"/>
  <c r="R30" i="4"/>
  <c r="D31" i="4"/>
  <c r="H31" i="4" s="1"/>
  <c r="AS30" i="4"/>
  <c r="AU30" i="4" s="1"/>
  <c r="AK30" i="4"/>
  <c r="AM30" i="4" s="1"/>
  <c r="AC30" i="4"/>
  <c r="AF30" i="4" s="1"/>
  <c r="AH30" i="4" s="1"/>
  <c r="AI30" i="4" s="1"/>
  <c r="K31" i="4"/>
  <c r="Y31" i="4" s="1"/>
  <c r="W30" i="4"/>
  <c r="V30" i="4"/>
  <c r="X30" i="4"/>
  <c r="Z30" i="4" s="1"/>
  <c r="AA30" i="4" s="1"/>
  <c r="J35" i="3"/>
  <c r="AV30" i="4" l="1"/>
  <c r="AX30" i="4" s="1"/>
  <c r="AY30" i="4" s="1"/>
  <c r="AN30" i="4"/>
  <c r="AP30" i="4" s="1"/>
  <c r="AQ30" i="4" s="1"/>
  <c r="AT30" i="4"/>
  <c r="AD30" i="4"/>
  <c r="AE30" i="4"/>
  <c r="AL30" i="4"/>
  <c r="M31" i="4"/>
  <c r="AC31" i="4" s="1"/>
  <c r="C32" i="4"/>
  <c r="G32" i="4" s="1"/>
  <c r="K32" i="4" s="1"/>
  <c r="Q31" i="4"/>
  <c r="AO31" i="4"/>
  <c r="AW31" i="4"/>
  <c r="O31" i="4"/>
  <c r="L31" i="4"/>
  <c r="AG31" i="4"/>
  <c r="L35" i="3"/>
  <c r="K35" i="3"/>
  <c r="P35" i="3"/>
  <c r="N35" i="3"/>
  <c r="C36" i="3"/>
  <c r="S35" i="3" l="1"/>
  <c r="AA35" i="3"/>
  <c r="AI35" i="3"/>
  <c r="AQ35" i="3"/>
  <c r="D32" i="4"/>
  <c r="H32" i="4" s="1"/>
  <c r="U31" i="4"/>
  <c r="V31" i="4" s="1"/>
  <c r="AK31" i="4"/>
  <c r="AL31" i="4" s="1"/>
  <c r="AS31" i="4"/>
  <c r="AU31" i="4" s="1"/>
  <c r="R31" i="4"/>
  <c r="O32" i="4"/>
  <c r="L32" i="4"/>
  <c r="Q32" i="4"/>
  <c r="M32" i="4"/>
  <c r="C33" i="4"/>
  <c r="AG32" i="4"/>
  <c r="Y32" i="4"/>
  <c r="AF31" i="4"/>
  <c r="AH31" i="4" s="1"/>
  <c r="AI31" i="4" s="1"/>
  <c r="AE31" i="4"/>
  <c r="AD31" i="4"/>
  <c r="AW32" i="4"/>
  <c r="AO32" i="4"/>
  <c r="Q35" i="3"/>
  <c r="G36" i="3"/>
  <c r="D36" i="3"/>
  <c r="H36" i="3" s="1"/>
  <c r="AR35" i="3" l="1"/>
  <c r="AT35" i="3"/>
  <c r="AV35" i="3" s="1"/>
  <c r="AW35" i="3" s="1"/>
  <c r="AS35" i="3"/>
  <c r="AJ35" i="3"/>
  <c r="AL35" i="3"/>
  <c r="AN35" i="3" s="1"/>
  <c r="AO35" i="3" s="1"/>
  <c r="AK35" i="3"/>
  <c r="AD35" i="3"/>
  <c r="AF35" i="3" s="1"/>
  <c r="AC35" i="3"/>
  <c r="AB35" i="3"/>
  <c r="V35" i="3"/>
  <c r="X35" i="3" s="1"/>
  <c r="Y35" i="3" s="1"/>
  <c r="T35" i="3"/>
  <c r="U35" i="3"/>
  <c r="X31" i="4"/>
  <c r="Z31" i="4" s="1"/>
  <c r="AA31" i="4" s="1"/>
  <c r="W31" i="4"/>
  <c r="AN31" i="4"/>
  <c r="AP31" i="4" s="1"/>
  <c r="AQ31" i="4" s="1"/>
  <c r="AM31" i="4"/>
  <c r="AV31" i="4"/>
  <c r="AX31" i="4" s="1"/>
  <c r="AY31" i="4" s="1"/>
  <c r="AT31" i="4"/>
  <c r="R32" i="4"/>
  <c r="D33" i="4"/>
  <c r="H33" i="4" s="1"/>
  <c r="G33" i="4"/>
  <c r="K33" i="4" s="1"/>
  <c r="C34" i="4" s="1"/>
  <c r="U32" i="4"/>
  <c r="AC32" i="4"/>
  <c r="AK32" i="4"/>
  <c r="AS32" i="4"/>
  <c r="J36" i="3"/>
  <c r="Y33" i="4" l="1"/>
  <c r="D34" i="4"/>
  <c r="H34" i="4" s="1"/>
  <c r="G34" i="4"/>
  <c r="K34" i="4" s="1"/>
  <c r="AO34" i="4" s="1"/>
  <c r="AD32" i="4"/>
  <c r="AE32" i="4"/>
  <c r="AF32" i="4"/>
  <c r="AH32" i="4" s="1"/>
  <c r="AI32" i="4" s="1"/>
  <c r="AW33" i="4"/>
  <c r="O33" i="4"/>
  <c r="X32" i="4"/>
  <c r="Z32" i="4" s="1"/>
  <c r="AA32" i="4" s="1"/>
  <c r="W32" i="4"/>
  <c r="V32" i="4"/>
  <c r="AO33" i="4"/>
  <c r="AU32" i="4"/>
  <c r="AV32" i="4"/>
  <c r="AX32" i="4" s="1"/>
  <c r="AY32" i="4" s="1"/>
  <c r="AT32" i="4"/>
  <c r="L33" i="4"/>
  <c r="Q33" i="4"/>
  <c r="M33" i="4"/>
  <c r="AG33" i="4"/>
  <c r="AL32" i="4"/>
  <c r="AN32" i="4"/>
  <c r="AM32" i="4"/>
  <c r="L36" i="3"/>
  <c r="K36" i="3"/>
  <c r="P36" i="3"/>
  <c r="N36" i="3"/>
  <c r="C37" i="3"/>
  <c r="S36" i="3" l="1"/>
  <c r="AA36" i="3"/>
  <c r="AI36" i="3"/>
  <c r="AQ36" i="3"/>
  <c r="R33" i="4"/>
  <c r="C35" i="4"/>
  <c r="G35" i="4" s="1"/>
  <c r="O34" i="4"/>
  <c r="AP32" i="4"/>
  <c r="AQ32" i="4" s="1"/>
  <c r="L34" i="4"/>
  <c r="Q34" i="4"/>
  <c r="M34" i="4"/>
  <c r="Y34" i="4"/>
  <c r="AW34" i="4"/>
  <c r="U33" i="4"/>
  <c r="AC33" i="4"/>
  <c r="AK33" i="4"/>
  <c r="AS33" i="4"/>
  <c r="AG34" i="4"/>
  <c r="Q36" i="3"/>
  <c r="D37" i="3"/>
  <c r="H37" i="3" s="1"/>
  <c r="G37" i="3"/>
  <c r="J37" i="3" s="1"/>
  <c r="K37" i="3" s="1"/>
  <c r="AC36" i="3" l="1"/>
  <c r="AD36" i="3"/>
  <c r="AF36" i="3" s="1"/>
  <c r="AB36" i="3"/>
  <c r="AS36" i="3"/>
  <c r="AT36" i="3"/>
  <c r="AV36" i="3" s="1"/>
  <c r="AW36" i="3" s="1"/>
  <c r="AR36" i="3"/>
  <c r="AK36" i="3"/>
  <c r="AL36" i="3"/>
  <c r="AN36" i="3" s="1"/>
  <c r="AO36" i="3" s="1"/>
  <c r="AJ36" i="3"/>
  <c r="T36" i="3"/>
  <c r="V36" i="3"/>
  <c r="X36" i="3" s="1"/>
  <c r="Y36" i="3" s="1"/>
  <c r="U36" i="3"/>
  <c r="R34" i="4"/>
  <c r="D35" i="4"/>
  <c r="H35" i="4" s="1"/>
  <c r="AF33" i="4"/>
  <c r="AH33" i="4" s="1"/>
  <c r="AI33" i="4" s="1"/>
  <c r="AE33" i="4"/>
  <c r="AD33" i="4"/>
  <c r="X33" i="4"/>
  <c r="Z33" i="4" s="1"/>
  <c r="AA33" i="4" s="1"/>
  <c r="V33" i="4"/>
  <c r="W33" i="4"/>
  <c r="AU33" i="4"/>
  <c r="AT33" i="4"/>
  <c r="AV33" i="4"/>
  <c r="AX33" i="4" s="1"/>
  <c r="AY33" i="4" s="1"/>
  <c r="U34" i="4"/>
  <c r="AC34" i="4"/>
  <c r="AK34" i="4"/>
  <c r="AS34" i="4"/>
  <c r="AL33" i="4"/>
  <c r="AM33" i="4"/>
  <c r="AN33" i="4"/>
  <c r="K35" i="4"/>
  <c r="C36" i="4" s="1"/>
  <c r="P37" i="3"/>
  <c r="L37" i="3"/>
  <c r="N37" i="3"/>
  <c r="C38" i="3"/>
  <c r="S37" i="3" l="1"/>
  <c r="AA37" i="3"/>
  <c r="AI37" i="3"/>
  <c r="AQ37" i="3"/>
  <c r="D36" i="4"/>
  <c r="H36" i="4" s="1"/>
  <c r="G36" i="4"/>
  <c r="K36" i="4" s="1"/>
  <c r="AU34" i="4"/>
  <c r="AV34" i="4"/>
  <c r="AX34" i="4" s="1"/>
  <c r="AY34" i="4" s="1"/>
  <c r="AT34" i="4"/>
  <c r="AW35" i="4"/>
  <c r="AL34" i="4"/>
  <c r="AN34" i="4"/>
  <c r="AM34" i="4"/>
  <c r="L35" i="4"/>
  <c r="Q35" i="4"/>
  <c r="M35" i="4"/>
  <c r="AD34" i="4"/>
  <c r="AF34" i="4"/>
  <c r="AH34" i="4" s="1"/>
  <c r="AI34" i="4" s="1"/>
  <c r="AE34" i="4"/>
  <c r="Y35" i="4"/>
  <c r="AP33" i="4"/>
  <c r="AQ33" i="4" s="1"/>
  <c r="AO35" i="4"/>
  <c r="X34" i="4"/>
  <c r="Z34" i="4" s="1"/>
  <c r="AA34" i="4" s="1"/>
  <c r="W34" i="4"/>
  <c r="V34" i="4"/>
  <c r="O35" i="4"/>
  <c r="AG35" i="4"/>
  <c r="Q37" i="3"/>
  <c r="D38" i="3"/>
  <c r="H38" i="3" s="1"/>
  <c r="G38" i="3"/>
  <c r="J38" i="3" s="1"/>
  <c r="AT37" i="3" l="1"/>
  <c r="AV37" i="3" s="1"/>
  <c r="AW37" i="3" s="1"/>
  <c r="AR37" i="3"/>
  <c r="AS37" i="3"/>
  <c r="AJ37" i="3"/>
  <c r="AK37" i="3"/>
  <c r="AL37" i="3"/>
  <c r="AN37" i="3" s="1"/>
  <c r="AO37" i="3" s="1"/>
  <c r="AD37" i="3"/>
  <c r="AF37" i="3" s="1"/>
  <c r="AB37" i="3"/>
  <c r="AC37" i="3"/>
  <c r="U37" i="3"/>
  <c r="V37" i="3"/>
  <c r="X37" i="3" s="1"/>
  <c r="Y37" i="3" s="1"/>
  <c r="T37" i="3"/>
  <c r="C37" i="4"/>
  <c r="G37" i="4" s="1"/>
  <c r="L36" i="4"/>
  <c r="Q36" i="4"/>
  <c r="M36" i="4"/>
  <c r="Y36" i="4"/>
  <c r="U35" i="4"/>
  <c r="AC35" i="4"/>
  <c r="AK35" i="4"/>
  <c r="AS35" i="4"/>
  <c r="AP34" i="4"/>
  <c r="AQ34" i="4" s="1"/>
  <c r="AW36" i="4"/>
  <c r="O36" i="4"/>
  <c r="AO36" i="4"/>
  <c r="R35" i="4"/>
  <c r="AG36" i="4"/>
  <c r="P38" i="3"/>
  <c r="K38" i="3"/>
  <c r="L38" i="3"/>
  <c r="N38" i="3"/>
  <c r="C39" i="3"/>
  <c r="S38" i="3" l="1"/>
  <c r="AA38" i="3"/>
  <c r="AI38" i="3"/>
  <c r="AQ38" i="3"/>
  <c r="D37" i="4"/>
  <c r="H37" i="4" s="1"/>
  <c r="AF35" i="4"/>
  <c r="AH35" i="4" s="1"/>
  <c r="AI35" i="4" s="1"/>
  <c r="AE35" i="4"/>
  <c r="AD35" i="4"/>
  <c r="X35" i="4"/>
  <c r="Z35" i="4" s="1"/>
  <c r="AA35" i="4" s="1"/>
  <c r="W35" i="4"/>
  <c r="V35" i="4"/>
  <c r="R36" i="4"/>
  <c r="AU35" i="4"/>
  <c r="AV35" i="4"/>
  <c r="AX35" i="4" s="1"/>
  <c r="AY35" i="4" s="1"/>
  <c r="AT35" i="4"/>
  <c r="AL35" i="4"/>
  <c r="AM35" i="4"/>
  <c r="AN35" i="4"/>
  <c r="U36" i="4"/>
  <c r="AC36" i="4"/>
  <c r="AK36" i="4"/>
  <c r="AS36" i="4"/>
  <c r="K37" i="4"/>
  <c r="AW37" i="4" s="1"/>
  <c r="Q38" i="3"/>
  <c r="D39" i="3"/>
  <c r="H39" i="3" s="1"/>
  <c r="G39" i="3"/>
  <c r="J39" i="3" s="1"/>
  <c r="AT38" i="3" l="1"/>
  <c r="AV38" i="3" s="1"/>
  <c r="AW38" i="3" s="1"/>
  <c r="AR38" i="3"/>
  <c r="AS38" i="3"/>
  <c r="AL38" i="3"/>
  <c r="AN38" i="3" s="1"/>
  <c r="AO38" i="3" s="1"/>
  <c r="AK38" i="3"/>
  <c r="AJ38" i="3"/>
  <c r="V38" i="3"/>
  <c r="X38" i="3" s="1"/>
  <c r="Y38" i="3" s="1"/>
  <c r="U38" i="3"/>
  <c r="T38" i="3"/>
  <c r="AD38" i="3"/>
  <c r="AF38" i="3" s="1"/>
  <c r="AB38" i="3"/>
  <c r="AC38" i="3"/>
  <c r="AG37" i="4"/>
  <c r="C38" i="4"/>
  <c r="G38" i="4" s="1"/>
  <c r="K38" i="4" s="1"/>
  <c r="AO38" i="4" s="1"/>
  <c r="AL36" i="4"/>
  <c r="AN36" i="4"/>
  <c r="AM36" i="4"/>
  <c r="AU36" i="4"/>
  <c r="AV36" i="4"/>
  <c r="AX36" i="4" s="1"/>
  <c r="AY36" i="4" s="1"/>
  <c r="AT36" i="4"/>
  <c r="AP35" i="4"/>
  <c r="AQ35" i="4" s="1"/>
  <c r="AD36" i="4"/>
  <c r="AF36" i="4"/>
  <c r="AH36" i="4" s="1"/>
  <c r="AI36" i="4" s="1"/>
  <c r="AE36" i="4"/>
  <c r="L37" i="4"/>
  <c r="Q37" i="4"/>
  <c r="M37" i="4"/>
  <c r="AO37" i="4"/>
  <c r="X36" i="4"/>
  <c r="Z36" i="4" s="1"/>
  <c r="AA36" i="4" s="1"/>
  <c r="W36" i="4"/>
  <c r="V36" i="4"/>
  <c r="Y37" i="4"/>
  <c r="O37" i="4"/>
  <c r="P39" i="3"/>
  <c r="K39" i="3"/>
  <c r="L39" i="3"/>
  <c r="N39" i="3"/>
  <c r="C40" i="3"/>
  <c r="S39" i="3" l="1"/>
  <c r="AA39" i="3"/>
  <c r="AI39" i="3"/>
  <c r="AQ39" i="3"/>
  <c r="D38" i="4"/>
  <c r="H38" i="4" s="1"/>
  <c r="O38" i="4"/>
  <c r="L38" i="4"/>
  <c r="Q38" i="4"/>
  <c r="M38" i="4"/>
  <c r="Y38" i="4"/>
  <c r="R37" i="4"/>
  <c r="AW38" i="4"/>
  <c r="C39" i="4"/>
  <c r="AP36" i="4"/>
  <c r="AQ36" i="4" s="1"/>
  <c r="U37" i="4"/>
  <c r="AC37" i="4"/>
  <c r="AK37" i="4"/>
  <c r="AS37" i="4"/>
  <c r="AG38" i="4"/>
  <c r="Q39" i="3"/>
  <c r="D40" i="3"/>
  <c r="H40" i="3" s="1"/>
  <c r="G40" i="3"/>
  <c r="J40" i="3" s="1"/>
  <c r="AR39" i="3" l="1"/>
  <c r="AS39" i="3"/>
  <c r="AT39" i="3"/>
  <c r="AV39" i="3" s="1"/>
  <c r="AW39" i="3" s="1"/>
  <c r="AD39" i="3"/>
  <c r="AF39" i="3" s="1"/>
  <c r="AC39" i="3"/>
  <c r="AB39" i="3"/>
  <c r="AJ39" i="3"/>
  <c r="AL39" i="3"/>
  <c r="AN39" i="3" s="1"/>
  <c r="AO39" i="3" s="1"/>
  <c r="AK39" i="3"/>
  <c r="V39" i="3"/>
  <c r="X39" i="3" s="1"/>
  <c r="Y39" i="3" s="1"/>
  <c r="T39" i="3"/>
  <c r="U39" i="3"/>
  <c r="R38" i="4"/>
  <c r="AF37" i="4"/>
  <c r="AH37" i="4" s="1"/>
  <c r="AI37" i="4" s="1"/>
  <c r="AE37" i="4"/>
  <c r="AD37" i="4"/>
  <c r="U38" i="4"/>
  <c r="AC38" i="4"/>
  <c r="AK38" i="4"/>
  <c r="AS38" i="4"/>
  <c r="X37" i="4"/>
  <c r="Z37" i="4" s="1"/>
  <c r="AA37" i="4" s="1"/>
  <c r="W37" i="4"/>
  <c r="V37" i="4"/>
  <c r="D39" i="4"/>
  <c r="H39" i="4" s="1"/>
  <c r="G39" i="4"/>
  <c r="H2" i="4" s="1"/>
  <c r="AU37" i="4"/>
  <c r="AV37" i="4"/>
  <c r="AX37" i="4" s="1"/>
  <c r="AY37" i="4" s="1"/>
  <c r="AT37" i="4"/>
  <c r="AL37" i="4"/>
  <c r="AM37" i="4"/>
  <c r="AN37" i="4"/>
  <c r="P40" i="3"/>
  <c r="K40" i="3"/>
  <c r="L40" i="3"/>
  <c r="N40" i="3"/>
  <c r="C41" i="3"/>
  <c r="S40" i="3" l="1"/>
  <c r="AA40" i="3"/>
  <c r="AI40" i="3"/>
  <c r="AQ40" i="3"/>
  <c r="K39" i="4"/>
  <c r="AG39" i="4" s="1"/>
  <c r="AU38" i="4"/>
  <c r="AT38" i="4"/>
  <c r="AV38" i="4"/>
  <c r="AX38" i="4" s="1"/>
  <c r="AY38" i="4" s="1"/>
  <c r="AP37" i="4"/>
  <c r="AQ37" i="4" s="1"/>
  <c r="AL38" i="4"/>
  <c r="AN38" i="4"/>
  <c r="AM38" i="4"/>
  <c r="AD38" i="4"/>
  <c r="AF38" i="4"/>
  <c r="AH38" i="4" s="1"/>
  <c r="AI38" i="4" s="1"/>
  <c r="AE38" i="4"/>
  <c r="X38" i="4"/>
  <c r="Z38" i="4" s="1"/>
  <c r="AA38" i="4" s="1"/>
  <c r="W38" i="4"/>
  <c r="V38" i="4"/>
  <c r="Q40" i="3"/>
  <c r="G41" i="3"/>
  <c r="J41" i="3" s="1"/>
  <c r="D41" i="3"/>
  <c r="H41" i="3" s="1"/>
  <c r="AS40" i="3" l="1"/>
  <c r="AT40" i="3"/>
  <c r="AV40" i="3" s="1"/>
  <c r="AW40" i="3" s="1"/>
  <c r="AR40" i="3"/>
  <c r="AK40" i="3"/>
  <c r="AL40" i="3"/>
  <c r="AN40" i="3" s="1"/>
  <c r="AO40" i="3" s="1"/>
  <c r="AJ40" i="3"/>
  <c r="AC40" i="3"/>
  <c r="AD40" i="3"/>
  <c r="AF40" i="3" s="1"/>
  <c r="AB40" i="3"/>
  <c r="T40" i="3"/>
  <c r="V40" i="3"/>
  <c r="X40" i="3" s="1"/>
  <c r="Y40" i="3" s="1"/>
  <c r="U40" i="3"/>
  <c r="L39" i="4"/>
  <c r="Q39" i="4"/>
  <c r="M39" i="4"/>
  <c r="AP38" i="4"/>
  <c r="AQ38" i="4" s="1"/>
  <c r="O39" i="4"/>
  <c r="AW39" i="4"/>
  <c r="Y39" i="4"/>
  <c r="AO39" i="4"/>
  <c r="P41" i="3"/>
  <c r="K41" i="3"/>
  <c r="L41" i="3"/>
  <c r="N41" i="3"/>
  <c r="C42" i="3"/>
  <c r="S41" i="3" l="1"/>
  <c r="AA41" i="3"/>
  <c r="AI41" i="3"/>
  <c r="AQ41" i="3"/>
  <c r="U39" i="4"/>
  <c r="AC39" i="4"/>
  <c r="AK39" i="4"/>
  <c r="AS39" i="4"/>
  <c r="R39" i="4"/>
  <c r="Q41" i="3"/>
  <c r="D42" i="3"/>
  <c r="H42" i="3" s="1"/>
  <c r="G42" i="3"/>
  <c r="AD41" i="3" l="1"/>
  <c r="AF41" i="3" s="1"/>
  <c r="AC41" i="3"/>
  <c r="AB41" i="3"/>
  <c r="AT41" i="3"/>
  <c r="AV41" i="3" s="1"/>
  <c r="AW41" i="3" s="1"/>
  <c r="AR41" i="3"/>
  <c r="AS41" i="3"/>
  <c r="AK41" i="3"/>
  <c r="AL41" i="3"/>
  <c r="AN41" i="3" s="1"/>
  <c r="AO41" i="3" s="1"/>
  <c r="AJ41" i="3"/>
  <c r="U41" i="3"/>
  <c r="V41" i="3"/>
  <c r="X41" i="3" s="1"/>
  <c r="Y41" i="3" s="1"/>
  <c r="T41" i="3"/>
  <c r="AF39" i="4"/>
  <c r="AH39" i="4" s="1"/>
  <c r="AI39" i="4" s="1"/>
  <c r="AE39" i="4"/>
  <c r="AD39" i="4"/>
  <c r="AU39" i="4"/>
  <c r="AT39" i="4"/>
  <c r="AV39" i="4"/>
  <c r="AX39" i="4" s="1"/>
  <c r="AY39" i="4" s="1"/>
  <c r="AL39" i="4"/>
  <c r="AN39" i="4"/>
  <c r="AM39" i="4"/>
  <c r="X39" i="4"/>
  <c r="Z39" i="4" s="1"/>
  <c r="AA39" i="4" s="1"/>
  <c r="W39" i="4"/>
  <c r="V39" i="4"/>
  <c r="J42" i="3"/>
  <c r="AP39" i="4" l="1"/>
  <c r="AQ39" i="4" s="1"/>
  <c r="K42" i="3"/>
  <c r="P42" i="3"/>
  <c r="L42" i="3"/>
  <c r="N42" i="3"/>
  <c r="C43" i="3"/>
  <c r="S42" i="3" l="1"/>
  <c r="AA42" i="3"/>
  <c r="AI42" i="3"/>
  <c r="AQ42" i="3"/>
  <c r="Q42" i="3"/>
  <c r="D43" i="3"/>
  <c r="H43" i="3" s="1"/>
  <c r="G43" i="3"/>
  <c r="J43" i="3" s="1"/>
  <c r="AT42" i="3" l="1"/>
  <c r="AV42" i="3" s="1"/>
  <c r="AW42" i="3" s="1"/>
  <c r="AS42" i="3"/>
  <c r="AR42" i="3"/>
  <c r="AL42" i="3"/>
  <c r="AN42" i="3" s="1"/>
  <c r="AO42" i="3" s="1"/>
  <c r="AJ42" i="3"/>
  <c r="AK42" i="3"/>
  <c r="AD42" i="3"/>
  <c r="AF42" i="3" s="1"/>
  <c r="AB42" i="3"/>
  <c r="AC42" i="3"/>
  <c r="V42" i="3"/>
  <c r="X42" i="3" s="1"/>
  <c r="Y42" i="3" s="1"/>
  <c r="T42" i="3"/>
  <c r="U42" i="3"/>
  <c r="P43" i="3"/>
  <c r="K43" i="3"/>
  <c r="L43" i="3"/>
  <c r="N43" i="3"/>
  <c r="C44" i="3"/>
  <c r="S43" i="3" l="1"/>
  <c r="AA43" i="3"/>
  <c r="AI43" i="3"/>
  <c r="AQ43" i="3"/>
  <c r="Q43" i="3"/>
  <c r="G44" i="3"/>
  <c r="D44" i="3"/>
  <c r="H44" i="3" s="1"/>
  <c r="AR43" i="3" l="1"/>
  <c r="AT43" i="3"/>
  <c r="AV43" i="3" s="1"/>
  <c r="AW43" i="3" s="1"/>
  <c r="AS43" i="3"/>
  <c r="AJ43" i="3"/>
  <c r="AL43" i="3"/>
  <c r="AN43" i="3" s="1"/>
  <c r="AO43" i="3" s="1"/>
  <c r="AK43" i="3"/>
  <c r="AB43" i="3"/>
  <c r="AC43" i="3"/>
  <c r="AD43" i="3"/>
  <c r="AF43" i="3" s="1"/>
  <c r="V43" i="3"/>
  <c r="X43" i="3" s="1"/>
  <c r="Y43" i="3" s="1"/>
  <c r="U43" i="3"/>
  <c r="T43" i="3"/>
  <c r="J44" i="3"/>
  <c r="L44" i="3" l="1"/>
  <c r="K44" i="3"/>
  <c r="P44" i="3"/>
  <c r="N44" i="3"/>
  <c r="S44" i="3" l="1"/>
  <c r="AA44" i="3"/>
  <c r="AI44" i="3"/>
  <c r="AQ44" i="3"/>
  <c r="Q44" i="3"/>
  <c r="AS44" i="3" l="1"/>
  <c r="AT44" i="3"/>
  <c r="AV44" i="3" s="1"/>
  <c r="AW44" i="3" s="1"/>
  <c r="AR44" i="3"/>
  <c r="AK44" i="3"/>
  <c r="AL44" i="3"/>
  <c r="AN44" i="3" s="1"/>
  <c r="AO44" i="3" s="1"/>
  <c r="AJ44" i="3"/>
  <c r="AC44" i="3"/>
  <c r="AD44" i="3"/>
  <c r="AF44" i="3" s="1"/>
  <c r="AB44" i="3"/>
  <c r="T44" i="3"/>
  <c r="V44" i="3"/>
  <c r="X44" i="3" s="1"/>
  <c r="Y44" i="3" s="1"/>
  <c r="U44" i="3"/>
</calcChain>
</file>

<file path=xl/sharedStrings.xml><?xml version="1.0" encoding="utf-8"?>
<sst xmlns="http://schemas.openxmlformats.org/spreadsheetml/2006/main" count="182" uniqueCount="112">
  <si>
    <t>eth</t>
  </si>
  <si>
    <t>price</t>
  </si>
  <si>
    <t>amount of coin going into pool</t>
  </si>
  <si>
    <t>Amount of coin already in pool</t>
  </si>
  <si>
    <t>total UNI v2 token supply</t>
  </si>
  <si>
    <t>amount of ETH going into pool</t>
  </si>
  <si>
    <t>Amount of ETH already in pool</t>
  </si>
  <si>
    <t>UNI V2 tokens:</t>
  </si>
  <si>
    <t>qty coin bought</t>
  </si>
  <si>
    <t>total eth sold</t>
  </si>
  <si>
    <t>Bob</t>
  </si>
  <si>
    <t>Carol</t>
  </si>
  <si>
    <t>Dennis</t>
  </si>
  <si>
    <t>Eric</t>
  </si>
  <si>
    <t>Fred</t>
  </si>
  <si>
    <t>George</t>
  </si>
  <si>
    <t>Hayden</t>
  </si>
  <si>
    <t>Jan</t>
  </si>
  <si>
    <t>% liquidity added this step</t>
  </si>
  <si>
    <t>Alice</t>
  </si>
  <si>
    <t>Abs diff</t>
  </si>
  <si>
    <t>%</t>
  </si>
  <si>
    <t>Spot price:</t>
  </si>
  <si>
    <t>Spot value if alice had just held</t>
  </si>
  <si>
    <t>Pool spot value after this step</t>
  </si>
  <si>
    <t>Ned</t>
  </si>
  <si>
    <t>liq spot value added this step</t>
  </si>
  <si>
    <t>Kim</t>
  </si>
  <si>
    <t>Breakdown: pooled ETH</t>
  </si>
  <si>
    <t>Starting pool state</t>
  </si>
  <si>
    <t>Current spot value of alice's contribution</t>
  </si>
  <si>
    <t>Alice's Impermanent Loss</t>
  </si>
  <si>
    <t>Bob's Impermanent Loss</t>
  </si>
  <si>
    <t>Spot value if Bob had just held</t>
  </si>
  <si>
    <t>Carol's Impermanent Loss</t>
  </si>
  <si>
    <t>Current spot value of Carol's contribution</t>
  </si>
  <si>
    <t>Spot value if Carol had just held</t>
  </si>
  <si>
    <t>Dennis's Impermanent Loss</t>
  </si>
  <si>
    <t>Current spot value of Dennis's contribution</t>
  </si>
  <si>
    <t>Spot value if Dennis had just held</t>
  </si>
  <si>
    <r>
      <t xml:space="preserve">Buy/Sell </t>
    </r>
    <r>
      <rPr>
        <sz val="12"/>
        <color theme="1"/>
        <rFont val="Calibri"/>
        <family val="2"/>
        <scheme val="minor"/>
      </rPr>
      <t>(+amt for buy, -amt for sell)</t>
    </r>
  </si>
  <si>
    <r>
      <t>Add/remove liquidity</t>
    </r>
    <r>
      <rPr>
        <sz val="12"/>
        <color rgb="FF000000"/>
        <rFont val="Calibri"/>
        <family val="2"/>
        <scheme val="minor"/>
      </rPr>
      <t xml:space="preserve"> (+amt for add, -amt for remove)</t>
    </r>
  </si>
  <si>
    <t>Ozzie</t>
  </si>
  <si>
    <t>Ian</t>
  </si>
  <si>
    <t>Pam</t>
  </si>
  <si>
    <t>Qbert</t>
  </si>
  <si>
    <t>Ron</t>
  </si>
  <si>
    <t>Sally</t>
  </si>
  <si>
    <t>Val</t>
  </si>
  <si>
    <t>Ted</t>
  </si>
  <si>
    <t>Wanda</t>
  </si>
  <si>
    <t>Mo</t>
  </si>
  <si>
    <t>Xanthippe</t>
  </si>
  <si>
    <t>Yves</t>
  </si>
  <si>
    <t>Zed</t>
  </si>
  <si>
    <t>Aaron</t>
  </si>
  <si>
    <t>Abed</t>
  </si>
  <si>
    <t>Achilles</t>
  </si>
  <si>
    <t>Adam</t>
  </si>
  <si>
    <t>Afton</t>
  </si>
  <si>
    <t>Agatha</t>
  </si>
  <si>
    <t>Ahmet</t>
  </si>
  <si>
    <t>Aeolus</t>
  </si>
  <si>
    <t>Aidan</t>
  </si>
  <si>
    <t>Ultron</t>
  </si>
  <si>
    <t>Amount of ETH in pool before transaction</t>
  </si>
  <si>
    <t>% of pool held by Alice</t>
  </si>
  <si>
    <t>% of pool held by Bob</t>
  </si>
  <si>
    <t>% of pool held by Carol</t>
  </si>
  <si>
    <t>% of pool held by Dennis</t>
  </si>
  <si>
    <t>Receive / give LP tokens</t>
  </si>
  <si>
    <t>Current spot value of Bob's contribution</t>
  </si>
  <si>
    <t>Initial liquidity</t>
  </si>
  <si>
    <t>Breakdown: Alice's pooled ETH</t>
  </si>
  <si>
    <t>Breakdown: Bob's pooled ETH</t>
  </si>
  <si>
    <t>Breakdown: Carol's pooled ETH</t>
  </si>
  <si>
    <t>Breakdown: Dennis's pooled ETH</t>
  </si>
  <si>
    <t>Price charged due to slippage</t>
  </si>
  <si>
    <t>(Alice)</t>
  </si>
  <si>
    <t>(Bob)</t>
  </si>
  <si>
    <t>(Carol)</t>
  </si>
  <si>
    <t>Alice's liquidity contribution</t>
  </si>
  <si>
    <t>Bob's liquidity contribution</t>
  </si>
  <si>
    <t>Carol's liquidity contribution</t>
  </si>
  <si>
    <t>Dennis's liquidity contribution</t>
  </si>
  <si>
    <t>Pool state after transaction</t>
  </si>
  <si>
    <r>
      <t xml:space="preserve">Liquidity Pool simulator (WORK-IN-PROGRESS ROUGH DRAFT) by @ApopheniaPays.         </t>
    </r>
    <r>
      <rPr>
        <b/>
        <sz val="14"/>
        <color rgb="FF9C5700"/>
        <rFont val="Calibri (Body)"/>
      </rPr>
      <t xml:space="preserve">  Announcement channel: http://t.me/ApopheniaProjects                            Github: https://www.github.com/ApopheniaPays</t>
    </r>
  </si>
  <si>
    <t>Breakdown: pooled PTK</t>
  </si>
  <si>
    <t>Breakdown: Alice's pooled PTK</t>
  </si>
  <si>
    <t>Breakdown: Bob's pooled PTK</t>
  </si>
  <si>
    <t>Breakdown: Carol's pooled PTK</t>
  </si>
  <si>
    <t>Breakdown: Dennis's pooled PTK</t>
  </si>
  <si>
    <t>Amount of PTK in pool before transaction</t>
  </si>
  <si>
    <t>BUY / SELL PTK QTY:</t>
  </si>
  <si>
    <t>THEN Adds/ removes PTK Liquidity qty:</t>
  </si>
  <si>
    <t>must also add / remove ETH</t>
  </si>
  <si>
    <t>total ETH pd / recd</t>
  </si>
  <si>
    <t>Getting more eth for your PTK award</t>
  </si>
  <si>
    <t>ETH</t>
  </si>
  <si>
    <t>Track row:</t>
  </si>
  <si>
    <t>USD</t>
  </si>
  <si>
    <t>Pair liquidity token:</t>
  </si>
  <si>
    <t>% pool liquidity added this step</t>
  </si>
  <si>
    <t>Symbol</t>
  </si>
  <si>
    <t>POOL SETUP:</t>
  </si>
  <si>
    <t>Pair base:</t>
  </si>
  <si>
    <t>Transaction</t>
  </si>
  <si>
    <t>Initial Liquidity</t>
  </si>
  <si>
    <t>Pool state before transaction</t>
  </si>
  <si>
    <t>Transactions</t>
  </si>
  <si>
    <t>Liquidity Pool simulator v4 by @ApopheniaPays.                    Announcement channel: http://t.me/ApopheniaProjects                            Github: https://www.github.com/ApopheniaPays</t>
  </si>
  <si>
    <t>Receive / redeem LP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</si>
</sst>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000000"/>
    <numFmt numFmtId="165" formatCode="0.0000"/>
    <numFmt numFmtId="166" formatCode="0.0%"/>
    <numFmt numFmtId="167" formatCode="_(* #,##0.00_)&quot; ETH&quot;;_(* \(#,##0.00\)&quot; ETH&quot;;_(* &quot;-&quot;??_)&quot; ETH&quot;;_(@_)&quot; ETH&quot;"/>
    <numFmt numFmtId="168" formatCode="0.000"/>
    <numFmt numFmtId="169" formatCode="0.00000"/>
    <numFmt numFmtId="174" formatCode="_(* #,##0.000_);_(* \(#,##0.000\);_(* &quot;-&quot;???_);_(@_)"/>
    <numFmt numFmtId="175" formatCode="0.000%"/>
  </numFmts>
  <fonts count="27">
    <font>
      <sz val="12"/>
      <color theme="1"/>
      <name val="Calibri"/>
      <family val="2"/>
      <scheme val="minor"/>
    </font>
    <font>
      <sz val="13"/>
      <color rgb="FF1E2022"/>
      <name val="Helvetica Neue"/>
      <family val="2"/>
    </font>
    <font>
      <sz val="13"/>
      <color rgb="FF5A6169"/>
      <name val="Helvetica Neue"/>
      <family val="2"/>
    </font>
    <font>
      <sz val="14"/>
      <color rgb="FF5A6169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A6169"/>
      <name val="Helvetica Neue"/>
      <family val="2"/>
    </font>
    <font>
      <sz val="12"/>
      <color rgb="FF9C5700"/>
      <name val="Calibri"/>
      <family val="2"/>
      <scheme val="minor"/>
    </font>
    <font>
      <b/>
      <sz val="14"/>
      <color rgb="FF9C5700"/>
      <name val="Calibri (Body)"/>
    </font>
    <font>
      <b/>
      <sz val="14"/>
      <color rgb="FF9C57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4"/>
      <color rgb="FF9C5700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2" fillId="5" borderId="0" applyNumberFormat="0" applyBorder="0" applyAlignment="0" applyProtection="0"/>
    <xf numFmtId="0" fontId="7" fillId="9" borderId="0" applyNumberFormat="0" applyBorder="0" applyAlignment="0" applyProtection="0"/>
    <xf numFmtId="0" fontId="4" fillId="10" borderId="0" applyNumberFormat="0" applyBorder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4" fillId="5" borderId="0" xfId="6" applyFont="1" applyBorder="1" applyAlignment="1" applyProtection="1">
      <alignment wrapText="1"/>
    </xf>
    <xf numFmtId="0" fontId="16" fillId="6" borderId="0" xfId="6" applyFont="1" applyFill="1" applyBorder="1" applyAlignment="1" applyProtection="1">
      <alignment wrapText="1"/>
    </xf>
    <xf numFmtId="44" fontId="19" fillId="7" borderId="0" xfId="6" applyNumberFormat="1" applyFont="1" applyFill="1" applyBorder="1" applyAlignment="1" applyProtection="1">
      <alignment horizontal="center" wrapText="1"/>
    </xf>
    <xf numFmtId="0" fontId="19" fillId="7" borderId="0" xfId="6" applyFont="1" applyFill="1" applyBorder="1" applyAlignment="1" applyProtection="1">
      <alignment horizontal="center" wrapText="1"/>
    </xf>
    <xf numFmtId="0" fontId="14" fillId="0" borderId="0" xfId="6" applyFont="1" applyFill="1" applyBorder="1" applyAlignment="1" applyProtection="1">
      <alignment horizontal="left" vertical="top" wrapText="1"/>
    </xf>
    <xf numFmtId="0" fontId="16" fillId="0" borderId="0" xfId="6" applyFont="1" applyFill="1" applyBorder="1" applyAlignment="1" applyProtection="1">
      <alignment wrapText="1"/>
    </xf>
    <xf numFmtId="0" fontId="14" fillId="0" borderId="0" xfId="6" applyFont="1" applyFill="1" applyBorder="1" applyAlignment="1" applyProtection="1">
      <alignment wrapText="1"/>
    </xf>
    <xf numFmtId="44" fontId="19" fillId="0" borderId="0" xfId="6" applyNumberFormat="1" applyFont="1" applyFill="1" applyBorder="1" applyAlignment="1" applyProtection="1">
      <alignment horizontal="center" wrapText="1"/>
    </xf>
    <xf numFmtId="0" fontId="19" fillId="0" borderId="0" xfId="6" applyFont="1" applyFill="1" applyBorder="1" applyAlignment="1" applyProtection="1">
      <alignment horizontal="center" wrapText="1"/>
    </xf>
    <xf numFmtId="0" fontId="21" fillId="0" borderId="0" xfId="6" applyFont="1" applyFill="1" applyBorder="1" applyAlignment="1" applyProtection="1">
      <alignment horizontal="left" vertical="top" wrapText="1"/>
    </xf>
    <xf numFmtId="0" fontId="14" fillId="5" borderId="0" xfId="6" applyFont="1" applyBorder="1" applyAlignment="1" applyProtection="1">
      <alignment horizontal="left" vertical="top" wrapText="1"/>
    </xf>
    <xf numFmtId="0" fontId="12" fillId="5" borderId="8" xfId="6" applyNumberFormat="1" applyBorder="1" applyAlignment="1" applyProtection="1">
      <alignment horizontal="center" vertical="center" wrapText="1"/>
    </xf>
    <xf numFmtId="0" fontId="14" fillId="0" borderId="0" xfId="6" applyFont="1" applyFill="1" applyBorder="1" applyAlignment="1" applyProtection="1">
      <alignment horizontal="left" vertical="center" wrapText="1"/>
    </xf>
    <xf numFmtId="0" fontId="14" fillId="0" borderId="0" xfId="6" applyFont="1" applyFill="1" applyBorder="1" applyAlignment="1" applyProtection="1">
      <alignment vertical="center" wrapText="1"/>
    </xf>
    <xf numFmtId="0" fontId="24" fillId="0" borderId="0" xfId="6" applyFont="1" applyFill="1" applyBorder="1" applyAlignment="1" applyProtection="1">
      <alignment horizontal="right" vertical="center" wrapText="1"/>
    </xf>
    <xf numFmtId="0" fontId="12" fillId="5" borderId="0" xfId="6" applyBorder="1" applyAlignment="1" applyProtection="1">
      <alignment wrapText="1"/>
    </xf>
    <xf numFmtId="2" fontId="12" fillId="5" borderId="0" xfId="6" applyNumberFormat="1" applyBorder="1" applyAlignment="1" applyProtection="1">
      <alignment vertical="top" wrapText="1"/>
      <protection locked="0"/>
    </xf>
    <xf numFmtId="2" fontId="12" fillId="5" borderId="5" xfId="6" applyNumberFormat="1" applyBorder="1" applyAlignment="1" applyProtection="1">
      <alignment vertical="top" wrapText="1"/>
      <protection locked="0"/>
    </xf>
    <xf numFmtId="0" fontId="26" fillId="0" borderId="6" xfId="6" applyFont="1" applyFill="1" applyBorder="1" applyAlignment="1" applyProtection="1">
      <alignment horizontal="center" wrapText="1"/>
    </xf>
    <xf numFmtId="0" fontId="23" fillId="9" borderId="0" xfId="7" applyFont="1" applyAlignment="1" applyProtection="1">
      <alignment horizontal="left"/>
    </xf>
    <xf numFmtId="0" fontId="0" fillId="0" borderId="0" xfId="0" applyProtection="1"/>
    <xf numFmtId="165" fontId="0" fillId="0" borderId="0" xfId="0" applyNumberFormat="1" applyProtection="1"/>
    <xf numFmtId="0" fontId="12" fillId="0" borderId="0" xfId="6" applyFill="1" applyBorder="1" applyProtection="1"/>
    <xf numFmtId="0" fontId="0" fillId="0" borderId="0" xfId="0" applyFill="1" applyBorder="1" applyProtection="1"/>
    <xf numFmtId="2" fontId="0" fillId="0" borderId="0" xfId="0" applyNumberFormat="1" applyFill="1" applyBorder="1" applyProtection="1"/>
    <xf numFmtId="0" fontId="25" fillId="0" borderId="0" xfId="0" applyFont="1" applyAlignment="1" applyProtection="1">
      <alignment horizontal="left" vertical="top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wrapText="1"/>
    </xf>
    <xf numFmtId="165" fontId="6" fillId="0" borderId="0" xfId="0" applyNumberFormat="1" applyFont="1" applyBorder="1" applyAlignment="1" applyProtection="1">
      <alignment wrapText="1"/>
    </xf>
    <xf numFmtId="0" fontId="12" fillId="0" borderId="0" xfId="6" applyFill="1" applyBorder="1" applyAlignment="1" applyProtection="1">
      <alignment wrapText="1"/>
    </xf>
    <xf numFmtId="168" fontId="0" fillId="0" borderId="0" xfId="0" applyNumberFormat="1" applyProtection="1"/>
    <xf numFmtId="0" fontId="8" fillId="0" borderId="0" xfId="0" applyFont="1" applyProtection="1"/>
    <xf numFmtId="175" fontId="0" fillId="0" borderId="0" xfId="2" applyNumberFormat="1" applyFont="1" applyProtection="1"/>
    <xf numFmtId="174" fontId="0" fillId="0" borderId="0" xfId="0" applyNumberFormat="1" applyProtection="1"/>
    <xf numFmtId="0" fontId="0" fillId="0" borderId="0" xfId="0" applyBorder="1" applyProtection="1"/>
    <xf numFmtId="0" fontId="12" fillId="0" borderId="0" xfId="6" applyFill="1" applyProtection="1"/>
    <xf numFmtId="0" fontId="0" fillId="0" borderId="0" xfId="0" applyFill="1" applyProtection="1"/>
    <xf numFmtId="2" fontId="0" fillId="0" borderId="0" xfId="0" applyNumberFormat="1" applyFill="1" applyProtection="1"/>
    <xf numFmtId="0" fontId="0" fillId="0" borderId="2" xfId="0" applyFont="1" applyBorder="1" applyAlignment="1" applyProtection="1">
      <alignment wrapText="1"/>
    </xf>
    <xf numFmtId="0" fontId="0" fillId="0" borderId="3" xfId="0" applyFont="1" applyBorder="1" applyAlignment="1" applyProtection="1">
      <alignment wrapText="1"/>
    </xf>
    <xf numFmtId="165" fontId="0" fillId="0" borderId="4" xfId="0" applyNumberFormat="1" applyFont="1" applyBorder="1" applyAlignment="1" applyProtection="1">
      <alignment wrapText="1"/>
    </xf>
    <xf numFmtId="0" fontId="6" fillId="0" borderId="6" xfId="0" applyFont="1" applyBorder="1" applyAlignment="1" applyProtection="1">
      <alignment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wrapText="1"/>
    </xf>
    <xf numFmtId="0" fontId="9" fillId="0" borderId="2" xfId="0" applyFont="1" applyBorder="1" applyAlignment="1" applyProtection="1">
      <alignment vertical="center" wrapText="1"/>
    </xf>
    <xf numFmtId="0" fontId="9" fillId="0" borderId="3" xfId="0" applyFont="1" applyBorder="1" applyAlignment="1" applyProtection="1">
      <alignment vertical="center" wrapText="1"/>
    </xf>
    <xf numFmtId="0" fontId="9" fillId="0" borderId="4" xfId="0" applyFont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166" fontId="6" fillId="0" borderId="7" xfId="2" applyNumberFormat="1" applyFont="1" applyBorder="1" applyAlignment="1" applyProtection="1">
      <alignment horizontal="center" vertical="center" wrapText="1"/>
    </xf>
    <xf numFmtId="166" fontId="6" fillId="0" borderId="8" xfId="2" applyNumberFormat="1" applyFont="1" applyBorder="1" applyAlignment="1" applyProtection="1">
      <alignment horizontal="center" vertical="center" wrapText="1"/>
    </xf>
    <xf numFmtId="166" fontId="6" fillId="0" borderId="9" xfId="2" applyNumberFormat="1" applyFont="1" applyBorder="1" applyAlignment="1" applyProtection="1">
      <alignment horizontal="center" vertical="center" wrapText="1"/>
    </xf>
    <xf numFmtId="0" fontId="18" fillId="7" borderId="7" xfId="0" applyFont="1" applyFill="1" applyBorder="1" applyAlignment="1" applyProtection="1">
      <alignment horizontal="center" vertical="center" wrapText="1"/>
    </xf>
    <xf numFmtId="0" fontId="18" fillId="7" borderId="9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wrapText="1"/>
    </xf>
    <xf numFmtId="0" fontId="0" fillId="0" borderId="0" xfId="0" applyFont="1" applyBorder="1" applyAlignment="1" applyProtection="1">
      <alignment wrapText="1"/>
    </xf>
    <xf numFmtId="0" fontId="0" fillId="0" borderId="18" xfId="0" applyFont="1" applyBorder="1" applyAlignment="1" applyProtection="1">
      <alignment horizontal="center" wrapText="1"/>
    </xf>
    <xf numFmtId="2" fontId="0" fillId="0" borderId="19" xfId="0" applyNumberFormat="1" applyFont="1" applyBorder="1" applyAlignment="1" applyProtection="1">
      <alignment horizontal="center" wrapText="1"/>
    </xf>
    <xf numFmtId="165" fontId="8" fillId="0" borderId="20" xfId="0" applyNumberFormat="1" applyFont="1" applyFill="1" applyBorder="1" applyAlignment="1" applyProtection="1">
      <alignment horizontal="center" wrapText="1"/>
    </xf>
    <xf numFmtId="0" fontId="6" fillId="0" borderId="6" xfId="0" applyFont="1" applyBorder="1" applyAlignment="1" applyProtection="1">
      <alignment horizontal="center" wrapText="1"/>
    </xf>
    <xf numFmtId="0" fontId="4" fillId="0" borderId="0" xfId="6" applyFont="1" applyFill="1" applyAlignment="1" applyProtection="1">
      <alignment horizontal="center" wrapText="1"/>
    </xf>
    <xf numFmtId="0" fontId="0" fillId="0" borderId="3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horizontal="center" wrapText="1"/>
    </xf>
    <xf numFmtId="0" fontId="4" fillId="0" borderId="7" xfId="6" applyFont="1" applyFill="1" applyBorder="1" applyAlignment="1" applyProtection="1">
      <alignment horizontal="center" wrapText="1"/>
    </xf>
    <xf numFmtId="2" fontId="0" fillId="0" borderId="8" xfId="0" applyNumberFormat="1" applyFont="1" applyFill="1" applyBorder="1" applyAlignment="1" applyProtection="1">
      <alignment horizontal="center" wrapText="1"/>
    </xf>
    <xf numFmtId="2" fontId="8" fillId="0" borderId="8" xfId="1" applyNumberFormat="1" applyFont="1" applyFill="1" applyBorder="1" applyAlignment="1" applyProtection="1">
      <alignment horizontal="center" wrapText="1"/>
    </xf>
    <xf numFmtId="165" fontId="8" fillId="0" borderId="9" xfId="0" applyNumberFormat="1" applyFont="1" applyFill="1" applyBorder="1" applyAlignment="1" applyProtection="1">
      <alignment horizontal="center" wrapText="1"/>
    </xf>
    <xf numFmtId="0" fontId="6" fillId="0" borderId="0" xfId="0" applyFont="1" applyBorder="1" applyAlignment="1" applyProtection="1">
      <alignment horizontal="center" wrapText="1"/>
    </xf>
    <xf numFmtId="168" fontId="0" fillId="0" borderId="18" xfId="0" applyNumberFormat="1" applyFont="1" applyFill="1" applyBorder="1" applyAlignment="1" applyProtection="1">
      <alignment horizontal="center" wrapText="1"/>
    </xf>
    <xf numFmtId="168" fontId="15" fillId="0" borderId="19" xfId="0" applyNumberFormat="1" applyFont="1" applyFill="1" applyBorder="1" applyAlignment="1" applyProtection="1">
      <alignment horizontal="center" wrapText="1"/>
    </xf>
    <xf numFmtId="0" fontId="8" fillId="0" borderId="20" xfId="0" applyFont="1" applyFill="1" applyBorder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center" wrapText="1"/>
    </xf>
    <xf numFmtId="175" fontId="0" fillId="0" borderId="2" xfId="2" applyNumberFormat="1" applyFont="1" applyFill="1" applyBorder="1" applyAlignment="1" applyProtection="1">
      <alignment horizontal="center" wrapText="1"/>
    </xf>
    <xf numFmtId="174" fontId="15" fillId="0" borderId="0" xfId="0" applyNumberFormat="1" applyFont="1" applyFill="1" applyAlignment="1" applyProtection="1">
      <alignment horizontal="center" wrapText="1"/>
    </xf>
    <xf numFmtId="174" fontId="0" fillId="0" borderId="3" xfId="0" applyNumberFormat="1" applyFont="1" applyFill="1" applyBorder="1" applyAlignment="1" applyProtection="1">
      <alignment horizontal="center" wrapText="1"/>
    </xf>
    <xf numFmtId="174" fontId="0" fillId="0" borderId="4" xfId="0" applyNumberFormat="1" applyFont="1" applyBorder="1" applyAlignment="1" applyProtection="1">
      <alignment horizontal="center" wrapText="1"/>
    </xf>
    <xf numFmtId="174" fontId="17" fillId="7" borderId="3" xfId="1" applyNumberFormat="1" applyFont="1" applyFill="1" applyBorder="1" applyAlignment="1" applyProtection="1">
      <alignment horizontal="center" wrapText="1"/>
    </xf>
    <xf numFmtId="175" fontId="17" fillId="7" borderId="3" xfId="2" applyNumberFormat="1" applyFont="1" applyFill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center" wrapText="1"/>
    </xf>
    <xf numFmtId="0" fontId="0" fillId="0" borderId="0" xfId="0" applyFont="1" applyBorder="1" applyAlignment="1" applyProtection="1">
      <alignment horizontal="center" wrapText="1"/>
    </xf>
    <xf numFmtId="0" fontId="5" fillId="2" borderId="0" xfId="3" applyFont="1" applyBorder="1" applyAlignment="1" applyProtection="1">
      <alignment vertical="top" wrapText="1"/>
    </xf>
    <xf numFmtId="4" fontId="7" fillId="2" borderId="18" xfId="3" applyNumberFormat="1" applyBorder="1" applyAlignment="1" applyProtection="1">
      <alignment wrapText="1"/>
    </xf>
    <xf numFmtId="2" fontId="7" fillId="2" borderId="19" xfId="3" applyNumberFormat="1" applyBorder="1" applyAlignment="1" applyProtection="1">
      <alignment wrapText="1"/>
    </xf>
    <xf numFmtId="165" fontId="20" fillId="2" borderId="20" xfId="3" applyNumberFormat="1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</xf>
    <xf numFmtId="2" fontId="20" fillId="2" borderId="8" xfId="3" applyNumberFormat="1" applyFont="1" applyBorder="1" applyAlignment="1" applyProtection="1">
      <alignment wrapText="1"/>
    </xf>
    <xf numFmtId="0" fontId="20" fillId="2" borderId="8" xfId="3" applyFont="1" applyBorder="1" applyProtection="1"/>
    <xf numFmtId="2" fontId="20" fillId="2" borderId="7" xfId="3" applyNumberFormat="1" applyFont="1" applyBorder="1" applyAlignment="1" applyProtection="1">
      <alignment wrapText="1"/>
    </xf>
    <xf numFmtId="2" fontId="20" fillId="2" borderId="8" xfId="3" applyNumberFormat="1" applyFont="1" applyBorder="1" applyProtection="1"/>
    <xf numFmtId="2" fontId="20" fillId="2" borderId="9" xfId="3" applyNumberFormat="1" applyFont="1" applyBorder="1" applyProtection="1"/>
    <xf numFmtId="168" fontId="20" fillId="2" borderId="18" xfId="3" applyNumberFormat="1" applyFont="1" applyBorder="1" applyAlignment="1" applyProtection="1">
      <alignment wrapText="1"/>
    </xf>
    <xf numFmtId="168" fontId="20" fillId="2" borderId="19" xfId="3" applyNumberFormat="1" applyFont="1" applyBorder="1" applyAlignment="1" applyProtection="1">
      <alignment wrapText="1"/>
    </xf>
    <xf numFmtId="166" fontId="20" fillId="2" borderId="20" xfId="3" applyNumberFormat="1" applyFont="1" applyBorder="1" applyAlignment="1" applyProtection="1">
      <alignment wrapText="1"/>
    </xf>
    <xf numFmtId="166" fontId="7" fillId="0" borderId="0" xfId="3" applyNumberFormat="1" applyFill="1" applyBorder="1" applyAlignment="1" applyProtection="1">
      <alignment wrapText="1"/>
    </xf>
    <xf numFmtId="175" fontId="7" fillId="2" borderId="7" xfId="2" applyNumberFormat="1" applyFont="1" applyFill="1" applyBorder="1" applyAlignment="1" applyProtection="1">
      <alignment wrapText="1"/>
    </xf>
    <xf numFmtId="174" fontId="7" fillId="2" borderId="8" xfId="3" applyNumberFormat="1" applyBorder="1" applyAlignment="1" applyProtection="1">
      <alignment wrapText="1"/>
    </xf>
    <xf numFmtId="174" fontId="7" fillId="2" borderId="8" xfId="3" applyNumberFormat="1" applyBorder="1" applyAlignment="1" applyProtection="1">
      <alignment horizontal="center" wrapText="1"/>
    </xf>
    <xf numFmtId="175" fontId="7" fillId="2" borderId="8" xfId="2" applyNumberFormat="1" applyFont="1" applyFill="1" applyBorder="1" applyAlignment="1" applyProtection="1">
      <alignment horizontal="center" wrapText="1"/>
    </xf>
    <xf numFmtId="0" fontId="6" fillId="0" borderId="0" xfId="0" applyFont="1" applyAlignment="1" applyProtection="1">
      <alignment vertical="top" wrapText="1"/>
    </xf>
    <xf numFmtId="4" fontId="11" fillId="0" borderId="5" xfId="0" applyNumberFormat="1" applyFont="1" applyBorder="1" applyAlignment="1" applyProtection="1">
      <alignment wrapText="1"/>
    </xf>
    <xf numFmtId="2" fontId="11" fillId="0" borderId="0" xfId="0" applyNumberFormat="1" applyFont="1" applyBorder="1" applyAlignment="1" applyProtection="1">
      <alignment wrapText="1"/>
    </xf>
    <xf numFmtId="165" fontId="22" fillId="7" borderId="0" xfId="4" applyNumberFormat="1" applyFont="1" applyFill="1" applyBorder="1" applyAlignment="1" applyProtection="1">
      <alignment wrapText="1"/>
    </xf>
    <xf numFmtId="2" fontId="12" fillId="5" borderId="0" xfId="6" applyNumberFormat="1" applyBorder="1" applyAlignment="1" applyProtection="1">
      <alignment vertical="top" wrapText="1"/>
    </xf>
    <xf numFmtId="2" fontId="0" fillId="0" borderId="0" xfId="0" applyNumberFormat="1" applyFont="1" applyBorder="1" applyAlignment="1" applyProtection="1">
      <alignment wrapText="1"/>
    </xf>
    <xf numFmtId="2" fontId="22" fillId="7" borderId="0" xfId="4" applyNumberFormat="1" applyFont="1" applyFill="1" applyBorder="1" applyAlignment="1" applyProtection="1">
      <alignment wrapText="1"/>
    </xf>
    <xf numFmtId="2" fontId="12" fillId="5" borderId="5" xfId="6" applyNumberFormat="1" applyBorder="1" applyAlignment="1" applyProtection="1">
      <alignment vertical="top" wrapText="1"/>
    </xf>
    <xf numFmtId="2" fontId="0" fillId="0" borderId="0" xfId="0" applyNumberFormat="1" applyBorder="1" applyProtection="1"/>
    <xf numFmtId="2" fontId="8" fillId="0" borderId="0" xfId="1" applyNumberFormat="1" applyFont="1" applyBorder="1" applyAlignment="1" applyProtection="1">
      <alignment wrapText="1"/>
    </xf>
    <xf numFmtId="168" fontId="0" fillId="0" borderId="5" xfId="1" applyNumberFormat="1" applyFont="1" applyBorder="1" applyAlignment="1" applyProtection="1">
      <alignment wrapText="1"/>
    </xf>
    <xf numFmtId="168" fontId="15" fillId="6" borderId="0" xfId="4" applyNumberFormat="1" applyFont="1" applyFill="1" applyBorder="1" applyAlignment="1" applyProtection="1">
      <alignment wrapText="1"/>
    </xf>
    <xf numFmtId="10" fontId="8" fillId="0" borderId="6" xfId="0" applyNumberFormat="1" applyFont="1" applyBorder="1" applyAlignment="1" applyProtection="1">
      <alignment wrapText="1"/>
    </xf>
    <xf numFmtId="10" fontId="0" fillId="0" borderId="0" xfId="0" applyNumberFormat="1" applyFont="1" applyFill="1" applyBorder="1" applyAlignment="1" applyProtection="1">
      <alignment wrapText="1"/>
    </xf>
    <xf numFmtId="175" fontId="0" fillId="0" borderId="5" xfId="2" applyNumberFormat="1" applyFont="1" applyBorder="1" applyAlignment="1" applyProtection="1">
      <alignment wrapText="1"/>
    </xf>
    <xf numFmtId="174" fontId="15" fillId="6" borderId="0" xfId="4" applyNumberFormat="1" applyFont="1" applyFill="1" applyBorder="1" applyAlignment="1" applyProtection="1">
      <alignment wrapText="1"/>
    </xf>
    <xf numFmtId="174" fontId="6" fillId="0" borderId="0" xfId="0" applyNumberFormat="1" applyFont="1" applyBorder="1" applyAlignment="1" applyProtection="1">
      <alignment wrapText="1"/>
    </xf>
    <xf numFmtId="174" fontId="0" fillId="0" borderId="6" xfId="0" applyNumberFormat="1" applyFont="1" applyBorder="1" applyAlignment="1" applyProtection="1">
      <alignment wrapText="1"/>
    </xf>
    <xf numFmtId="174" fontId="17" fillId="7" borderId="0" xfId="1" applyNumberFormat="1" applyFont="1" applyFill="1" applyBorder="1" applyAlignment="1" applyProtection="1">
      <alignment horizontal="center" wrapText="1"/>
    </xf>
    <xf numFmtId="175" fontId="17" fillId="7" borderId="0" xfId="2" applyNumberFormat="1" applyFont="1" applyFill="1" applyBorder="1" applyAlignment="1" applyProtection="1">
      <alignment horizontal="center" wrapText="1"/>
    </xf>
    <xf numFmtId="0" fontId="0" fillId="0" borderId="5" xfId="0" applyFont="1" applyBorder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0" borderId="0" xfId="0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165" fontId="22" fillId="7" borderId="0" xfId="0" applyNumberFormat="1" applyFont="1" applyFill="1" applyBorder="1" applyAlignment="1" applyProtection="1">
      <alignment wrapText="1"/>
    </xf>
    <xf numFmtId="0" fontId="22" fillId="7" borderId="0" xfId="0" applyFont="1" applyFill="1" applyBorder="1" applyProtection="1"/>
    <xf numFmtId="2" fontId="12" fillId="5" borderId="5" xfId="6" applyNumberFormat="1" applyBorder="1" applyAlignment="1" applyProtection="1">
      <alignment wrapText="1"/>
    </xf>
    <xf numFmtId="168" fontId="15" fillId="6" borderId="0" xfId="1" applyNumberFormat="1" applyFont="1" applyFill="1" applyBorder="1" applyAlignment="1" applyProtection="1">
      <alignment wrapText="1"/>
    </xf>
    <xf numFmtId="0" fontId="8" fillId="0" borderId="6" xfId="0" applyFont="1" applyBorder="1" applyAlignment="1" applyProtection="1">
      <alignment wrapText="1"/>
    </xf>
    <xf numFmtId="0" fontId="0" fillId="0" borderId="0" xfId="0" applyFont="1" applyFill="1" applyBorder="1" applyAlignment="1" applyProtection="1">
      <alignment wrapText="1"/>
    </xf>
    <xf numFmtId="174" fontId="15" fillId="6" borderId="0" xfId="0" applyNumberFormat="1" applyFont="1" applyFill="1" applyBorder="1" applyAlignment="1" applyProtection="1">
      <alignment wrapText="1"/>
    </xf>
    <xf numFmtId="0" fontId="0" fillId="0" borderId="10" xfId="0" applyFont="1" applyBorder="1" applyAlignment="1" applyProtection="1">
      <alignment vertical="top" wrapText="1"/>
    </xf>
    <xf numFmtId="0" fontId="0" fillId="0" borderId="5" xfId="0" applyFont="1" applyBorder="1" applyAlignment="1" applyProtection="1">
      <alignment vertical="top" wrapText="1"/>
    </xf>
    <xf numFmtId="0" fontId="12" fillId="5" borderId="17" xfId="6" applyBorder="1" applyAlignment="1" applyProtection="1">
      <alignment horizontal="center" vertical="center" wrapText="1"/>
      <protection locked="0"/>
    </xf>
    <xf numFmtId="0" fontId="12" fillId="5" borderId="17" xfId="6" applyBorder="1" applyAlignment="1" applyProtection="1">
      <alignment horizontal="center" vertical="center"/>
      <protection locked="0"/>
    </xf>
    <xf numFmtId="0" fontId="12" fillId="5" borderId="8" xfId="6" applyNumberFormat="1" applyBorder="1" applyAlignment="1" applyProtection="1">
      <alignment horizontal="center" vertical="center" wrapText="1"/>
      <protection locked="0"/>
    </xf>
    <xf numFmtId="174" fontId="17" fillId="7" borderId="7" xfId="1" applyNumberFormat="1" applyFont="1" applyFill="1" applyBorder="1" applyAlignment="1" applyProtection="1">
      <alignment horizontal="center" wrapText="1"/>
    </xf>
    <xf numFmtId="175" fontId="17" fillId="7" borderId="9" xfId="2" applyNumberFormat="1" applyFont="1" applyFill="1" applyBorder="1" applyAlignment="1" applyProtection="1">
      <alignment horizontal="center" wrapText="1"/>
    </xf>
    <xf numFmtId="2" fontId="4" fillId="10" borderId="0" xfId="8" applyNumberFormat="1" applyBorder="1" applyAlignment="1" applyProtection="1">
      <alignment wrapText="1"/>
    </xf>
    <xf numFmtId="2" fontId="4" fillId="10" borderId="6" xfId="8" applyNumberFormat="1" applyBorder="1" applyAlignment="1" applyProtection="1">
      <alignment wrapText="1"/>
    </xf>
    <xf numFmtId="165" fontId="4" fillId="10" borderId="6" xfId="8" applyNumberFormat="1" applyBorder="1" applyAlignment="1" applyProtection="1">
      <alignment wrapText="1"/>
    </xf>
    <xf numFmtId="0" fontId="5" fillId="9" borderId="2" xfId="7" applyFont="1" applyBorder="1" applyAlignment="1" applyProtection="1">
      <alignment horizontal="center" vertical="center" wrapText="1"/>
    </xf>
    <xf numFmtId="0" fontId="5" fillId="9" borderId="3" xfId="7" applyFont="1" applyBorder="1" applyAlignment="1" applyProtection="1">
      <alignment horizontal="center" vertical="center" wrapText="1"/>
    </xf>
    <xf numFmtId="0" fontId="5" fillId="9" borderId="4" xfId="7" applyFont="1" applyBorder="1" applyAlignment="1" applyProtection="1">
      <alignment horizontal="center" vertical="center" wrapText="1"/>
    </xf>
    <xf numFmtId="0" fontId="5" fillId="9" borderId="7" xfId="7" applyFont="1" applyBorder="1" applyAlignment="1" applyProtection="1">
      <alignment horizontal="center" vertical="center" wrapText="1"/>
    </xf>
    <xf numFmtId="0" fontId="5" fillId="9" borderId="8" xfId="7" applyFont="1" applyBorder="1" applyAlignment="1" applyProtection="1">
      <alignment horizontal="center" vertical="center" wrapText="1"/>
    </xf>
    <xf numFmtId="0" fontId="5" fillId="9" borderId="9" xfId="7" applyFont="1" applyBorder="1" applyAlignment="1" applyProtection="1">
      <alignment horizontal="center" vertical="center" wrapText="1"/>
    </xf>
    <xf numFmtId="175" fontId="5" fillId="9" borderId="7" xfId="7" applyNumberFormat="1" applyFont="1" applyBorder="1" applyAlignment="1" applyProtection="1">
      <alignment horizontal="right" vertical="center" wrapText="1"/>
    </xf>
    <xf numFmtId="174" fontId="5" fillId="9" borderId="8" xfId="7" applyNumberFormat="1" applyFont="1" applyBorder="1" applyAlignment="1" applyProtection="1">
      <alignment horizontal="left" vertical="center" wrapText="1"/>
    </xf>
    <xf numFmtId="175" fontId="5" fillId="9" borderId="9" xfId="7" applyNumberFormat="1" applyFont="1" applyBorder="1" applyAlignment="1" applyProtection="1">
      <alignment horizontal="left" vertical="center" wrapText="1"/>
    </xf>
    <xf numFmtId="0" fontId="20" fillId="9" borderId="8" xfId="7" applyFont="1" applyBorder="1" applyAlignment="1" applyProtection="1">
      <alignment vertical="center"/>
    </xf>
    <xf numFmtId="0" fontId="4" fillId="10" borderId="0" xfId="8" applyAlignment="1" applyProtection="1">
      <alignment horizontal="left"/>
    </xf>
    <xf numFmtId="0" fontId="6" fillId="0" borderId="0" xfId="0" applyFont="1" applyBorder="1" applyAlignment="1" applyProtection="1">
      <alignment vertical="top" wrapText="1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wrapText="1"/>
    </xf>
    <xf numFmtId="2" fontId="0" fillId="0" borderId="8" xfId="0" applyNumberFormat="1" applyFont="1" applyBorder="1" applyAlignment="1" applyProtection="1">
      <alignment horizontal="center" wrapText="1"/>
    </xf>
    <xf numFmtId="0" fontId="6" fillId="0" borderId="10" xfId="0" applyFont="1" applyBorder="1" applyAlignment="1" applyProtection="1">
      <alignment horizontal="center" wrapText="1"/>
    </xf>
    <xf numFmtId="0" fontId="6" fillId="4" borderId="3" xfId="5" applyFont="1" applyBorder="1" applyAlignment="1" applyProtection="1">
      <alignment horizontal="center" wrapText="1"/>
    </xf>
    <xf numFmtId="2" fontId="6" fillId="4" borderId="3" xfId="5" applyNumberFormat="1" applyFont="1" applyBorder="1" applyAlignment="1" applyProtection="1">
      <alignment horizontal="center" wrapText="1"/>
    </xf>
    <xf numFmtId="2" fontId="0" fillId="0" borderId="3" xfId="0" applyNumberFormat="1" applyFont="1" applyBorder="1" applyAlignment="1" applyProtection="1">
      <alignment horizontal="center" wrapText="1"/>
    </xf>
    <xf numFmtId="44" fontId="8" fillId="0" borderId="3" xfId="1" applyFont="1" applyBorder="1" applyAlignment="1" applyProtection="1">
      <alignment horizontal="center" wrapText="1"/>
    </xf>
    <xf numFmtId="165" fontId="8" fillId="0" borderId="3" xfId="0" applyNumberFormat="1" applyFont="1" applyBorder="1" applyAlignment="1" applyProtection="1">
      <alignment horizontal="center" wrapText="1"/>
    </xf>
    <xf numFmtId="0" fontId="6" fillId="0" borderId="5" xfId="0" applyFont="1" applyBorder="1" applyAlignment="1" applyProtection="1">
      <alignment horizontal="center" wrapText="1"/>
    </xf>
    <xf numFmtId="0" fontId="0" fillId="0" borderId="2" xfId="0" applyFont="1" applyFill="1" applyBorder="1" applyAlignment="1" applyProtection="1">
      <alignment horizontal="center" wrapText="1"/>
    </xf>
    <xf numFmtId="0" fontId="15" fillId="0" borderId="0" xfId="0" applyFont="1" applyFill="1" applyBorder="1" applyAlignment="1" applyProtection="1">
      <alignment horizontal="center" wrapText="1"/>
    </xf>
    <xf numFmtId="0" fontId="0" fillId="0" borderId="4" xfId="0" applyFont="1" applyFill="1" applyBorder="1" applyAlignment="1" applyProtection="1">
      <alignment horizontal="center" wrapText="1"/>
    </xf>
    <xf numFmtId="166" fontId="0" fillId="0" borderId="2" xfId="2" applyNumberFormat="1" applyFont="1" applyFill="1" applyBorder="1" applyAlignment="1" applyProtection="1">
      <alignment horizontal="center" wrapText="1"/>
    </xf>
    <xf numFmtId="0" fontId="15" fillId="0" borderId="0" xfId="0" applyFont="1" applyFill="1" applyAlignment="1" applyProtection="1">
      <alignment horizontal="center" wrapText="1"/>
    </xf>
    <xf numFmtId="0" fontId="0" fillId="0" borderId="4" xfId="0" applyFont="1" applyBorder="1" applyAlignment="1" applyProtection="1">
      <alignment horizontal="center" wrapText="1"/>
    </xf>
    <xf numFmtId="44" fontId="17" fillId="7" borderId="3" xfId="1" applyFont="1" applyFill="1" applyBorder="1" applyAlignment="1" applyProtection="1">
      <alignment horizontal="center" wrapText="1"/>
    </xf>
    <xf numFmtId="0" fontId="17" fillId="7" borderId="3" xfId="4" applyFont="1" applyFill="1" applyBorder="1" applyAlignment="1" applyProtection="1">
      <alignment horizontal="center" wrapText="1"/>
    </xf>
    <xf numFmtId="166" fontId="0" fillId="0" borderId="3" xfId="2" applyNumberFormat="1" applyFont="1" applyFill="1" applyBorder="1" applyAlignment="1" applyProtection="1">
      <alignment horizontal="center" wrapText="1"/>
    </xf>
    <xf numFmtId="0" fontId="15" fillId="0" borderId="3" xfId="4" applyFont="1" applyFill="1" applyBorder="1" applyAlignment="1" applyProtection="1">
      <alignment horizontal="center" wrapText="1"/>
    </xf>
    <xf numFmtId="0" fontId="17" fillId="7" borderId="4" xfId="4" applyFont="1" applyFill="1" applyBorder="1" applyAlignment="1" applyProtection="1">
      <alignment horizontal="center" wrapText="1"/>
    </xf>
    <xf numFmtId="0" fontId="0" fillId="0" borderId="3" xfId="0" applyFont="1" applyBorder="1" applyAlignment="1" applyProtection="1">
      <alignment horizontal="center" wrapText="1"/>
    </xf>
    <xf numFmtId="0" fontId="5" fillId="2" borderId="1" xfId="3" applyFont="1" applyBorder="1" applyAlignment="1" applyProtection="1">
      <alignment vertical="top" wrapText="1"/>
    </xf>
    <xf numFmtId="4" fontId="7" fillId="2" borderId="7" xfId="3" applyNumberFormat="1" applyBorder="1" applyAlignment="1" applyProtection="1">
      <alignment wrapText="1"/>
    </xf>
    <xf numFmtId="2" fontId="7" fillId="2" borderId="8" xfId="3" applyNumberFormat="1" applyBorder="1" applyAlignment="1" applyProtection="1">
      <alignment wrapText="1"/>
    </xf>
    <xf numFmtId="0" fontId="20" fillId="2" borderId="8" xfId="3" applyFont="1" applyBorder="1" applyAlignment="1" applyProtection="1">
      <alignment wrapText="1"/>
    </xf>
    <xf numFmtId="2" fontId="0" fillId="4" borderId="7" xfId="5" applyNumberFormat="1" applyFont="1" applyBorder="1" applyAlignment="1" applyProtection="1">
      <alignment wrapText="1"/>
    </xf>
    <xf numFmtId="2" fontId="4" fillId="4" borderId="8" xfId="5" applyNumberFormat="1" applyBorder="1" applyProtection="1"/>
    <xf numFmtId="44" fontId="20" fillId="2" borderId="8" xfId="3" applyNumberFormat="1" applyFont="1" applyBorder="1" applyAlignment="1" applyProtection="1">
      <alignment wrapText="1"/>
    </xf>
    <xf numFmtId="0" fontId="20" fillId="2" borderId="9" xfId="3" applyFont="1" applyBorder="1" applyProtection="1"/>
    <xf numFmtId="44" fontId="7" fillId="2" borderId="7" xfId="3" applyNumberFormat="1" applyBorder="1" applyAlignment="1" applyProtection="1">
      <alignment wrapText="1"/>
    </xf>
    <xf numFmtId="44" fontId="7" fillId="2" borderId="8" xfId="3" applyNumberFormat="1" applyBorder="1" applyAlignment="1" applyProtection="1">
      <alignment wrapText="1"/>
    </xf>
    <xf numFmtId="166" fontId="7" fillId="2" borderId="9" xfId="3" applyNumberFormat="1" applyBorder="1" applyAlignment="1" applyProtection="1">
      <alignment wrapText="1"/>
    </xf>
    <xf numFmtId="166" fontId="7" fillId="2" borderId="7" xfId="3" applyNumberFormat="1" applyBorder="1" applyAlignment="1" applyProtection="1">
      <alignment wrapText="1"/>
    </xf>
    <xf numFmtId="166" fontId="7" fillId="2" borderId="8" xfId="3" applyNumberFormat="1" applyBorder="1" applyAlignment="1" applyProtection="1">
      <alignment wrapText="1"/>
    </xf>
    <xf numFmtId="44" fontId="7" fillId="2" borderId="8" xfId="3" applyNumberFormat="1" applyBorder="1" applyAlignment="1" applyProtection="1">
      <alignment horizontal="center" wrapText="1"/>
    </xf>
    <xf numFmtId="0" fontId="7" fillId="2" borderId="8" xfId="3" applyBorder="1" applyAlignment="1" applyProtection="1">
      <alignment horizontal="center" wrapText="1"/>
    </xf>
    <xf numFmtId="166" fontId="7" fillId="2" borderId="3" xfId="3" applyNumberFormat="1" applyBorder="1" applyAlignment="1" applyProtection="1">
      <alignment wrapText="1"/>
    </xf>
    <xf numFmtId="44" fontId="7" fillId="2" borderId="3" xfId="3" applyNumberFormat="1" applyBorder="1" applyAlignment="1" applyProtection="1">
      <alignment wrapText="1"/>
    </xf>
    <xf numFmtId="44" fontId="7" fillId="2" borderId="3" xfId="3" applyNumberFormat="1" applyBorder="1" applyAlignment="1" applyProtection="1">
      <alignment horizontal="center" wrapText="1"/>
    </xf>
    <xf numFmtId="0" fontId="7" fillId="2" borderId="3" xfId="3" applyBorder="1" applyAlignment="1" applyProtection="1">
      <alignment horizontal="center" wrapText="1"/>
    </xf>
    <xf numFmtId="0" fontId="7" fillId="2" borderId="4" xfId="3" applyBorder="1" applyAlignment="1" applyProtection="1">
      <alignment horizontal="center" wrapText="1"/>
    </xf>
    <xf numFmtId="0" fontId="0" fillId="0" borderId="8" xfId="0" applyFont="1" applyBorder="1" applyAlignment="1" applyProtection="1">
      <alignment wrapText="1"/>
    </xf>
    <xf numFmtId="44" fontId="22" fillId="7" borderId="0" xfId="4" applyNumberFormat="1" applyFont="1" applyFill="1" applyBorder="1" applyAlignment="1" applyProtection="1">
      <alignment wrapText="1"/>
    </xf>
    <xf numFmtId="2" fontId="6" fillId="4" borderId="0" xfId="5" applyNumberFormat="1" applyFont="1" applyBorder="1" applyAlignment="1" applyProtection="1">
      <alignment vertical="top" wrapText="1"/>
    </xf>
    <xf numFmtId="2" fontId="0" fillId="0" borderId="0" xfId="0" applyNumberFormat="1" applyProtection="1"/>
    <xf numFmtId="44" fontId="8" fillId="0" borderId="0" xfId="1" applyFont="1" applyBorder="1" applyAlignment="1" applyProtection="1">
      <alignment wrapText="1"/>
    </xf>
    <xf numFmtId="44" fontId="0" fillId="0" borderId="5" xfId="1" applyFont="1" applyBorder="1" applyAlignment="1" applyProtection="1">
      <alignment wrapText="1"/>
    </xf>
    <xf numFmtId="167" fontId="15" fillId="6" borderId="0" xfId="4" applyNumberFormat="1" applyFont="1" applyFill="1" applyBorder="1" applyAlignment="1" applyProtection="1">
      <alignment wrapText="1"/>
    </xf>
    <xf numFmtId="44" fontId="15" fillId="6" borderId="0" xfId="4" applyNumberFormat="1" applyFont="1" applyFill="1" applyBorder="1" applyAlignment="1" applyProtection="1">
      <alignment wrapText="1"/>
    </xf>
    <xf numFmtId="10" fontId="0" fillId="0" borderId="6" xfId="0" applyNumberFormat="1" applyFont="1" applyBorder="1" applyAlignment="1" applyProtection="1">
      <alignment wrapText="1"/>
    </xf>
    <xf numFmtId="10" fontId="0" fillId="0" borderId="5" xfId="2" applyNumberFormat="1" applyFont="1" applyBorder="1" applyAlignment="1" applyProtection="1">
      <alignment wrapText="1"/>
    </xf>
    <xf numFmtId="44" fontId="6" fillId="0" borderId="0" xfId="0" applyNumberFormat="1" applyFont="1" applyBorder="1" applyAlignment="1" applyProtection="1">
      <alignment wrapText="1"/>
    </xf>
    <xf numFmtId="44" fontId="0" fillId="0" borderId="6" xfId="0" applyNumberFormat="1" applyFont="1" applyBorder="1" applyAlignment="1" applyProtection="1">
      <alignment wrapText="1"/>
    </xf>
    <xf numFmtId="44" fontId="17" fillId="7" borderId="0" xfId="1" applyFont="1" applyFill="1" applyBorder="1" applyAlignment="1" applyProtection="1">
      <alignment horizontal="center" wrapText="1"/>
    </xf>
    <xf numFmtId="10" fontId="17" fillId="7" borderId="0" xfId="4" applyNumberFormat="1" applyFont="1" applyFill="1" applyBorder="1" applyAlignment="1" applyProtection="1">
      <alignment horizontal="center" wrapText="1"/>
    </xf>
    <xf numFmtId="166" fontId="22" fillId="8" borderId="11" xfId="4" applyNumberFormat="1" applyFont="1" applyFill="1" applyBorder="1" applyAlignment="1" applyProtection="1">
      <alignment horizontal="center" wrapText="1"/>
    </xf>
    <xf numFmtId="166" fontId="22" fillId="8" borderId="12" xfId="4" applyNumberFormat="1" applyFont="1" applyFill="1" applyBorder="1" applyAlignment="1" applyProtection="1">
      <alignment horizontal="center" wrapText="1"/>
    </xf>
    <xf numFmtId="166" fontId="22" fillId="8" borderId="13" xfId="4" applyNumberFormat="1" applyFont="1" applyFill="1" applyBorder="1" applyAlignment="1" applyProtection="1">
      <alignment horizontal="center" wrapText="1"/>
    </xf>
    <xf numFmtId="166" fontId="22" fillId="8" borderId="2" xfId="4" applyNumberFormat="1" applyFont="1" applyFill="1" applyBorder="1" applyAlignment="1" applyProtection="1">
      <alignment horizontal="center" wrapText="1"/>
    </xf>
    <xf numFmtId="166" fontId="22" fillId="8" borderId="3" xfId="4" applyNumberFormat="1" applyFont="1" applyFill="1" applyBorder="1" applyAlignment="1" applyProtection="1">
      <alignment horizontal="center" wrapText="1"/>
    </xf>
    <xf numFmtId="166" fontId="22" fillId="8" borderId="4" xfId="4" applyNumberFormat="1" applyFont="1" applyFill="1" applyBorder="1" applyAlignment="1" applyProtection="1">
      <alignment horizontal="center" wrapText="1"/>
    </xf>
    <xf numFmtId="168" fontId="0" fillId="0" borderId="0" xfId="0" applyNumberFormat="1" applyFont="1" applyBorder="1" applyAlignment="1" applyProtection="1">
      <alignment wrapText="1"/>
    </xf>
    <xf numFmtId="10" fontId="0" fillId="0" borderId="0" xfId="2" applyNumberFormat="1" applyFont="1" applyBorder="1" applyAlignment="1" applyProtection="1">
      <alignment wrapText="1"/>
    </xf>
    <xf numFmtId="166" fontId="22" fillId="8" borderId="14" xfId="4" applyNumberFormat="1" applyFont="1" applyFill="1" applyBorder="1" applyAlignment="1" applyProtection="1">
      <alignment horizontal="center" wrapText="1"/>
    </xf>
    <xf numFmtId="166" fontId="22" fillId="8" borderId="15" xfId="4" applyNumberFormat="1" applyFont="1" applyFill="1" applyBorder="1" applyAlignment="1" applyProtection="1">
      <alignment horizontal="center" wrapText="1"/>
    </xf>
    <xf numFmtId="166" fontId="22" fillId="8" borderId="16" xfId="4" applyNumberFormat="1" applyFont="1" applyFill="1" applyBorder="1" applyAlignment="1" applyProtection="1">
      <alignment horizontal="center" wrapText="1"/>
    </xf>
    <xf numFmtId="166" fontId="22" fillId="8" borderId="5" xfId="4" applyNumberFormat="1" applyFont="1" applyFill="1" applyBorder="1" applyAlignment="1" applyProtection="1">
      <alignment horizontal="center" wrapText="1"/>
    </xf>
    <xf numFmtId="166" fontId="22" fillId="8" borderId="0" xfId="4" applyNumberFormat="1" applyFont="1" applyFill="1" applyBorder="1" applyAlignment="1" applyProtection="1">
      <alignment horizontal="center" wrapText="1"/>
    </xf>
    <xf numFmtId="166" fontId="22" fillId="8" borderId="6" xfId="4" applyNumberFormat="1" applyFont="1" applyFill="1" applyBorder="1" applyAlignment="1" applyProtection="1">
      <alignment horizontal="center" wrapText="1"/>
    </xf>
    <xf numFmtId="10" fontId="17" fillId="7" borderId="6" xfId="4" applyNumberFormat="1" applyFont="1" applyFill="1" applyBorder="1" applyAlignment="1" applyProtection="1">
      <alignment horizontal="center" wrapText="1"/>
    </xf>
    <xf numFmtId="169" fontId="0" fillId="0" borderId="0" xfId="0" applyNumberFormat="1" applyFont="1" applyBorder="1" applyAlignment="1" applyProtection="1">
      <alignment wrapText="1"/>
    </xf>
    <xf numFmtId="0" fontId="22" fillId="7" borderId="0" xfId="0" applyFont="1" applyFill="1" applyBorder="1" applyAlignment="1" applyProtection="1">
      <alignment wrapText="1"/>
    </xf>
    <xf numFmtId="165" fontId="8" fillId="0" borderId="0" xfId="0" applyNumberFormat="1" applyFont="1" applyBorder="1" applyAlignment="1" applyProtection="1">
      <alignment wrapText="1"/>
    </xf>
    <xf numFmtId="44" fontId="15" fillId="6" borderId="0" xfId="1" applyFont="1" applyFill="1" applyBorder="1" applyAlignment="1" applyProtection="1">
      <alignment wrapText="1"/>
    </xf>
    <xf numFmtId="0" fontId="0" fillId="0" borderId="6" xfId="0" applyFont="1" applyBorder="1" applyAlignment="1" applyProtection="1">
      <alignment wrapText="1"/>
    </xf>
    <xf numFmtId="166" fontId="0" fillId="0" borderId="5" xfId="2" applyNumberFormat="1" applyFont="1" applyBorder="1" applyAlignment="1" applyProtection="1">
      <alignment wrapText="1"/>
    </xf>
    <xf numFmtId="0" fontId="15" fillId="6" borderId="0" xfId="0" applyFont="1" applyFill="1" applyBorder="1" applyAlignment="1" applyProtection="1">
      <alignment wrapText="1"/>
    </xf>
    <xf numFmtId="0" fontId="17" fillId="7" borderId="0" xfId="0" applyFont="1" applyFill="1" applyBorder="1" applyAlignment="1" applyProtection="1">
      <alignment horizontal="center" wrapText="1"/>
    </xf>
    <xf numFmtId="166" fontId="0" fillId="0" borderId="0" xfId="2" applyNumberFormat="1" applyFont="1" applyBorder="1" applyAlignment="1" applyProtection="1">
      <alignment wrapText="1"/>
    </xf>
    <xf numFmtId="0" fontId="17" fillId="7" borderId="6" xfId="0" applyFont="1" applyFill="1" applyBorder="1" applyAlignment="1" applyProtection="1">
      <alignment horizontal="center" wrapText="1"/>
    </xf>
  </cellXfs>
  <cellStyles count="9">
    <cellStyle name="20% - Accent2" xfId="8" builtinId="34"/>
    <cellStyle name="20% - Accent4" xfId="5" builtinId="42"/>
    <cellStyle name="60% - Accent3" xfId="4" builtinId="40"/>
    <cellStyle name="Accent1" xfId="7" builtinId="29"/>
    <cellStyle name="Accent3" xfId="3" builtinId="37"/>
    <cellStyle name="Currency" xfId="1" builtinId="4"/>
    <cellStyle name="Neutral" xfId="6" builtinId="28"/>
    <cellStyle name="Normal" xfId="0" builtinId="0"/>
    <cellStyle name="Percent" xfId="2" builtinId="5"/>
  </cellStyles>
  <dxfs count="120"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numFmt numFmtId="170" formatCode=";;;"/>
    </dxf>
    <dxf>
      <numFmt numFmtId="170" formatCode=";;;"/>
    </dxf>
    <dxf>
      <font>
        <color theme="9"/>
      </font>
    </dxf>
    <dxf>
      <font>
        <color rgb="FF9C0006"/>
      </font>
    </dxf>
    <dxf>
      <numFmt numFmtId="170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</dxf>
    <dxf>
      <numFmt numFmtId="170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font>
        <color rgb="FF9C0006"/>
      </font>
      <fill>
        <patternFill>
          <bgColor rgb="FFFFC7CE"/>
        </patternFill>
      </fill>
    </dxf>
    <dxf>
      <numFmt numFmtId="170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70" formatCode=";;;"/>
    </dxf>
    <dxf>
      <numFmt numFmtId="170" formatCode=";;;"/>
    </dxf>
    <dxf>
      <numFmt numFmtId="170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numFmt numFmtId="170" formatCode=";;;"/>
    </dxf>
    <dxf>
      <numFmt numFmtId="170" formatCode=";;;"/>
    </dxf>
    <dxf>
      <font>
        <color theme="9"/>
      </font>
    </dxf>
    <dxf>
      <font>
        <color rgb="FF9C0006"/>
      </font>
    </dxf>
    <dxf>
      <numFmt numFmtId="170" formatCode=";;;"/>
    </dxf>
    <dxf>
      <font>
        <color theme="9"/>
      </font>
    </dxf>
    <dxf>
      <font>
        <color rgb="FF9C0006"/>
      </font>
    </dxf>
    <dxf>
      <numFmt numFmtId="170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</dxf>
    <dxf>
      <numFmt numFmtId="170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numFmt numFmtId="170" formatCode=";;;"/>
    </dxf>
    <dxf>
      <numFmt numFmtId="170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69D1-55E4-5040-A416-FD9674CF7EB0}">
  <dimension ref="A1:AY45"/>
  <sheetViews>
    <sheetView tabSelected="1" zoomScale="82" zoomScaleNormal="100" workbookViewId="0">
      <selection activeCell="F12" sqref="F12"/>
    </sheetView>
  </sheetViews>
  <sheetFormatPr baseColWidth="10" defaultRowHeight="16"/>
  <cols>
    <col min="1" max="1" width="14" style="109" bestFit="1" customWidth="1"/>
    <col min="2" max="2" width="14" style="129" bestFit="1" customWidth="1"/>
    <col min="3" max="3" width="12.33203125" style="114" customWidth="1"/>
    <col min="4" max="4" width="11.1640625" style="133" customWidth="1"/>
    <col min="5" max="5" width="2.33203125" style="95" customWidth="1"/>
    <col min="6" max="6" width="9.83203125" style="22" customWidth="1"/>
    <col min="7" max="7" width="10.5" style="114" customWidth="1"/>
    <col min="8" max="8" width="11.33203125" style="134" customWidth="1"/>
    <col min="9" max="9" width="11.5" style="135" customWidth="1"/>
    <col min="10" max="10" width="10.83203125" style="114" customWidth="1"/>
    <col min="11" max="11" width="12.83203125" style="147" customWidth="1"/>
    <col min="12" max="12" width="10.83203125" style="149" customWidth="1"/>
    <col min="13" max="13" width="2.6640625" style="55" customWidth="1"/>
    <col min="14" max="14" width="15.33203125" style="119" customWidth="1"/>
    <col min="15" max="15" width="14.83203125" style="136" bestFit="1" customWidth="1"/>
    <col min="16" max="16" width="12.33203125" style="136" bestFit="1" customWidth="1"/>
    <col min="17" max="17" width="12" style="137" customWidth="1"/>
    <col min="18" max="18" width="2.6640625" style="138" customWidth="1"/>
    <col min="19" max="19" width="12.5" style="123" customWidth="1"/>
    <col min="20" max="20" width="11.83203125" style="139" bestFit="1" customWidth="1"/>
    <col min="21" max="21" width="12.1640625" style="139" bestFit="1" customWidth="1"/>
    <col min="22" max="22" width="12.1640625" style="125" bestFit="1" customWidth="1"/>
    <col min="23" max="23" width="12.1640625" style="126" bestFit="1" customWidth="1"/>
    <col min="24" max="24" width="12.6640625" style="127" customWidth="1"/>
    <col min="25" max="25" width="14.1640625" style="128" customWidth="1"/>
    <col min="26" max="26" width="2.83203125" style="65" customWidth="1"/>
    <col min="27" max="27" width="12.5" style="123" customWidth="1"/>
    <col min="28" max="28" width="11.83203125" style="139" bestFit="1" customWidth="1"/>
    <col min="29" max="29" width="12.1640625" style="139" bestFit="1" customWidth="1"/>
    <col min="30" max="30" width="12.1640625" style="125" bestFit="1" customWidth="1"/>
    <col min="31" max="31" width="12.1640625" style="126" bestFit="1" customWidth="1"/>
    <col min="32" max="32" width="12.6640625" style="127" customWidth="1"/>
    <col min="33" max="33" width="14.1640625" style="128" customWidth="1"/>
    <col min="34" max="34" width="3.1640625" style="65" customWidth="1"/>
    <col min="35" max="35" width="12.5" style="123" customWidth="1"/>
    <col min="36" max="36" width="11.83203125" style="139" bestFit="1" customWidth="1"/>
    <col min="37" max="37" width="12.1640625" style="139" bestFit="1" customWidth="1"/>
    <col min="38" max="38" width="12.1640625" style="125" bestFit="1" customWidth="1"/>
    <col min="39" max="39" width="12.1640625" style="126" bestFit="1" customWidth="1"/>
    <col min="40" max="40" width="12.6640625" style="127" customWidth="1"/>
    <col min="41" max="41" width="14.1640625" style="128" customWidth="1"/>
    <col min="42" max="42" width="3.1640625" style="65" customWidth="1"/>
    <col min="43" max="43" width="12.5" style="123" customWidth="1"/>
    <col min="44" max="44" width="11.83203125" style="139" bestFit="1" customWidth="1"/>
    <col min="45" max="45" width="12.1640625" style="139" bestFit="1" customWidth="1"/>
    <col min="46" max="46" width="12.1640625" style="125" bestFit="1" customWidth="1"/>
    <col min="47" max="47" width="12.1640625" style="126" bestFit="1" customWidth="1"/>
    <col min="48" max="48" width="12.6640625" style="127" customWidth="1"/>
    <col min="49" max="49" width="14.1640625" style="128" customWidth="1"/>
    <col min="50" max="50" width="3.1640625" style="129" customWidth="1"/>
    <col min="51" max="51" width="10.83203125" style="66"/>
    <col min="52" max="16384" width="10.83203125" style="130"/>
  </cols>
  <sheetData>
    <row r="1" spans="1:51" s="27" customFormat="1" ht="22" customHeight="1">
      <c r="A1" s="26" t="s">
        <v>110</v>
      </c>
      <c r="B1" s="26"/>
      <c r="C1" s="26"/>
      <c r="D1" s="26"/>
      <c r="E1" s="26"/>
      <c r="F1" s="26"/>
      <c r="G1" s="26"/>
      <c r="H1" s="26"/>
      <c r="I1" s="26"/>
      <c r="J1" s="26"/>
      <c r="K1" s="160"/>
      <c r="L1" s="160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51" s="27" customFormat="1" ht="22" customHeight="1">
      <c r="D2" s="28"/>
      <c r="F2" s="29"/>
      <c r="G2" s="30"/>
      <c r="H2" s="30"/>
      <c r="I2" s="29"/>
      <c r="J2" s="30"/>
      <c r="K2" s="31"/>
      <c r="L2" s="30"/>
    </row>
    <row r="3" spans="1:51" s="27" customFormat="1" ht="34">
      <c r="A3" s="32" t="s">
        <v>104</v>
      </c>
      <c r="B3" s="33" t="s">
        <v>103</v>
      </c>
      <c r="C3" s="34" t="s">
        <v>107</v>
      </c>
      <c r="D3" s="28"/>
      <c r="E3" s="29"/>
      <c r="F3" s="30"/>
      <c r="G3" s="30"/>
      <c r="H3" s="29"/>
      <c r="I3" s="30"/>
      <c r="J3" s="30"/>
      <c r="K3" s="31"/>
    </row>
    <row r="4" spans="1:51" s="27" customFormat="1" ht="40">
      <c r="A4" s="21" t="s">
        <v>101</v>
      </c>
      <c r="B4" s="142" t="s">
        <v>98</v>
      </c>
      <c r="C4" s="143">
        <v>8878</v>
      </c>
      <c r="D4" s="35"/>
      <c r="E4" s="36"/>
      <c r="F4" s="30"/>
      <c r="G4" s="30"/>
      <c r="H4" s="29"/>
      <c r="I4" s="30"/>
      <c r="J4" s="30"/>
      <c r="K4" s="31"/>
    </row>
    <row r="5" spans="1:51" s="27" customFormat="1" ht="20">
      <c r="A5" s="21" t="s">
        <v>105</v>
      </c>
      <c r="B5" s="142" t="s">
        <v>100</v>
      </c>
      <c r="C5" s="143">
        <v>10201</v>
      </c>
      <c r="D5" s="35"/>
      <c r="E5" s="36"/>
      <c r="F5" s="30"/>
      <c r="G5" s="30"/>
      <c r="H5" s="29"/>
      <c r="I5" s="30"/>
      <c r="J5" s="30"/>
      <c r="K5" s="31"/>
      <c r="M5" s="37"/>
      <c r="N5" s="37"/>
      <c r="O5" s="37"/>
      <c r="P5" s="38"/>
      <c r="R5" s="39"/>
      <c r="S5" s="40"/>
      <c r="T5" s="40"/>
      <c r="U5" s="40"/>
      <c r="V5" s="40"/>
      <c r="W5" s="40"/>
      <c r="X5" s="39"/>
      <c r="Z5" s="39"/>
      <c r="AA5" s="40"/>
      <c r="AB5" s="40"/>
      <c r="AC5" s="40"/>
      <c r="AD5" s="40"/>
      <c r="AE5" s="40"/>
      <c r="AF5" s="39"/>
      <c r="AH5" s="39"/>
      <c r="AI5" s="40"/>
      <c r="AJ5" s="40"/>
      <c r="AK5" s="40"/>
      <c r="AL5" s="40"/>
      <c r="AM5" s="40"/>
      <c r="AN5" s="39"/>
      <c r="AP5" s="39"/>
      <c r="AQ5" s="40"/>
      <c r="AR5" s="40"/>
      <c r="AS5" s="40"/>
      <c r="AT5" s="40"/>
      <c r="AU5" s="40"/>
      <c r="AV5" s="39"/>
      <c r="AX5" s="41"/>
    </row>
    <row r="6" spans="1:51" s="27" customFormat="1" ht="22" customHeight="1" thickBot="1">
      <c r="D6" s="28"/>
      <c r="F6" s="42"/>
      <c r="G6" s="43"/>
      <c r="H6" s="43"/>
      <c r="I6" s="42"/>
      <c r="J6" s="43"/>
      <c r="K6" s="44"/>
      <c r="L6" s="43"/>
    </row>
    <row r="7" spans="1:51" s="20" customFormat="1" ht="22" customHeight="1" thickBot="1">
      <c r="A7" s="25" t="s">
        <v>109</v>
      </c>
      <c r="B7" s="150" t="s">
        <v>108</v>
      </c>
      <c r="C7" s="151"/>
      <c r="D7" s="152"/>
      <c r="F7" s="153" t="s">
        <v>106</v>
      </c>
      <c r="G7" s="154"/>
      <c r="H7" s="154"/>
      <c r="I7" s="154"/>
      <c r="J7" s="154"/>
      <c r="K7" s="154"/>
      <c r="L7" s="155"/>
      <c r="M7" s="19"/>
      <c r="N7" s="150" t="s">
        <v>85</v>
      </c>
      <c r="O7" s="151"/>
      <c r="P7" s="151"/>
      <c r="Q7" s="152"/>
      <c r="R7" s="19"/>
      <c r="S7" s="156" t="s">
        <v>99</v>
      </c>
      <c r="T7" s="144">
        <v>1</v>
      </c>
      <c r="U7" s="159" t="str">
        <f ca="1">"("&amp;OFFSET($A$10,T7,0)&amp;")"</f>
        <v>(Alice)</v>
      </c>
      <c r="V7" s="157"/>
      <c r="W7" s="157"/>
      <c r="X7" s="157"/>
      <c r="Y7" s="158"/>
      <c r="Z7" s="19"/>
      <c r="AA7" s="156" t="s">
        <v>99</v>
      </c>
      <c r="AB7" s="144">
        <v>2</v>
      </c>
      <c r="AC7" s="159" t="str">
        <f ca="1">"("&amp;OFFSET($A$10,AB7,0)&amp;")"</f>
        <v>(Bob)</v>
      </c>
      <c r="AD7" s="157"/>
      <c r="AE7" s="157"/>
      <c r="AF7" s="157"/>
      <c r="AG7" s="158"/>
      <c r="AH7" s="19"/>
      <c r="AI7" s="156" t="s">
        <v>99</v>
      </c>
      <c r="AJ7" s="18">
        <v>3</v>
      </c>
      <c r="AK7" s="159" t="str">
        <f ca="1">"("&amp;OFFSET($A$10,AJ7,0)&amp;")"</f>
        <v>(Carol)</v>
      </c>
      <c r="AL7" s="157"/>
      <c r="AM7" s="157"/>
      <c r="AN7" s="157"/>
      <c r="AO7" s="158"/>
      <c r="AP7" s="19"/>
      <c r="AQ7" s="156" t="s">
        <v>99</v>
      </c>
      <c r="AR7" s="18">
        <v>4</v>
      </c>
      <c r="AS7" s="159" t="str">
        <f ca="1">"("&amp;OFFSET($A$10,AR7,0)&amp;")"</f>
        <v>(Dennis)</v>
      </c>
      <c r="AT7" s="157"/>
      <c r="AU7" s="157"/>
      <c r="AV7" s="157"/>
      <c r="AW7" s="158"/>
      <c r="AX7" s="19"/>
    </row>
    <row r="8" spans="1:51" s="66" customFormat="1" ht="17" customHeight="1" thickBot="1">
      <c r="A8" s="25"/>
      <c r="B8" s="45"/>
      <c r="C8" s="46"/>
      <c r="D8" s="47"/>
      <c r="E8" s="48"/>
      <c r="F8" s="49" t="s">
        <v>40</v>
      </c>
      <c r="G8" s="50"/>
      <c r="H8" s="51"/>
      <c r="I8" s="52" t="s">
        <v>41</v>
      </c>
      <c r="J8" s="53"/>
      <c r="K8" s="53"/>
      <c r="L8" s="54"/>
      <c r="M8" s="55"/>
      <c r="N8" s="56"/>
      <c r="O8" s="57"/>
      <c r="P8" s="57"/>
      <c r="Q8" s="58"/>
      <c r="R8" s="59"/>
      <c r="S8" s="60" t="str">
        <f ca="1">OFFSET($A$10,T7,0)&amp;"'s liquidity contribution"</f>
        <v>Alice's liquidity contribution</v>
      </c>
      <c r="T8" s="61"/>
      <c r="U8" s="61"/>
      <c r="V8" s="61"/>
      <c r="W8" s="62"/>
      <c r="X8" s="63" t="str">
        <f ca="1">OFFSET($A$10,T7,0)&amp;"'s Impermanent Loss"</f>
        <v>Alice's Impermanent Loss</v>
      </c>
      <c r="Y8" s="64"/>
      <c r="Z8" s="65"/>
      <c r="AA8" s="60" t="str">
        <f ca="1">OFFSET($A$10,AB7,0)&amp;"'s liquidity contribution"</f>
        <v>Bob's liquidity contribution</v>
      </c>
      <c r="AB8" s="61"/>
      <c r="AC8" s="61"/>
      <c r="AD8" s="61"/>
      <c r="AE8" s="62"/>
      <c r="AF8" s="63" t="str">
        <f ca="1">OFFSET($A$10,AB7,0)&amp;"'s Impermanent Loss"</f>
        <v>Bob's Impermanent Loss</v>
      </c>
      <c r="AG8" s="64"/>
      <c r="AH8" s="65"/>
      <c r="AI8" s="60" t="str">
        <f ca="1">OFFSET($A$10,AJ7,0)&amp;"'s liquidity contribution"</f>
        <v>Carol's liquidity contribution</v>
      </c>
      <c r="AJ8" s="61"/>
      <c r="AK8" s="61"/>
      <c r="AL8" s="61"/>
      <c r="AM8" s="62"/>
      <c r="AN8" s="63" t="str">
        <f ca="1">OFFSET($A$10,AJ7,0)&amp;"'s Impermanent Loss"</f>
        <v>Carol's Impermanent Loss</v>
      </c>
      <c r="AO8" s="64"/>
      <c r="AP8" s="65"/>
      <c r="AQ8" s="60" t="str">
        <f ca="1">OFFSET($A$10,AR7,0)&amp;"'s liquidity contribution"</f>
        <v>Dennis's liquidity contribution</v>
      </c>
      <c r="AR8" s="61"/>
      <c r="AS8" s="61"/>
      <c r="AT8" s="61"/>
      <c r="AU8" s="62"/>
      <c r="AV8" s="63" t="str">
        <f ca="1">OFFSET($A$10,AR7,0)&amp;"'s Impermanent Loss"</f>
        <v>Dennis's Impermanent Loss</v>
      </c>
      <c r="AW8" s="64"/>
    </row>
    <row r="9" spans="1:51" s="90" customFormat="1" ht="67" customHeight="1" thickBot="1">
      <c r="A9" s="25"/>
      <c r="B9" s="67" t="str">
        <f>"Amount of "&amp;$B$4&amp;" in pool before transaction"</f>
        <v>Amount of ETH in pool before transaction</v>
      </c>
      <c r="C9" s="68" t="str">
        <f>"Amount of "&amp;$B$5&amp;" in pool before transaction"</f>
        <v>Amount of USD in pool before transaction</v>
      </c>
      <c r="D9" s="69" t="str">
        <f>$B$4&amp;"/"&amp;$B$5&amp;" spot price:"</f>
        <v>ETH/USD spot price:</v>
      </c>
      <c r="E9" s="70"/>
      <c r="F9" s="71" t="str">
        <f>"BUY / SELL "&amp;$B$4&amp;" QTY:"</f>
        <v>BUY / SELL ETH QTY:</v>
      </c>
      <c r="G9" s="72" t="str">
        <f>"total "&amp;$B$5&amp;" pd / recd"</f>
        <v>total USD pd / recd</v>
      </c>
      <c r="H9" s="73" t="str">
        <f>$B$4&amp;"/"&amp;$B$5&amp;" price due to slippage"</f>
        <v>ETH/USD price due to slippage</v>
      </c>
      <c r="I9" s="74" t="str">
        <f>"THEN Adds/ removes "&amp;$B$4&amp;" Liquidity qty:"</f>
        <v>THEN Adds/ removes ETH Liquidity qty:</v>
      </c>
      <c r="J9" s="75" t="str">
        <f>"must also add / remove "&amp;$B$5</f>
        <v>must also add / remove USD</v>
      </c>
      <c r="K9" s="76" t="str">
        <f>"liq "&amp;$B$5&amp;" spot value added this step"</f>
        <v>liq USD spot value added this step</v>
      </c>
      <c r="L9" s="77" t="s">
        <v>111</v>
      </c>
      <c r="M9" s="78"/>
      <c r="N9" s="79" t="str">
        <f>"Pool "&amp;$B$5&amp;" spot value after this step"</f>
        <v>Pool USD spot value after this step</v>
      </c>
      <c r="O9" s="80" t="str">
        <f>"Breakdown: current total "&amp;$B$4&amp;" in pool"</f>
        <v>Breakdown: current total ETH in pool</v>
      </c>
      <c r="P9" s="80" t="str">
        <f>"Breakdown: current total "&amp;$B$5&amp;" in pool"</f>
        <v>Breakdown: current total USD in pool</v>
      </c>
      <c r="Q9" s="81" t="s">
        <v>102</v>
      </c>
      <c r="R9" s="82"/>
      <c r="S9" s="83" t="str">
        <f ca="1">"% of pool currently held by "&amp;OFFSET($A$10,T7,0)</f>
        <v>% of pool currently held by Alice</v>
      </c>
      <c r="T9" s="84" t="str">
        <f ca="1">"Breakdown: "&amp;OFFSET($A$10,T7,0)&amp;"'s current pooled "&amp;$B$4</f>
        <v>Breakdown: Alice's current pooled ETH</v>
      </c>
      <c r="U9" s="84" t="str">
        <f ca="1">"Breakdown: "&amp;OFFSET($A$10,T7,0)&amp;"'s current pooled "&amp;$B$5</f>
        <v>Breakdown: Alice's current pooled USD</v>
      </c>
      <c r="V9" s="85" t="str">
        <f ca="1">"Current "&amp;$B$5&amp;" spot value of "&amp;OFFSET($A$10,T7,0)&amp;"'s  contribution"</f>
        <v>Current USD spot value of Alice's  contribution</v>
      </c>
      <c r="W9" s="86" t="str">
        <f ca="1">$B$5&amp;" spot value if "&amp;OFFSET($A$10,T7,0)&amp;" had just held"</f>
        <v>USD spot value if Alice had just held</v>
      </c>
      <c r="X9" s="145" t="s">
        <v>20</v>
      </c>
      <c r="Y9" s="146" t="s">
        <v>21</v>
      </c>
      <c r="Z9" s="89"/>
      <c r="AA9" s="83" t="str">
        <f ca="1">"% of pool currently held by "&amp;OFFSET($A$10,AB7,0)</f>
        <v>% of pool currently held by Bob</v>
      </c>
      <c r="AB9" s="84" t="str">
        <f ca="1">"Breakdown: "&amp;OFFSET($A$10,AB7,0)&amp;"'s current pooled "&amp;$B$4</f>
        <v>Breakdown: Bob's current pooled ETH</v>
      </c>
      <c r="AC9" s="84" t="str">
        <f ca="1">"Breakdown: "&amp;OFFSET($A$10,AB7,0)&amp;"'s current pooled "&amp;$B$5</f>
        <v>Breakdown: Bob's current pooled USD</v>
      </c>
      <c r="AD9" s="85" t="str">
        <f ca="1">"Current "&amp;$B$5&amp;" spot value of "&amp;OFFSET($A$10,AB7,0)&amp;"'s  contribution"</f>
        <v>Current USD spot value of Bob's  contribution</v>
      </c>
      <c r="AE9" s="86" t="str">
        <f ca="1">$B$5&amp;" spot value if "&amp;OFFSET($A$10,AB7,0)&amp;" had just held"</f>
        <v>USD spot value if Bob had just held</v>
      </c>
      <c r="AF9" s="87" t="s">
        <v>20</v>
      </c>
      <c r="AG9" s="88" t="s">
        <v>21</v>
      </c>
      <c r="AH9" s="89"/>
      <c r="AI9" s="83" t="str">
        <f ca="1">"% of pool currently held by "&amp;OFFSET($A$10,AJ7,0)</f>
        <v>% of pool currently held by Carol</v>
      </c>
      <c r="AJ9" s="84" t="str">
        <f ca="1">"Breakdown: "&amp;OFFSET($A$10,AJ7,0)&amp;"'s current pooled "&amp;$B$4</f>
        <v>Breakdown: Carol's current pooled ETH</v>
      </c>
      <c r="AK9" s="84" t="str">
        <f ca="1">"Breakdown: "&amp;OFFSET($A$10,AJ7,0)&amp;"'s current pooled "&amp;$B$5</f>
        <v>Breakdown: Carol's current pooled USD</v>
      </c>
      <c r="AL9" s="85" t="str">
        <f ca="1">"Current "&amp;$B$5&amp;" spot value of "&amp;OFFSET($A$10,AJ7,0)&amp;"'s  contribution"</f>
        <v>Current USD spot value of Carol's  contribution</v>
      </c>
      <c r="AM9" s="86" t="str">
        <f ca="1">$B$5&amp;" spot value if "&amp;OFFSET($A$10,AJ7,0)&amp;" had just held"</f>
        <v>USD spot value if Carol had just held</v>
      </c>
      <c r="AN9" s="87" t="s">
        <v>20</v>
      </c>
      <c r="AO9" s="88" t="s">
        <v>21</v>
      </c>
      <c r="AP9" s="89"/>
      <c r="AQ9" s="83" t="str">
        <f ca="1">"% of pool currently held by "&amp;OFFSET($A$10,AR7,0)</f>
        <v>% of pool currently held by Dennis</v>
      </c>
      <c r="AR9" s="84" t="str">
        <f ca="1">"Breakdown: "&amp;OFFSET($A$10,AR7,0)&amp;"'s current pooled "&amp;$B$4</f>
        <v>Breakdown: Dennis's current pooled ETH</v>
      </c>
      <c r="AS9" s="84" t="str">
        <f ca="1">"Breakdown: "&amp;OFFSET($A$10,AR7,0)&amp;"'s current pooled "&amp;$B$5</f>
        <v>Breakdown: Dennis's current pooled USD</v>
      </c>
      <c r="AT9" s="85" t="str">
        <f ca="1">"Current "&amp;$B$5&amp;" spot value of "&amp;OFFSET($A$10,AR7,0)&amp;"'s  contribution"</f>
        <v>Current USD spot value of Dennis's  contribution</v>
      </c>
      <c r="AU9" s="86" t="str">
        <f ca="1">$B$5&amp;" spot value if "&amp;OFFSET($A$10,AR7,0)&amp;" had just held"</f>
        <v>USD spot value if Dennis had just held</v>
      </c>
      <c r="AV9" s="145" t="s">
        <v>20</v>
      </c>
      <c r="AW9" s="146" t="s">
        <v>21</v>
      </c>
    </row>
    <row r="10" spans="1:51" s="66" customFormat="1" ht="17" customHeight="1" thickBot="1">
      <c r="A10" s="91" t="s">
        <v>72</v>
      </c>
      <c r="B10" s="92"/>
      <c r="C10" s="93"/>
      <c r="D10" s="94"/>
      <c r="E10" s="95"/>
      <c r="F10" s="96"/>
      <c r="G10" s="96"/>
      <c r="H10" s="97"/>
      <c r="I10" s="98">
        <f>C4</f>
        <v>8878</v>
      </c>
      <c r="J10" s="99">
        <f>C5</f>
        <v>10201</v>
      </c>
      <c r="K10" s="96">
        <f>2*J10</f>
        <v>20402</v>
      </c>
      <c r="L10" s="100">
        <f>(SQRT(J10*10^36*I10)-10^3)*10^-18</f>
        <v>9516.5370802619182</v>
      </c>
      <c r="M10" s="55"/>
      <c r="N10" s="101">
        <f>($C10-$G10+$J10)*2</f>
        <v>20402</v>
      </c>
      <c r="O10" s="102">
        <f>SUM($I$9:$I10)-SUM($F$9:$F10)</f>
        <v>8878</v>
      </c>
      <c r="P10" s="102">
        <f>SUM($J$9:$J10)-SUM($G$9:$G10)</f>
        <v>10201</v>
      </c>
      <c r="Q10" s="103">
        <f>$K10/N10</f>
        <v>1</v>
      </c>
      <c r="R10" s="104"/>
      <c r="S10" s="105"/>
      <c r="T10" s="106"/>
      <c r="U10" s="106"/>
      <c r="V10" s="106"/>
      <c r="W10" s="106"/>
      <c r="X10" s="107"/>
      <c r="Y10" s="108"/>
      <c r="Z10" s="65"/>
      <c r="AA10" s="105"/>
      <c r="AB10" s="106"/>
      <c r="AC10" s="106"/>
      <c r="AD10" s="106"/>
      <c r="AE10" s="106"/>
      <c r="AF10" s="107"/>
      <c r="AG10" s="108"/>
      <c r="AH10" s="65"/>
      <c r="AI10" s="105"/>
      <c r="AJ10" s="106"/>
      <c r="AK10" s="106"/>
      <c r="AL10" s="106"/>
      <c r="AM10" s="106"/>
      <c r="AN10" s="107"/>
      <c r="AO10" s="108"/>
      <c r="AP10" s="65"/>
      <c r="AQ10" s="105"/>
      <c r="AR10" s="106"/>
      <c r="AS10" s="106"/>
      <c r="AT10" s="106"/>
      <c r="AU10" s="106"/>
      <c r="AV10" s="107"/>
      <c r="AW10" s="108"/>
    </row>
    <row r="11" spans="1:51" ht="15" customHeight="1">
      <c r="A11" s="109" t="s">
        <v>19</v>
      </c>
      <c r="B11" s="110">
        <f>B10-F10+I10</f>
        <v>8878</v>
      </c>
      <c r="C11" s="111">
        <f>C10-G10+J10</f>
        <v>10201</v>
      </c>
      <c r="D11" s="112">
        <f>C11/B11</f>
        <v>1.1490200495607119</v>
      </c>
      <c r="F11" s="23"/>
      <c r="G11" s="114">
        <f>-1*((B11 * C11)/(B11 - F11)-C11 )</f>
        <v>0</v>
      </c>
      <c r="H11" s="115">
        <f>IF(F11&lt;&gt;0,-1*G11/F11,D11)</f>
        <v>1.1490200495607119</v>
      </c>
      <c r="I11" s="24">
        <v>9000</v>
      </c>
      <c r="J11" s="117">
        <f>I11/((B11-F11)/(C11-G11))</f>
        <v>10341.180446046408</v>
      </c>
      <c r="K11" s="147">
        <f>2*J11</f>
        <v>20682.360892092816</v>
      </c>
      <c r="L11" s="148">
        <f>MIN(I11*10^18*SUM($L$8:$L10) / ((B11-F11)*10^18), J11*10^18*SUM($L$8:$L10) / ((C11-G11)*10^18))</f>
        <v>9647.31175065975</v>
      </c>
      <c r="N11" s="119">
        <f>($C11-$G11+$J11)*2</f>
        <v>41084.360892092816</v>
      </c>
      <c r="O11" s="120">
        <f>SUM($I$9:$I11)-SUM($F$9:$F11)</f>
        <v>17878</v>
      </c>
      <c r="P11" s="120">
        <f>SUM($J$9:$J11)-SUM($G$9:$G11)</f>
        <v>20542.180446046408</v>
      </c>
      <c r="Q11" s="121">
        <f>$K11/N11</f>
        <v>0.50341201476675246</v>
      </c>
      <c r="R11" s="122"/>
      <c r="S11" s="123">
        <f>IF(ROW()&lt;(ROW(A$10)+T$7),"["&amp;$A11&amp;"]", INDEX($L:$L,ROW(A$10)+T$7)/SUM($L$9:$L11))</f>
        <v>0.50341201476675235</v>
      </c>
      <c r="T11" s="124">
        <f>IF(ROW()&lt;(ROW(A$10)+T$7),"", S11*$O11)</f>
        <v>8999.9999999999982</v>
      </c>
      <c r="U11" s="124">
        <f>IF(ROW()&lt;(ROW(A$10)+T$7),"", S11*$P11)</f>
        <v>10341.180446046406</v>
      </c>
      <c r="V11" s="125">
        <f>IF(ROW()&lt;(ROW(A$10)+T$7),"", S11*$N11)</f>
        <v>20682.360892092813</v>
      </c>
      <c r="W11" s="126">
        <f>IF(ROW()&lt;ROW(A$10)+T$7,"", INDEX($J:$J,ROW(A$10)+T$7)+INDEX($I:$I,ROW(A$10)+T$7)*(($C11-$G11+$J11)/($B11-$F11+$I11)))</f>
        <v>20682.360892092816</v>
      </c>
      <c r="X11" s="127">
        <f>IF(ROW()&lt;(ROW(A$10)+T$7),"", V11-W11)</f>
        <v>-3.637978807091713E-12</v>
      </c>
      <c r="Y11" s="128">
        <f>IF(ROW()&lt;(ROW(A$10)+T$7),"", IF(W11=0,"",X11/W11))</f>
        <v>-1.7589765627204426E-16</v>
      </c>
      <c r="AA11" s="123" t="str">
        <f>IF(ROW()&lt;(ROW(I$10)+AB$7),"["&amp;$A11&amp;"]", INDEX($L:$L,ROW(I$10)+AB$7)/SUM($L$9:$L11))</f>
        <v>[Alice]</v>
      </c>
      <c r="AB11" s="124" t="str">
        <f>IF(ROW()&lt;(ROW(I$10)+AB$7),"", AA11*$O11)</f>
        <v/>
      </c>
      <c r="AC11" s="124" t="str">
        <f>IF(ROW()&lt;(ROW(I$10)+AB$7),"", AA11*$P11)</f>
        <v/>
      </c>
      <c r="AD11" s="125" t="str">
        <f>IF(ROW()&lt;(ROW(I$10)+AB$7),"", AA11*$N11)</f>
        <v/>
      </c>
      <c r="AE11" s="126" t="str">
        <f>IF(ROW()&lt;ROW(I$10)+AB$7,"", INDEX($J:$J,ROW(I$10)+AB$7)+INDEX($I:$I,ROW(I$10)+AB$7)*(($C11-$G11+$J11)/($B11-$F11+$I11)))</f>
        <v/>
      </c>
      <c r="AF11" s="127" t="str">
        <f>IF(ROW()&lt;(ROW(I$10)+AB$7),"", AD11-AE11)</f>
        <v/>
      </c>
      <c r="AG11" s="128" t="str">
        <f>IF(ROW()&lt;(ROW(I$10)+AB$7),"", IF(AE11=0,"",AF11/AE11))</f>
        <v/>
      </c>
      <c r="AI11" s="123" t="str">
        <f>IF(ROW()&lt;(ROW(Q$10)+AJ$7),"["&amp;$A11&amp;"]", INDEX($L:$L,ROW(Q$10)+AJ$7)/SUM($L$9:$L11))</f>
        <v>[Alice]</v>
      </c>
      <c r="AJ11" s="124" t="str">
        <f>IF(ROW()&lt;(ROW(Q$10)+AJ$7),"", AI11*$O11)</f>
        <v/>
      </c>
      <c r="AK11" s="124" t="str">
        <f>IF(ROW()&lt;(ROW(Q$10)+AJ$7),"", AI11*$P11)</f>
        <v/>
      </c>
      <c r="AL11" s="125" t="str">
        <f>IF(ROW()&lt;(ROW(Q$10)+AJ$7),"", AI11*$N11)</f>
        <v/>
      </c>
      <c r="AM11" s="126" t="str">
        <f>IF(ROW()&lt;ROW(Q$10)+AJ$7,"", INDEX($J:$J,ROW(Q$10)+AJ$7)+INDEX($I:$I,ROW(Q$10)+AJ$7)*(($C11-$G11+$J11)/($B11-$F11+$I11)))</f>
        <v/>
      </c>
      <c r="AN11" s="127" t="str">
        <f>IF(ROW()&lt;(ROW(Q$10)+AJ$7),"", AL11-AM11)</f>
        <v/>
      </c>
      <c r="AO11" s="128" t="str">
        <f>IF(ROW()&lt;(ROW(Q$10)+AJ$7),"", IF(AM11=0,"",AN11/AM11))</f>
        <v/>
      </c>
      <c r="AQ11" s="123" t="str">
        <f>IF(ROW()&lt;(ROW(Y$10)+AR$7),"["&amp;$A11&amp;"]", INDEX($L:$L,ROW(Y$10)+AR$7)/SUM($L$9:$L11))</f>
        <v>[Alice]</v>
      </c>
      <c r="AR11" s="124" t="str">
        <f>IF(ROW()&lt;(ROW(Y$10)+AR$7),"", AQ11*$O11)</f>
        <v/>
      </c>
      <c r="AS11" s="124" t="str">
        <f>IF(ROW()&lt;(ROW(Y$10)+AR$7),"", AQ11*$P11)</f>
        <v/>
      </c>
      <c r="AT11" s="125" t="str">
        <f>IF(ROW()&lt;(ROW(Y$10)+AR$7),"", AQ11*$N11)</f>
        <v/>
      </c>
      <c r="AU11" s="126" t="str">
        <f>IF(ROW()&lt;ROW(Y$10)+AR$7,"", INDEX($J:$J,ROW(Y$10)+AR$7)+INDEX($I:$I,ROW(Y$10)+AR$7)*(($C11-$G11+$J11)/($B11-$F11+$I11)))</f>
        <v/>
      </c>
      <c r="AV11" s="127" t="str">
        <f>IF(ROW()&lt;(ROW(Y$10)+AR$7),"", AT11-AU11)</f>
        <v/>
      </c>
      <c r="AW11" s="128" t="str">
        <f>IF(ROW()&lt;(ROW(Y$10)+AR$7),"", IF(AU11=0,"",AV11/AU11))</f>
        <v/>
      </c>
    </row>
    <row r="12" spans="1:51" s="132" customFormat="1" ht="17">
      <c r="A12" s="109" t="s">
        <v>10</v>
      </c>
      <c r="B12" s="110">
        <f>B11-F11+I11</f>
        <v>17878</v>
      </c>
      <c r="C12" s="111">
        <f>C11-G11+J11</f>
        <v>20542.180446046408</v>
      </c>
      <c r="D12" s="112">
        <f t="shared" ref="D12:D44" si="0">C12/B12</f>
        <v>1.1490200495607119</v>
      </c>
      <c r="E12" s="95"/>
      <c r="F12" s="23">
        <v>2</v>
      </c>
      <c r="G12" s="114">
        <f t="shared" ref="G12:G44" si="1">-1*((B12 * C12)/(B12 - F12)-C12 )</f>
        <v>-2.2982972081081243</v>
      </c>
      <c r="H12" s="115">
        <f t="shared" ref="H12:H44" si="2">IF(F12&lt;&gt;0,-1*G12/F12,D12)</f>
        <v>1.1491486040540622</v>
      </c>
      <c r="I12" s="24"/>
      <c r="J12" s="117">
        <f>I12/((B12-F12)/(C12-G12))</f>
        <v>0</v>
      </c>
      <c r="K12" s="147">
        <f t="shared" ref="K12:K44" si="3">2*J12</f>
        <v>0</v>
      </c>
      <c r="L12" s="148">
        <f>MIN(I12*10^18*SUM($L$8:$L11) / ((B12-F12)*10^18), J12*10^18*SUM($L$8:$L11) / ((C12-G12)*10^18))</f>
        <v>0</v>
      </c>
      <c r="M12" s="55"/>
      <c r="N12" s="119">
        <f>($C12-$G12+$J12)*2</f>
        <v>41088.957486509033</v>
      </c>
      <c r="O12" s="120">
        <f>SUM($I$9:$I12)-SUM($F$9:$F12)</f>
        <v>17876</v>
      </c>
      <c r="P12" s="120">
        <f>SUM($J$9:$J12)-SUM($G$9:$G12)</f>
        <v>20544.478743254516</v>
      </c>
      <c r="Q12" s="121">
        <f>$K12/N12</f>
        <v>0</v>
      </c>
      <c r="R12" s="122"/>
      <c r="S12" s="123">
        <f>IF(ROW()&lt;(ROW(A$10)+T$7),"["&amp;$A12&amp;"]", INDEX($L:$L,ROW(A$10)+T$7)/SUM($L$9:$L12))</f>
        <v>0.50341201476675235</v>
      </c>
      <c r="T12" s="124">
        <f t="shared" ref="T12:T44" si="4">IF(ROW()&lt;(ROW(A$10)+T$7),"", S12*$O12)</f>
        <v>8998.993175970465</v>
      </c>
      <c r="U12" s="124">
        <f t="shared" ref="U12:U44" si="5">IF(ROW()&lt;(ROW(A$10)+T$7),"", S12*$P12)</f>
        <v>10342.337436474472</v>
      </c>
      <c r="V12" s="125">
        <f t="shared" ref="V12:V44" si="6">IF(ROW()&lt;(ROW(A$10)+T$7),"", S12*$N12)</f>
        <v>20684.674872948945</v>
      </c>
      <c r="W12" s="126">
        <f t="shared" ref="W12:W44" si="7">IF(ROW()&lt;ROW(A$10)+T$7,"", INDEX($J:$J,ROW(A$10)+T$7)+INDEX($I:$I,ROW(A$10)+T$7)*(($C12-$G12+$J12)/($B12-$F12+$I12)))</f>
        <v>20684.675002395183</v>
      </c>
      <c r="X12" s="127">
        <f t="shared" ref="X12:X44" si="8">IF(ROW()&lt;(ROW(A$10)+T$7),"", V12-W12)</f>
        <v>-1.294462381338235E-4</v>
      </c>
      <c r="Y12" s="128">
        <f t="shared" ref="Y12:Y44" si="9">IF(ROW()&lt;(ROW(A$10)+T$7),"", IF(W12=0,"",X12/W12))</f>
        <v>-6.2580745464376047E-9</v>
      </c>
      <c r="Z12" s="65"/>
      <c r="AA12" s="123">
        <f>IF(ROW()&lt;(ROW(I$10)+AB$7),"["&amp;$A12&amp;"]", INDEX($L:$L,ROW(I$10)+AB$7)/SUM($L$9:$L12))</f>
        <v>0</v>
      </c>
      <c r="AB12" s="124">
        <f t="shared" ref="AB12:AB44" si="10">IF(ROW()&lt;(ROW(I$10)+AB$7),"", AA12*$O12)</f>
        <v>0</v>
      </c>
      <c r="AC12" s="124">
        <f t="shared" ref="AC12:AC44" si="11">IF(ROW()&lt;(ROW(I$10)+AB$7),"", AA12*$P12)</f>
        <v>0</v>
      </c>
      <c r="AD12" s="125">
        <f t="shared" ref="AD12:AD44" si="12">IF(ROW()&lt;(ROW(I$10)+AB$7),"", AA12*$N12)</f>
        <v>0</v>
      </c>
      <c r="AE12" s="126">
        <f t="shared" ref="AE12:AE44" si="13">IF(ROW()&lt;ROW(I$10)+AB$7,"", INDEX($J:$J,ROW(I$10)+AB$7)+INDEX($I:$I,ROW(I$10)+AB$7)*(($C12-$G12+$J12)/($B12-$F12+$I12)))</f>
        <v>0</v>
      </c>
      <c r="AF12" s="127">
        <f t="shared" ref="AF12:AF44" si="14">IF(ROW()&lt;(ROW(I$10)+AB$7),"", AD12-AE12)</f>
        <v>0</v>
      </c>
      <c r="AG12" s="128" t="str">
        <f t="shared" ref="AG12:AG44" si="15">IF(ROW()&lt;(ROW(I$10)+AB$7),"", IF(AE12=0,"",AF12/AE12))</f>
        <v/>
      </c>
      <c r="AH12" s="65"/>
      <c r="AI12" s="123" t="str">
        <f>IF(ROW()&lt;(ROW(Q$10)+AJ$7),"["&amp;$A12&amp;"]", INDEX($L:$L,ROW(Q$10)+AJ$7)/SUM($L$9:$L12))</f>
        <v>[Bob]</v>
      </c>
      <c r="AJ12" s="124" t="str">
        <f t="shared" ref="AJ12:AJ44" si="16">IF(ROW()&lt;(ROW(Q$10)+AJ$7),"", AI12*$O12)</f>
        <v/>
      </c>
      <c r="AK12" s="124" t="str">
        <f t="shared" ref="AK12:AK44" si="17">IF(ROW()&lt;(ROW(Q$10)+AJ$7),"", AI12*$P12)</f>
        <v/>
      </c>
      <c r="AL12" s="125" t="str">
        <f t="shared" ref="AL12:AL44" si="18">IF(ROW()&lt;(ROW(Q$10)+AJ$7),"", AI12*$N12)</f>
        <v/>
      </c>
      <c r="AM12" s="126" t="str">
        <f t="shared" ref="AM12:AM44" si="19">IF(ROW()&lt;ROW(Q$10)+AJ$7,"", INDEX($J:$J,ROW(Q$10)+AJ$7)+INDEX($I:$I,ROW(Q$10)+AJ$7)*(($C12-$G12+$J12)/($B12-$F12+$I12)))</f>
        <v/>
      </c>
      <c r="AN12" s="127" t="str">
        <f t="shared" ref="AN12:AN44" si="20">IF(ROW()&lt;(ROW(Q$10)+AJ$7),"", AL12-AM12)</f>
        <v/>
      </c>
      <c r="AO12" s="128" t="str">
        <f t="shared" ref="AO12:AO44" si="21">IF(ROW()&lt;(ROW(Q$10)+AJ$7),"", IF(AM12=0,"",AN12/AM12))</f>
        <v/>
      </c>
      <c r="AP12" s="65"/>
      <c r="AQ12" s="123" t="str">
        <f>IF(ROW()&lt;(ROW(Y$10)+AR$7),"["&amp;$A12&amp;"]", INDEX($L:$L,ROW(Y$10)+AR$7)/SUM($L$9:$L12))</f>
        <v>[Bob]</v>
      </c>
      <c r="AR12" s="124" t="str">
        <f t="shared" ref="AR12:AR44" si="22">IF(ROW()&lt;(ROW(Y$10)+AR$7),"", AQ12*$O12)</f>
        <v/>
      </c>
      <c r="AS12" s="124" t="str">
        <f t="shared" ref="AS12:AS44" si="23">IF(ROW()&lt;(ROW(Y$10)+AR$7),"", AQ12*$P12)</f>
        <v/>
      </c>
      <c r="AT12" s="125" t="str">
        <f t="shared" ref="AT12:AT44" si="24">IF(ROW()&lt;(ROW(Y$10)+AR$7),"", AQ12*$N12)</f>
        <v/>
      </c>
      <c r="AU12" s="126" t="str">
        <f t="shared" ref="AU12:AU44" si="25">IF(ROW()&lt;ROW(Y$10)+AR$7,"", INDEX($J:$J,ROW(Y$10)+AR$7)+INDEX($I:$I,ROW(Y$10)+AR$7)*(($C12-$G12+$J12)/($B12-$F12+$I12)))</f>
        <v/>
      </c>
      <c r="AV12" s="127" t="str">
        <f t="shared" ref="AV12:AV44" si="26">IF(ROW()&lt;(ROW(Y$10)+AR$7),"", AT12-AU12)</f>
        <v/>
      </c>
      <c r="AW12" s="128" t="str">
        <f t="shared" ref="AW12:AW44" si="27">IF(ROW()&lt;(ROW(Y$10)+AR$7),"", IF(AU12=0,"",AV12/AU12))</f>
        <v/>
      </c>
      <c r="AX12" s="129"/>
      <c r="AY12" s="131"/>
    </row>
    <row r="13" spans="1:51" ht="17">
      <c r="A13" s="109" t="s">
        <v>11</v>
      </c>
      <c r="B13" s="110">
        <f>B12-F12+I12</f>
        <v>17876</v>
      </c>
      <c r="C13" s="111">
        <f>C12-G12+J12</f>
        <v>20544.478743254516</v>
      </c>
      <c r="D13" s="112">
        <f t="shared" si="0"/>
        <v>1.1492771729276414</v>
      </c>
      <c r="F13" s="23"/>
      <c r="G13" s="114">
        <f>-1*((B13 * C13)/(B13 - F13)-C13 )</f>
        <v>0</v>
      </c>
      <c r="H13" s="115">
        <f t="shared" si="2"/>
        <v>1.1492771729276414</v>
      </c>
      <c r="I13" s="24">
        <v>50</v>
      </c>
      <c r="J13" s="117">
        <f>I13/((B13-F13)/(C13-G13))</f>
        <v>57.463858646382064</v>
      </c>
      <c r="K13" s="147">
        <f t="shared" si="3"/>
        <v>114.92771729276413</v>
      </c>
      <c r="L13" s="148">
        <f>MIN(I13*10^18*SUM($L$8:$L12) / ((B13-F13)*10^18), J13*10^18*SUM($L$8:$L12) / ((C13-G13)*10^18))</f>
        <v>53.602172832070011</v>
      </c>
      <c r="N13" s="119">
        <f>($C13-$G13+$J13)*2</f>
        <v>41203.885203801794</v>
      </c>
      <c r="O13" s="120">
        <f>SUM($I$9:$I13)-SUM($F$9:$F13)</f>
        <v>17926</v>
      </c>
      <c r="P13" s="120">
        <f>SUM($J$9:$J13)-SUM($G$9:$G13)</f>
        <v>20601.942601900897</v>
      </c>
      <c r="Q13" s="121">
        <f>$K13/N13</f>
        <v>2.7892446725426754E-3</v>
      </c>
      <c r="R13" s="122"/>
      <c r="S13" s="123">
        <f>IF(ROW()&lt;(ROW(A$10)+T$7),"["&amp;$A13&amp;"]", INDEX($L:$L,ROW(A$10)+T$7)/SUM($L$9:$L13))</f>
        <v>0.50200787548647019</v>
      </c>
      <c r="T13" s="124">
        <f t="shared" si="4"/>
        <v>8998.993175970465</v>
      </c>
      <c r="U13" s="124">
        <f t="shared" si="5"/>
        <v>10342.33743647447</v>
      </c>
      <c r="V13" s="125">
        <f t="shared" si="6"/>
        <v>20684.674872948941</v>
      </c>
      <c r="W13" s="126">
        <f t="shared" si="7"/>
        <v>20684.675002395179</v>
      </c>
      <c r="X13" s="127">
        <f t="shared" si="8"/>
        <v>-1.294462381338235E-4</v>
      </c>
      <c r="Y13" s="128">
        <f t="shared" si="9"/>
        <v>-6.2580745464376064E-9</v>
      </c>
      <c r="AA13" s="123">
        <f>IF(ROW()&lt;(ROW(I$10)+AB$7),"["&amp;$A13&amp;"]", INDEX($L:$L,ROW(I$10)+AB$7)/SUM($L$9:$L13))</f>
        <v>0</v>
      </c>
      <c r="AB13" s="124">
        <f t="shared" si="10"/>
        <v>0</v>
      </c>
      <c r="AC13" s="124">
        <f t="shared" si="11"/>
        <v>0</v>
      </c>
      <c r="AD13" s="125">
        <f t="shared" si="12"/>
        <v>0</v>
      </c>
      <c r="AE13" s="126">
        <f t="shared" si="13"/>
        <v>0</v>
      </c>
      <c r="AF13" s="127">
        <f t="shared" si="14"/>
        <v>0</v>
      </c>
      <c r="AG13" s="128" t="str">
        <f t="shared" si="15"/>
        <v/>
      </c>
      <c r="AI13" s="123">
        <f>IF(ROW()&lt;(ROW(Q$10)+AJ$7),"["&amp;$A13&amp;"]", INDEX($L:$L,ROW(Q$10)+AJ$7)/SUM($L$9:$L13))</f>
        <v>2.7892446725426754E-3</v>
      </c>
      <c r="AJ13" s="124">
        <f t="shared" si="16"/>
        <v>50</v>
      </c>
      <c r="AK13" s="124">
        <f t="shared" si="17"/>
        <v>57.463858646382064</v>
      </c>
      <c r="AL13" s="125">
        <f t="shared" si="18"/>
        <v>114.92771729276413</v>
      </c>
      <c r="AM13" s="126">
        <f t="shared" si="19"/>
        <v>114.92771729276413</v>
      </c>
      <c r="AN13" s="127">
        <f t="shared" si="20"/>
        <v>0</v>
      </c>
      <c r="AO13" s="128">
        <f t="shared" si="21"/>
        <v>0</v>
      </c>
      <c r="AQ13" s="123" t="str">
        <f>IF(ROW()&lt;(ROW(Y$10)+AR$7),"["&amp;$A13&amp;"]", INDEX($L:$L,ROW(Y$10)+AR$7)/SUM($L$9:$L13))</f>
        <v>[Carol]</v>
      </c>
      <c r="AR13" s="124" t="str">
        <f t="shared" si="22"/>
        <v/>
      </c>
      <c r="AS13" s="124" t="str">
        <f t="shared" si="23"/>
        <v/>
      </c>
      <c r="AT13" s="125" t="str">
        <f t="shared" si="24"/>
        <v/>
      </c>
      <c r="AU13" s="126" t="str">
        <f t="shared" si="25"/>
        <v/>
      </c>
      <c r="AV13" s="127" t="str">
        <f t="shared" si="26"/>
        <v/>
      </c>
      <c r="AW13" s="128" t="str">
        <f t="shared" si="27"/>
        <v/>
      </c>
    </row>
    <row r="14" spans="1:51" ht="17">
      <c r="A14" s="109" t="s">
        <v>12</v>
      </c>
      <c r="B14" s="110">
        <f>B13-F13+I13</f>
        <v>17926</v>
      </c>
      <c r="C14" s="111">
        <f>C13-G13+J13</f>
        <v>20601.942601900897</v>
      </c>
      <c r="D14" s="112">
        <f t="shared" si="0"/>
        <v>1.1492771729276412</v>
      </c>
      <c r="F14" s="23">
        <v>-1000</v>
      </c>
      <c r="G14" s="114">
        <f t="shared" si="1"/>
        <v>1088.5523936331447</v>
      </c>
      <c r="H14" s="115">
        <f t="shared" si="2"/>
        <v>1.0885523936331447</v>
      </c>
      <c r="I14" s="24">
        <v>25</v>
      </c>
      <c r="J14" s="117">
        <f>I14/((B14-F14)/(C14-G14))</f>
        <v>25.775903794076601</v>
      </c>
      <c r="K14" s="147">
        <f t="shared" si="3"/>
        <v>51.551807588153203</v>
      </c>
      <c r="L14" s="148">
        <f>MIN(I14*10^18*SUM($L$8:$L13) / ((B14-F14)*10^18), J14*10^18*SUM($L$8:$L13) / ((C14-G14)*10^18))</f>
        <v>25.384987588177296</v>
      </c>
      <c r="N14" s="119">
        <f>($C14-$G14+$J14)*2</f>
        <v>39078.33222412366</v>
      </c>
      <c r="O14" s="120">
        <f>SUM($I$9:$I14)-SUM($F$9:$F14)</f>
        <v>18951</v>
      </c>
      <c r="P14" s="120">
        <f>SUM($J$9:$J14)-SUM($G$9:$G14)</f>
        <v>19539.16611206183</v>
      </c>
      <c r="Q14" s="121">
        <f>$K14/N14</f>
        <v>1.3191915993878949E-3</v>
      </c>
      <c r="R14" s="122"/>
      <c r="S14" s="123">
        <f>IF(ROW()&lt;(ROW(A$10)+T$7),"["&amp;$A14&amp;"]", INDEX($L:$L,ROW(A$10)+T$7)/SUM($L$9:$L14))</f>
        <v>0.50134563091430184</v>
      </c>
      <c r="T14" s="124">
        <f t="shared" si="4"/>
        <v>9501.0010514569349</v>
      </c>
      <c r="U14" s="124">
        <f t="shared" si="5"/>
        <v>9795.8755619909844</v>
      </c>
      <c r="V14" s="125">
        <f t="shared" si="6"/>
        <v>19591.751123981969</v>
      </c>
      <c r="W14" s="126">
        <f t="shared" si="7"/>
        <v>19620.505811913987</v>
      </c>
      <c r="X14" s="127">
        <f t="shared" si="8"/>
        <v>-28.754687932017987</v>
      </c>
      <c r="Y14" s="128">
        <f t="shared" si="9"/>
        <v>-1.4655426423592775E-3</v>
      </c>
      <c r="AA14" s="123">
        <f>IF(ROW()&lt;(ROW(I$10)+AB$7),"["&amp;$A14&amp;"]", INDEX($L:$L,ROW(I$10)+AB$7)/SUM($L$9:$L14))</f>
        <v>0</v>
      </c>
      <c r="AB14" s="124">
        <f t="shared" si="10"/>
        <v>0</v>
      </c>
      <c r="AC14" s="124">
        <f t="shared" si="11"/>
        <v>0</v>
      </c>
      <c r="AD14" s="125">
        <f t="shared" si="12"/>
        <v>0</v>
      </c>
      <c r="AE14" s="126">
        <f t="shared" si="13"/>
        <v>0</v>
      </c>
      <c r="AF14" s="127">
        <f t="shared" si="14"/>
        <v>0</v>
      </c>
      <c r="AG14" s="128" t="str">
        <f t="shared" si="15"/>
        <v/>
      </c>
      <c r="AI14" s="123">
        <f>IF(ROW()&lt;(ROW(Q$10)+AJ$7),"["&amp;$A14&amp;"]", INDEX($L:$L,ROW(Q$10)+AJ$7)/SUM($L$9:$L14))</f>
        <v>2.7855651244020193E-3</v>
      </c>
      <c r="AJ14" s="124">
        <f t="shared" si="16"/>
        <v>52.789244672542665</v>
      </c>
      <c r="AK14" s="124">
        <f t="shared" si="17"/>
        <v>54.427619681657234</v>
      </c>
      <c r="AL14" s="125">
        <f t="shared" si="18"/>
        <v>108.85523936331447</v>
      </c>
      <c r="AM14" s="126">
        <f t="shared" si="19"/>
        <v>109.01566623453527</v>
      </c>
      <c r="AN14" s="127">
        <f t="shared" si="20"/>
        <v>-0.16042687122080679</v>
      </c>
      <c r="AO14" s="128">
        <f t="shared" si="21"/>
        <v>-1.4715946502190421E-3</v>
      </c>
      <c r="AQ14" s="123">
        <f>IF(ROW()&lt;(ROW(Y$10)+AR$7),"["&amp;$A14&amp;"]", INDEX($L:$L,ROW(Y$10)+AR$7)/SUM($L$9:$L14))</f>
        <v>1.3191915993878949E-3</v>
      </c>
      <c r="AR14" s="124">
        <f t="shared" si="22"/>
        <v>24.999999999999996</v>
      </c>
      <c r="AS14" s="124">
        <f t="shared" si="23"/>
        <v>25.775903794076601</v>
      </c>
      <c r="AT14" s="125">
        <f t="shared" si="24"/>
        <v>51.551807588153203</v>
      </c>
      <c r="AU14" s="126">
        <f t="shared" si="25"/>
        <v>51.55180758815321</v>
      </c>
      <c r="AV14" s="127">
        <f t="shared" si="26"/>
        <v>-7.1054273576010019E-15</v>
      </c>
      <c r="AW14" s="128">
        <f t="shared" si="27"/>
        <v>-1.3783080923885692E-16</v>
      </c>
    </row>
    <row r="15" spans="1:51" ht="17">
      <c r="A15" s="109" t="s">
        <v>13</v>
      </c>
      <c r="B15" s="110">
        <f>B14-F14+I14</f>
        <v>18951</v>
      </c>
      <c r="C15" s="111">
        <f>C14-G14+J14</f>
        <v>19539.16611206183</v>
      </c>
      <c r="D15" s="112">
        <f t="shared" si="0"/>
        <v>1.0310361517630642</v>
      </c>
      <c r="F15" s="23">
        <v>5</v>
      </c>
      <c r="G15" s="114">
        <f t="shared" si="1"/>
        <v>-5.1565412519958045</v>
      </c>
      <c r="H15" s="115">
        <f t="shared" si="2"/>
        <v>1.0313082503991609</v>
      </c>
      <c r="I15" s="24">
        <v>14</v>
      </c>
      <c r="J15" s="117">
        <f>I15/((B15-F15)/(C15-G15))</f>
        <v>14.442125891818513</v>
      </c>
      <c r="K15" s="147">
        <f t="shared" si="3"/>
        <v>28.884251783637026</v>
      </c>
      <c r="L15" s="148">
        <f>MIN(I15*10^18*SUM($L$8:$L14) / ((B15-F15)*10^18), J15*10^18*SUM($L$8:$L14) / ((C15-G15)*10^18))</f>
        <v>14.21934465738345</v>
      </c>
      <c r="N15" s="119">
        <f>($C15-$G15+$J15)*2</f>
        <v>39117.52955841129</v>
      </c>
      <c r="O15" s="120">
        <f>SUM($I$9:$I15)-SUM($F$9:$F15)</f>
        <v>18960</v>
      </c>
      <c r="P15" s="120">
        <f>SUM($J$9:$J15)-SUM($G$9:$G15)</f>
        <v>19558.764779205645</v>
      </c>
      <c r="Q15" s="121">
        <f>$K15/N15</f>
        <v>7.383966244725738E-4</v>
      </c>
      <c r="R15" s="122"/>
      <c r="S15" s="123">
        <f>IF(ROW()&lt;(ROW(A$10)+T$7),"["&amp;$A15&amp;"]", INDEX($L:$L,ROW(A$10)+T$7)/SUM($L$9:$L15))</f>
        <v>0.50097543899274066</v>
      </c>
      <c r="T15" s="124">
        <f t="shared" si="4"/>
        <v>9498.4943233023623</v>
      </c>
      <c r="U15" s="124">
        <f t="shared" si="5"/>
        <v>9798.4607714183021</v>
      </c>
      <c r="V15" s="125">
        <f t="shared" si="6"/>
        <v>19596.921542836604</v>
      </c>
      <c r="W15" s="126">
        <f t="shared" si="7"/>
        <v>19625.404233644025</v>
      </c>
      <c r="X15" s="127">
        <f t="shared" si="8"/>
        <v>-28.482690807421022</v>
      </c>
      <c r="Y15" s="128">
        <f t="shared" si="9"/>
        <v>-1.4513174082087371E-3</v>
      </c>
      <c r="AA15" s="123">
        <f>IF(ROW()&lt;(ROW(I$10)+AB$7),"["&amp;$A15&amp;"]", INDEX($L:$L,ROW(I$10)+AB$7)/SUM($L$9:$L15))</f>
        <v>0</v>
      </c>
      <c r="AB15" s="124">
        <f t="shared" si="10"/>
        <v>0</v>
      </c>
      <c r="AC15" s="124">
        <f t="shared" si="11"/>
        <v>0</v>
      </c>
      <c r="AD15" s="125">
        <f t="shared" si="12"/>
        <v>0</v>
      </c>
      <c r="AE15" s="126">
        <f t="shared" si="13"/>
        <v>0</v>
      </c>
      <c r="AF15" s="127">
        <f t="shared" si="14"/>
        <v>0</v>
      </c>
      <c r="AG15" s="128" t="str">
        <f t="shared" si="15"/>
        <v/>
      </c>
      <c r="AI15" s="123">
        <f>IF(ROW()&lt;(ROW(Q$10)+AJ$7),"["&amp;$A15&amp;"]", INDEX($L:$L,ROW(Q$10)+AJ$7)/SUM($L$9:$L15))</f>
        <v>2.7835082725169123E-3</v>
      </c>
      <c r="AJ15" s="124">
        <f t="shared" si="16"/>
        <v>52.77531684692066</v>
      </c>
      <c r="AK15" s="124">
        <f t="shared" si="17"/>
        <v>54.44198356313133</v>
      </c>
      <c r="AL15" s="125">
        <f t="shared" si="18"/>
        <v>108.88396712626266</v>
      </c>
      <c r="AM15" s="126">
        <f t="shared" si="19"/>
        <v>109.04287968859106</v>
      </c>
      <c r="AN15" s="127">
        <f t="shared" si="20"/>
        <v>-0.15891256232839623</v>
      </c>
      <c r="AO15" s="128">
        <f t="shared" si="21"/>
        <v>-1.4573401104430201E-3</v>
      </c>
      <c r="AQ15" s="123">
        <f>IF(ROW()&lt;(ROW(Y$10)+AR$7),"["&amp;$A15&amp;"]", INDEX($L:$L,ROW(Y$10)+AR$7)/SUM($L$9:$L15))</f>
        <v>1.3182175127638743E-3</v>
      </c>
      <c r="AR15" s="124">
        <f t="shared" si="22"/>
        <v>24.993404042003057</v>
      </c>
      <c r="AS15" s="124">
        <f t="shared" si="23"/>
        <v>25.782706259978134</v>
      </c>
      <c r="AT15" s="125">
        <f t="shared" si="24"/>
        <v>51.565412519956269</v>
      </c>
      <c r="AU15" s="126">
        <f t="shared" si="25"/>
        <v>51.565414315181094</v>
      </c>
      <c r="AV15" s="127">
        <f t="shared" si="26"/>
        <v>-1.795224825684727E-6</v>
      </c>
      <c r="AW15" s="128">
        <f t="shared" si="27"/>
        <v>-3.4814513749697623E-8</v>
      </c>
    </row>
    <row r="16" spans="1:51" ht="17">
      <c r="A16" s="109" t="s">
        <v>14</v>
      </c>
      <c r="B16" s="110">
        <f>B15-F15+I15</f>
        <v>18960</v>
      </c>
      <c r="C16" s="111">
        <f>C15-G15+J15</f>
        <v>19558.764779205645</v>
      </c>
      <c r="D16" s="112">
        <f t="shared" si="0"/>
        <v>1.0315804208441797</v>
      </c>
      <c r="F16" s="113">
        <v>-500</v>
      </c>
      <c r="G16" s="114">
        <f t="shared" si="1"/>
        <v>502.53763564248948</v>
      </c>
      <c r="H16" s="115">
        <f t="shared" si="2"/>
        <v>1.0050752712849789</v>
      </c>
      <c r="I16" s="116">
        <v>-1000</v>
      </c>
      <c r="J16" s="117">
        <f>I16/((B16-F16)/(C16-G16))</f>
        <v>-979.25113790149828</v>
      </c>
      <c r="K16" s="147">
        <f t="shared" si="3"/>
        <v>-1958.5022758029966</v>
      </c>
      <c r="L16" s="148">
        <f>MIN(I16*10^18*SUM($L$8:$L15) / ((B16-F16)*10^18), J16*10^18*SUM($L$8:$L15) / ((C16-G16)*10^18))</f>
        <v>-989.57118890027255</v>
      </c>
      <c r="N16" s="119">
        <f>($C16-$G16+$J16)*2</f>
        <v>36153.952011323316</v>
      </c>
      <c r="O16" s="120">
        <f>SUM($I$9:$I16)-SUM($F$9:$F16)</f>
        <v>18460</v>
      </c>
      <c r="P16" s="120">
        <f>SUM($J$9:$J16)-SUM($G$9:$G16)</f>
        <v>18076.976005661658</v>
      </c>
      <c r="Q16" s="121">
        <f>$K16/N16</f>
        <v>-5.4171180931744313E-2</v>
      </c>
      <c r="R16" s="122"/>
      <c r="S16" s="123">
        <f>IF(ROW()&lt;(ROW(A$10)+T$7),"["&amp;$A16&amp;"]", INDEX($L:$L,ROW(A$10)+T$7)/SUM($L$9:$L16))</f>
        <v>0.52811387014077649</v>
      </c>
      <c r="T16" s="124">
        <f t="shared" si="4"/>
        <v>9748.9820427987343</v>
      </c>
      <c r="U16" s="124">
        <f t="shared" si="5"/>
        <v>9546.7017587919327</v>
      </c>
      <c r="V16" s="125">
        <f t="shared" si="6"/>
        <v>19093.403517583865</v>
      </c>
      <c r="W16" s="126">
        <f t="shared" si="7"/>
        <v>19154.440687159891</v>
      </c>
      <c r="X16" s="127">
        <f t="shared" si="8"/>
        <v>-61.037169576025917</v>
      </c>
      <c r="Y16" s="128">
        <f t="shared" si="9"/>
        <v>-3.1865806249796666E-3</v>
      </c>
      <c r="AA16" s="123">
        <f>IF(ROW()&lt;(ROW(I$10)+AB$7),"["&amp;$A16&amp;"]", INDEX($L:$L,ROW(I$10)+AB$7)/SUM($L$9:$L16))</f>
        <v>0</v>
      </c>
      <c r="AB16" s="124">
        <f t="shared" si="10"/>
        <v>0</v>
      </c>
      <c r="AC16" s="124">
        <f t="shared" si="11"/>
        <v>0</v>
      </c>
      <c r="AD16" s="125">
        <f t="shared" si="12"/>
        <v>0</v>
      </c>
      <c r="AE16" s="126">
        <f t="shared" si="13"/>
        <v>0</v>
      </c>
      <c r="AF16" s="127">
        <f t="shared" si="14"/>
        <v>0</v>
      </c>
      <c r="AG16" s="128" t="str">
        <f t="shared" si="15"/>
        <v/>
      </c>
      <c r="AI16" s="123">
        <f>IF(ROW()&lt;(ROW(Q$10)+AJ$7),"["&amp;$A16&amp;"]", INDEX($L:$L,ROW(Q$10)+AJ$7)/SUM($L$9:$L16))</f>
        <v>2.9342942027724334E-3</v>
      </c>
      <c r="AJ16" s="124">
        <f t="shared" si="16"/>
        <v>54.167070983179123</v>
      </c>
      <c r="AK16" s="124">
        <f t="shared" si="17"/>
        <v>53.043165897069386</v>
      </c>
      <c r="AL16" s="125">
        <f t="shared" si="18"/>
        <v>106.08633179413877</v>
      </c>
      <c r="AM16" s="126">
        <f t="shared" si="19"/>
        <v>106.42641554145698</v>
      </c>
      <c r="AN16" s="127">
        <f t="shared" si="20"/>
        <v>-0.34008374731820368</v>
      </c>
      <c r="AO16" s="128">
        <f t="shared" si="21"/>
        <v>-3.1954824898310012E-3</v>
      </c>
      <c r="AQ16" s="123">
        <f>IF(ROW()&lt;(ROW(Y$10)+AR$7),"["&amp;$A16&amp;"]", INDEX($L:$L,ROW(Y$10)+AR$7)/SUM($L$9:$L16))</f>
        <v>1.3896269121552003E-3</v>
      </c>
      <c r="AR16" s="124">
        <f t="shared" si="22"/>
        <v>25.652512798384997</v>
      </c>
      <c r="AS16" s="124">
        <f t="shared" si="23"/>
        <v>25.120252347851256</v>
      </c>
      <c r="AT16" s="125">
        <f t="shared" si="24"/>
        <v>50.240504695702512</v>
      </c>
      <c r="AU16" s="126">
        <f t="shared" si="25"/>
        <v>50.257182241614061</v>
      </c>
      <c r="AV16" s="127">
        <f t="shared" si="26"/>
        <v>-1.6677545911548464E-2</v>
      </c>
      <c r="AW16" s="128">
        <f t="shared" si="27"/>
        <v>-3.3184403039888467E-4</v>
      </c>
    </row>
    <row r="17" spans="1:49" ht="17">
      <c r="A17" s="109" t="s">
        <v>15</v>
      </c>
      <c r="B17" s="110">
        <f>B16-F16+I16</f>
        <v>18460</v>
      </c>
      <c r="C17" s="111">
        <f>C16-G16+J16</f>
        <v>18076.976005661658</v>
      </c>
      <c r="D17" s="112">
        <f t="shared" si="0"/>
        <v>0.9792511379014982</v>
      </c>
      <c r="F17" s="113"/>
      <c r="G17" s="114">
        <f t="shared" si="1"/>
        <v>0</v>
      </c>
      <c r="H17" s="115">
        <f t="shared" si="2"/>
        <v>0.9792511379014982</v>
      </c>
      <c r="I17" s="116"/>
      <c r="J17" s="117">
        <f>I17/((B17-F17)/(C17-G17))</f>
        <v>0</v>
      </c>
      <c r="K17" s="147">
        <f t="shared" si="3"/>
        <v>0</v>
      </c>
      <c r="L17" s="148">
        <f>MIN(I17*10^18*SUM($L$8:$L16) / ((B17-F17)*10^18), J17*10^18*SUM($L$8:$L16) / ((C17-G17)*10^18))</f>
        <v>0</v>
      </c>
      <c r="N17" s="119">
        <f>($C17-$G17+$J17)*2</f>
        <v>36153.952011323316</v>
      </c>
      <c r="O17" s="120">
        <f>SUM($I$9:$I17)-SUM($F$9:$F17)</f>
        <v>18460</v>
      </c>
      <c r="P17" s="120">
        <f>SUM($J$9:$J17)-SUM($G$9:$G17)</f>
        <v>18076.976005661658</v>
      </c>
      <c r="Q17" s="121">
        <f>$K17/N17</f>
        <v>0</v>
      </c>
      <c r="R17" s="122"/>
      <c r="S17" s="123">
        <f>IF(ROW()&lt;(ROW(A$10)+T$7),"["&amp;$A17&amp;"]", INDEX($L:$L,ROW(A$10)+T$7)/SUM($L$9:$L17))</f>
        <v>0.52811387014077649</v>
      </c>
      <c r="T17" s="124">
        <f t="shared" si="4"/>
        <v>9748.9820427987343</v>
      </c>
      <c r="U17" s="124">
        <f t="shared" si="5"/>
        <v>9546.7017587919327</v>
      </c>
      <c r="V17" s="125">
        <f t="shared" si="6"/>
        <v>19093.403517583865</v>
      </c>
      <c r="W17" s="126">
        <f t="shared" si="7"/>
        <v>19154.440687159891</v>
      </c>
      <c r="X17" s="127">
        <f t="shared" si="8"/>
        <v>-61.037169576025917</v>
      </c>
      <c r="Y17" s="128">
        <f t="shared" si="9"/>
        <v>-3.1865806249796666E-3</v>
      </c>
      <c r="AA17" s="123">
        <f>IF(ROW()&lt;(ROW(I$10)+AB$7),"["&amp;$A17&amp;"]", INDEX($L:$L,ROW(I$10)+AB$7)/SUM($L$9:$L17))</f>
        <v>0</v>
      </c>
      <c r="AB17" s="124">
        <f t="shared" si="10"/>
        <v>0</v>
      </c>
      <c r="AC17" s="124">
        <f t="shared" si="11"/>
        <v>0</v>
      </c>
      <c r="AD17" s="125">
        <f t="shared" si="12"/>
        <v>0</v>
      </c>
      <c r="AE17" s="126">
        <f t="shared" si="13"/>
        <v>0</v>
      </c>
      <c r="AF17" s="127">
        <f t="shared" si="14"/>
        <v>0</v>
      </c>
      <c r="AG17" s="128" t="str">
        <f t="shared" si="15"/>
        <v/>
      </c>
      <c r="AI17" s="123">
        <f>IF(ROW()&lt;(ROW(Q$10)+AJ$7),"["&amp;$A17&amp;"]", INDEX($L:$L,ROW(Q$10)+AJ$7)/SUM($L$9:$L17))</f>
        <v>2.9342942027724334E-3</v>
      </c>
      <c r="AJ17" s="124">
        <f t="shared" si="16"/>
        <v>54.167070983179123</v>
      </c>
      <c r="AK17" s="124">
        <f t="shared" si="17"/>
        <v>53.043165897069386</v>
      </c>
      <c r="AL17" s="125">
        <f t="shared" si="18"/>
        <v>106.08633179413877</v>
      </c>
      <c r="AM17" s="126">
        <f t="shared" si="19"/>
        <v>106.42641554145698</v>
      </c>
      <c r="AN17" s="127">
        <f t="shared" si="20"/>
        <v>-0.34008374731820368</v>
      </c>
      <c r="AO17" s="128">
        <f t="shared" si="21"/>
        <v>-3.1954824898310012E-3</v>
      </c>
      <c r="AQ17" s="123">
        <f>IF(ROW()&lt;(ROW(Y$10)+AR$7),"["&amp;$A17&amp;"]", INDEX($L:$L,ROW(Y$10)+AR$7)/SUM($L$9:$L17))</f>
        <v>1.3896269121552003E-3</v>
      </c>
      <c r="AR17" s="124">
        <f t="shared" si="22"/>
        <v>25.652512798384997</v>
      </c>
      <c r="AS17" s="124">
        <f t="shared" si="23"/>
        <v>25.120252347851256</v>
      </c>
      <c r="AT17" s="125">
        <f t="shared" si="24"/>
        <v>50.240504695702512</v>
      </c>
      <c r="AU17" s="126">
        <f t="shared" si="25"/>
        <v>50.257182241614061</v>
      </c>
      <c r="AV17" s="127">
        <f t="shared" si="26"/>
        <v>-1.6677545911548464E-2</v>
      </c>
      <c r="AW17" s="128">
        <f t="shared" si="27"/>
        <v>-3.3184403039888467E-4</v>
      </c>
    </row>
    <row r="18" spans="1:49" ht="17">
      <c r="A18" s="109" t="s">
        <v>16</v>
      </c>
      <c r="B18" s="110">
        <f>B17-F17+I17</f>
        <v>18460</v>
      </c>
      <c r="C18" s="111">
        <f>C17-G17+J17</f>
        <v>18076.976005661658</v>
      </c>
      <c r="D18" s="112">
        <f t="shared" si="0"/>
        <v>0.9792511379014982</v>
      </c>
      <c r="F18" s="113"/>
      <c r="G18" s="114">
        <f t="shared" si="1"/>
        <v>0</v>
      </c>
      <c r="H18" s="115">
        <f t="shared" si="2"/>
        <v>0.9792511379014982</v>
      </c>
      <c r="I18" s="116"/>
      <c r="J18" s="117">
        <f>I18/((B18-F18)/(C18-G18))</f>
        <v>0</v>
      </c>
      <c r="K18" s="147">
        <f t="shared" si="3"/>
        <v>0</v>
      </c>
      <c r="L18" s="148">
        <f>MIN(I18*10^18*SUM($L$8:$L17) / ((B18-F18)*10^18), J18*10^18*SUM($L$8:$L17) / ((C18-G18)*10^18))</f>
        <v>0</v>
      </c>
      <c r="N18" s="119">
        <f>($C18-$G18+$J18)*2</f>
        <v>36153.952011323316</v>
      </c>
      <c r="O18" s="120">
        <f>SUM($I$9:$I18)-SUM($F$9:$F18)</f>
        <v>18460</v>
      </c>
      <c r="P18" s="120">
        <f>SUM($J$9:$J18)-SUM($G$9:$G18)</f>
        <v>18076.976005661658</v>
      </c>
      <c r="Q18" s="121">
        <f>$K18/N18</f>
        <v>0</v>
      </c>
      <c r="R18" s="122"/>
      <c r="S18" s="123">
        <f>IF(ROW()&lt;(ROW(A$10)+T$7),"["&amp;$A18&amp;"]", INDEX($L:$L,ROW(A$10)+T$7)/SUM($L$9:$L18))</f>
        <v>0.52811387014077649</v>
      </c>
      <c r="T18" s="124">
        <f t="shared" si="4"/>
        <v>9748.9820427987343</v>
      </c>
      <c r="U18" s="124">
        <f t="shared" si="5"/>
        <v>9546.7017587919327</v>
      </c>
      <c r="V18" s="125">
        <f t="shared" si="6"/>
        <v>19093.403517583865</v>
      </c>
      <c r="W18" s="126">
        <f t="shared" si="7"/>
        <v>19154.440687159891</v>
      </c>
      <c r="X18" s="127">
        <f t="shared" si="8"/>
        <v>-61.037169576025917</v>
      </c>
      <c r="Y18" s="128">
        <f t="shared" si="9"/>
        <v>-3.1865806249796666E-3</v>
      </c>
      <c r="AA18" s="123">
        <f>IF(ROW()&lt;(ROW(I$10)+AB$7),"["&amp;$A18&amp;"]", INDEX($L:$L,ROW(I$10)+AB$7)/SUM($L$9:$L18))</f>
        <v>0</v>
      </c>
      <c r="AB18" s="124">
        <f t="shared" si="10"/>
        <v>0</v>
      </c>
      <c r="AC18" s="124">
        <f t="shared" si="11"/>
        <v>0</v>
      </c>
      <c r="AD18" s="125">
        <f t="shared" si="12"/>
        <v>0</v>
      </c>
      <c r="AE18" s="126">
        <f t="shared" si="13"/>
        <v>0</v>
      </c>
      <c r="AF18" s="127">
        <f t="shared" si="14"/>
        <v>0</v>
      </c>
      <c r="AG18" s="128" t="str">
        <f t="shared" si="15"/>
        <v/>
      </c>
      <c r="AI18" s="123">
        <f>IF(ROW()&lt;(ROW(Q$10)+AJ$7),"["&amp;$A18&amp;"]", INDEX($L:$L,ROW(Q$10)+AJ$7)/SUM($L$9:$L18))</f>
        <v>2.9342942027724334E-3</v>
      </c>
      <c r="AJ18" s="124">
        <f t="shared" si="16"/>
        <v>54.167070983179123</v>
      </c>
      <c r="AK18" s="124">
        <f t="shared" si="17"/>
        <v>53.043165897069386</v>
      </c>
      <c r="AL18" s="125">
        <f t="shared" si="18"/>
        <v>106.08633179413877</v>
      </c>
      <c r="AM18" s="126">
        <f t="shared" si="19"/>
        <v>106.42641554145698</v>
      </c>
      <c r="AN18" s="127">
        <f t="shared" si="20"/>
        <v>-0.34008374731820368</v>
      </c>
      <c r="AO18" s="128">
        <f t="shared" si="21"/>
        <v>-3.1954824898310012E-3</v>
      </c>
      <c r="AQ18" s="123">
        <f>IF(ROW()&lt;(ROW(Y$10)+AR$7),"["&amp;$A18&amp;"]", INDEX($L:$L,ROW(Y$10)+AR$7)/SUM($L$9:$L18))</f>
        <v>1.3896269121552003E-3</v>
      </c>
      <c r="AR18" s="124">
        <f t="shared" si="22"/>
        <v>25.652512798384997</v>
      </c>
      <c r="AS18" s="124">
        <f t="shared" si="23"/>
        <v>25.120252347851256</v>
      </c>
      <c r="AT18" s="125">
        <f t="shared" si="24"/>
        <v>50.240504695702512</v>
      </c>
      <c r="AU18" s="126">
        <f t="shared" si="25"/>
        <v>50.257182241614061</v>
      </c>
      <c r="AV18" s="127">
        <f t="shared" si="26"/>
        <v>-1.6677545911548464E-2</v>
      </c>
      <c r="AW18" s="128">
        <f t="shared" si="27"/>
        <v>-3.3184403039888467E-4</v>
      </c>
    </row>
    <row r="19" spans="1:49" ht="17">
      <c r="A19" s="109" t="s">
        <v>43</v>
      </c>
      <c r="B19" s="110">
        <f>B18-F18+I18</f>
        <v>18460</v>
      </c>
      <c r="C19" s="111">
        <f>C18-G18+J18</f>
        <v>18076.976005661658</v>
      </c>
      <c r="D19" s="112">
        <f t="shared" si="0"/>
        <v>0.9792511379014982</v>
      </c>
      <c r="F19" s="113"/>
      <c r="G19" s="114">
        <f t="shared" si="1"/>
        <v>0</v>
      </c>
      <c r="H19" s="115">
        <f t="shared" si="2"/>
        <v>0.9792511379014982</v>
      </c>
      <c r="I19" s="116"/>
      <c r="J19" s="117">
        <f>I19/((B19-F19)/(C19-G19))</f>
        <v>0</v>
      </c>
      <c r="K19" s="147">
        <f t="shared" si="3"/>
        <v>0</v>
      </c>
      <c r="L19" s="148">
        <f>MIN(I19*10^18*SUM($L$8:$L18) / ((B19-F19)*10^18), J19*10^18*SUM($L$8:$L18) / ((C19-G19)*10^18))</f>
        <v>0</v>
      </c>
      <c r="N19" s="119">
        <f>($C19-$G19+$J19)*2</f>
        <v>36153.952011323316</v>
      </c>
      <c r="O19" s="120">
        <f>SUM($I$9:$I19)-SUM($F$9:$F19)</f>
        <v>18460</v>
      </c>
      <c r="P19" s="120">
        <f>SUM($J$9:$J19)-SUM($G$9:$G19)</f>
        <v>18076.976005661658</v>
      </c>
      <c r="Q19" s="121">
        <f>$K19/N19</f>
        <v>0</v>
      </c>
      <c r="R19" s="122"/>
      <c r="S19" s="123">
        <f>IF(ROW()&lt;(ROW(A$10)+T$7),"["&amp;$A19&amp;"]", INDEX($L:$L,ROW(A$10)+T$7)/SUM($L$9:$L19))</f>
        <v>0.52811387014077649</v>
      </c>
      <c r="T19" s="124">
        <f t="shared" si="4"/>
        <v>9748.9820427987343</v>
      </c>
      <c r="U19" s="124">
        <f t="shared" si="5"/>
        <v>9546.7017587919327</v>
      </c>
      <c r="V19" s="125">
        <f t="shared" si="6"/>
        <v>19093.403517583865</v>
      </c>
      <c r="W19" s="126">
        <f t="shared" si="7"/>
        <v>19154.440687159891</v>
      </c>
      <c r="X19" s="127">
        <f t="shared" si="8"/>
        <v>-61.037169576025917</v>
      </c>
      <c r="Y19" s="128">
        <f t="shared" si="9"/>
        <v>-3.1865806249796666E-3</v>
      </c>
      <c r="AA19" s="123">
        <f>IF(ROW()&lt;(ROW(I$10)+AB$7),"["&amp;$A19&amp;"]", INDEX($L:$L,ROW(I$10)+AB$7)/SUM($L$9:$L19))</f>
        <v>0</v>
      </c>
      <c r="AB19" s="124">
        <f t="shared" si="10"/>
        <v>0</v>
      </c>
      <c r="AC19" s="124">
        <f t="shared" si="11"/>
        <v>0</v>
      </c>
      <c r="AD19" s="125">
        <f t="shared" si="12"/>
        <v>0</v>
      </c>
      <c r="AE19" s="126">
        <f t="shared" si="13"/>
        <v>0</v>
      </c>
      <c r="AF19" s="127">
        <f t="shared" si="14"/>
        <v>0</v>
      </c>
      <c r="AG19" s="128" t="str">
        <f t="shared" si="15"/>
        <v/>
      </c>
      <c r="AI19" s="123">
        <f>IF(ROW()&lt;(ROW(Q$10)+AJ$7),"["&amp;$A19&amp;"]", INDEX($L:$L,ROW(Q$10)+AJ$7)/SUM($L$9:$L19))</f>
        <v>2.9342942027724334E-3</v>
      </c>
      <c r="AJ19" s="124">
        <f t="shared" si="16"/>
        <v>54.167070983179123</v>
      </c>
      <c r="AK19" s="124">
        <f t="shared" si="17"/>
        <v>53.043165897069386</v>
      </c>
      <c r="AL19" s="125">
        <f t="shared" si="18"/>
        <v>106.08633179413877</v>
      </c>
      <c r="AM19" s="126">
        <f t="shared" si="19"/>
        <v>106.42641554145698</v>
      </c>
      <c r="AN19" s="127">
        <f t="shared" si="20"/>
        <v>-0.34008374731820368</v>
      </c>
      <c r="AO19" s="128">
        <f t="shared" si="21"/>
        <v>-3.1954824898310012E-3</v>
      </c>
      <c r="AQ19" s="123">
        <f>IF(ROW()&lt;(ROW(Y$10)+AR$7),"["&amp;$A19&amp;"]", INDEX($L:$L,ROW(Y$10)+AR$7)/SUM($L$9:$L19))</f>
        <v>1.3896269121552003E-3</v>
      </c>
      <c r="AR19" s="124">
        <f t="shared" si="22"/>
        <v>25.652512798384997</v>
      </c>
      <c r="AS19" s="124">
        <f t="shared" si="23"/>
        <v>25.120252347851256</v>
      </c>
      <c r="AT19" s="125">
        <f t="shared" si="24"/>
        <v>50.240504695702512</v>
      </c>
      <c r="AU19" s="126">
        <f t="shared" si="25"/>
        <v>50.257182241614061</v>
      </c>
      <c r="AV19" s="127">
        <f t="shared" si="26"/>
        <v>-1.6677545911548464E-2</v>
      </c>
      <c r="AW19" s="128">
        <f t="shared" si="27"/>
        <v>-3.3184403039888467E-4</v>
      </c>
    </row>
    <row r="20" spans="1:49" ht="17">
      <c r="A20" s="109" t="s">
        <v>17</v>
      </c>
      <c r="B20" s="110">
        <f>B19-F19+I19</f>
        <v>18460</v>
      </c>
      <c r="C20" s="111">
        <f>C19-G19+J19</f>
        <v>18076.976005661658</v>
      </c>
      <c r="D20" s="112">
        <f t="shared" si="0"/>
        <v>0.9792511379014982</v>
      </c>
      <c r="F20" s="113"/>
      <c r="G20" s="114">
        <f t="shared" si="1"/>
        <v>0</v>
      </c>
      <c r="H20" s="115">
        <f t="shared" si="2"/>
        <v>0.9792511379014982</v>
      </c>
      <c r="I20" s="116"/>
      <c r="J20" s="117">
        <f>I20/((B20-F20)/(C20-G20))</f>
        <v>0</v>
      </c>
      <c r="K20" s="147">
        <f t="shared" si="3"/>
        <v>0</v>
      </c>
      <c r="L20" s="148">
        <f>MIN(I20*10^18*SUM($L$8:$L19) / ((B20-F20)*10^18), J20*10^18*SUM($L$8:$L19) / ((C20-G20)*10^18))</f>
        <v>0</v>
      </c>
      <c r="N20" s="119">
        <f>($C20-$G20+$J20)*2</f>
        <v>36153.952011323316</v>
      </c>
      <c r="O20" s="120">
        <f>SUM($I$9:$I20)-SUM($F$9:$F20)</f>
        <v>18460</v>
      </c>
      <c r="P20" s="120">
        <f>SUM($J$9:$J20)-SUM($G$9:$G20)</f>
        <v>18076.976005661658</v>
      </c>
      <c r="Q20" s="121">
        <f>$K20/N20</f>
        <v>0</v>
      </c>
      <c r="R20" s="122"/>
      <c r="S20" s="123">
        <f>IF(ROW()&lt;(ROW(A$10)+T$7),"["&amp;$A20&amp;"]", INDEX($L:$L,ROW(A$10)+T$7)/SUM($L$9:$L20))</f>
        <v>0.52811387014077649</v>
      </c>
      <c r="T20" s="124">
        <f t="shared" si="4"/>
        <v>9748.9820427987343</v>
      </c>
      <c r="U20" s="124">
        <f t="shared" si="5"/>
        <v>9546.7017587919327</v>
      </c>
      <c r="V20" s="125">
        <f t="shared" si="6"/>
        <v>19093.403517583865</v>
      </c>
      <c r="W20" s="126">
        <f t="shared" si="7"/>
        <v>19154.440687159891</v>
      </c>
      <c r="X20" s="127">
        <f t="shared" si="8"/>
        <v>-61.037169576025917</v>
      </c>
      <c r="Y20" s="128">
        <f t="shared" si="9"/>
        <v>-3.1865806249796666E-3</v>
      </c>
      <c r="AA20" s="123">
        <f>IF(ROW()&lt;(ROW(I$10)+AB$7),"["&amp;$A20&amp;"]", INDEX($L:$L,ROW(I$10)+AB$7)/SUM($L$9:$L20))</f>
        <v>0</v>
      </c>
      <c r="AB20" s="124">
        <f t="shared" si="10"/>
        <v>0</v>
      </c>
      <c r="AC20" s="124">
        <f t="shared" si="11"/>
        <v>0</v>
      </c>
      <c r="AD20" s="125">
        <f t="shared" si="12"/>
        <v>0</v>
      </c>
      <c r="AE20" s="126">
        <f t="shared" si="13"/>
        <v>0</v>
      </c>
      <c r="AF20" s="127">
        <f t="shared" si="14"/>
        <v>0</v>
      </c>
      <c r="AG20" s="128" t="str">
        <f t="shared" si="15"/>
        <v/>
      </c>
      <c r="AI20" s="123">
        <f>IF(ROW()&lt;(ROW(Q$10)+AJ$7),"["&amp;$A20&amp;"]", INDEX($L:$L,ROW(Q$10)+AJ$7)/SUM($L$9:$L20))</f>
        <v>2.9342942027724334E-3</v>
      </c>
      <c r="AJ20" s="124">
        <f t="shared" si="16"/>
        <v>54.167070983179123</v>
      </c>
      <c r="AK20" s="124">
        <f t="shared" si="17"/>
        <v>53.043165897069386</v>
      </c>
      <c r="AL20" s="125">
        <f t="shared" si="18"/>
        <v>106.08633179413877</v>
      </c>
      <c r="AM20" s="126">
        <f t="shared" si="19"/>
        <v>106.42641554145698</v>
      </c>
      <c r="AN20" s="127">
        <f t="shared" si="20"/>
        <v>-0.34008374731820368</v>
      </c>
      <c r="AO20" s="128">
        <f t="shared" si="21"/>
        <v>-3.1954824898310012E-3</v>
      </c>
      <c r="AQ20" s="123">
        <f>IF(ROW()&lt;(ROW(Y$10)+AR$7),"["&amp;$A20&amp;"]", INDEX($L:$L,ROW(Y$10)+AR$7)/SUM($L$9:$L20))</f>
        <v>1.3896269121552003E-3</v>
      </c>
      <c r="AR20" s="124">
        <f t="shared" si="22"/>
        <v>25.652512798384997</v>
      </c>
      <c r="AS20" s="124">
        <f t="shared" si="23"/>
        <v>25.120252347851256</v>
      </c>
      <c r="AT20" s="125">
        <f t="shared" si="24"/>
        <v>50.240504695702512</v>
      </c>
      <c r="AU20" s="126">
        <f t="shared" si="25"/>
        <v>50.257182241614061</v>
      </c>
      <c r="AV20" s="127">
        <f t="shared" si="26"/>
        <v>-1.6677545911548464E-2</v>
      </c>
      <c r="AW20" s="128">
        <f t="shared" si="27"/>
        <v>-3.3184403039888467E-4</v>
      </c>
    </row>
    <row r="21" spans="1:49" ht="17">
      <c r="A21" s="109" t="s">
        <v>27</v>
      </c>
      <c r="B21" s="110">
        <f>B20-F20+I20</f>
        <v>18460</v>
      </c>
      <c r="C21" s="111">
        <f>C20-G20+J20</f>
        <v>18076.976005661658</v>
      </c>
      <c r="D21" s="112">
        <f t="shared" si="0"/>
        <v>0.9792511379014982</v>
      </c>
      <c r="F21" s="113"/>
      <c r="G21" s="114">
        <f t="shared" si="1"/>
        <v>0</v>
      </c>
      <c r="H21" s="115">
        <f t="shared" si="2"/>
        <v>0.9792511379014982</v>
      </c>
      <c r="I21" s="116"/>
      <c r="J21" s="117">
        <f>I21/((B21-F21)/(C21-G21))</f>
        <v>0</v>
      </c>
      <c r="K21" s="147">
        <f t="shared" si="3"/>
        <v>0</v>
      </c>
      <c r="L21" s="148">
        <f>MIN(I21*10^18*SUM($L$8:$L20) / ((B21-F21)*10^18), J21*10^18*SUM($L$8:$L20) / ((C21-G21)*10^18))</f>
        <v>0</v>
      </c>
      <c r="N21" s="119">
        <f>($C21-$G21+$J21)*2</f>
        <v>36153.952011323316</v>
      </c>
      <c r="O21" s="120">
        <f>SUM($I$9:$I21)-SUM($F$9:$F21)</f>
        <v>18460</v>
      </c>
      <c r="P21" s="120">
        <f>SUM($J$9:$J21)-SUM($G$9:$G21)</f>
        <v>18076.976005661658</v>
      </c>
      <c r="Q21" s="121">
        <f>$K21/N21</f>
        <v>0</v>
      </c>
      <c r="R21" s="122"/>
      <c r="S21" s="123">
        <f>IF(ROW()&lt;(ROW(A$10)+T$7),"["&amp;$A21&amp;"]", INDEX($L:$L,ROW(A$10)+T$7)/SUM($L$9:$L21))</f>
        <v>0.52811387014077649</v>
      </c>
      <c r="T21" s="124">
        <f t="shared" si="4"/>
        <v>9748.9820427987343</v>
      </c>
      <c r="U21" s="124">
        <f t="shared" si="5"/>
        <v>9546.7017587919327</v>
      </c>
      <c r="V21" s="125">
        <f t="shared" si="6"/>
        <v>19093.403517583865</v>
      </c>
      <c r="W21" s="126">
        <f t="shared" si="7"/>
        <v>19154.440687159891</v>
      </c>
      <c r="X21" s="127">
        <f t="shared" si="8"/>
        <v>-61.037169576025917</v>
      </c>
      <c r="Y21" s="128">
        <f t="shared" si="9"/>
        <v>-3.1865806249796666E-3</v>
      </c>
      <c r="AA21" s="123">
        <f>IF(ROW()&lt;(ROW(I$10)+AB$7),"["&amp;$A21&amp;"]", INDEX($L:$L,ROW(I$10)+AB$7)/SUM($L$9:$L21))</f>
        <v>0</v>
      </c>
      <c r="AB21" s="124">
        <f t="shared" si="10"/>
        <v>0</v>
      </c>
      <c r="AC21" s="124">
        <f t="shared" si="11"/>
        <v>0</v>
      </c>
      <c r="AD21" s="125">
        <f t="shared" si="12"/>
        <v>0</v>
      </c>
      <c r="AE21" s="126">
        <f t="shared" si="13"/>
        <v>0</v>
      </c>
      <c r="AF21" s="127">
        <f t="shared" si="14"/>
        <v>0</v>
      </c>
      <c r="AG21" s="128" t="str">
        <f t="shared" si="15"/>
        <v/>
      </c>
      <c r="AI21" s="123">
        <f>IF(ROW()&lt;(ROW(Q$10)+AJ$7),"["&amp;$A21&amp;"]", INDEX($L:$L,ROW(Q$10)+AJ$7)/SUM($L$9:$L21))</f>
        <v>2.9342942027724334E-3</v>
      </c>
      <c r="AJ21" s="124">
        <f t="shared" si="16"/>
        <v>54.167070983179123</v>
      </c>
      <c r="AK21" s="124">
        <f t="shared" si="17"/>
        <v>53.043165897069386</v>
      </c>
      <c r="AL21" s="125">
        <f t="shared" si="18"/>
        <v>106.08633179413877</v>
      </c>
      <c r="AM21" s="126">
        <f t="shared" si="19"/>
        <v>106.42641554145698</v>
      </c>
      <c r="AN21" s="127">
        <f t="shared" si="20"/>
        <v>-0.34008374731820368</v>
      </c>
      <c r="AO21" s="128">
        <f t="shared" si="21"/>
        <v>-3.1954824898310012E-3</v>
      </c>
      <c r="AQ21" s="123">
        <f>IF(ROW()&lt;(ROW(Y$10)+AR$7),"["&amp;$A21&amp;"]", INDEX($L:$L,ROW(Y$10)+AR$7)/SUM($L$9:$L21))</f>
        <v>1.3896269121552003E-3</v>
      </c>
      <c r="AR21" s="124">
        <f t="shared" si="22"/>
        <v>25.652512798384997</v>
      </c>
      <c r="AS21" s="124">
        <f t="shared" si="23"/>
        <v>25.120252347851256</v>
      </c>
      <c r="AT21" s="125">
        <f t="shared" si="24"/>
        <v>50.240504695702512</v>
      </c>
      <c r="AU21" s="126">
        <f t="shared" si="25"/>
        <v>50.257182241614061</v>
      </c>
      <c r="AV21" s="127">
        <f t="shared" si="26"/>
        <v>-1.6677545911548464E-2</v>
      </c>
      <c r="AW21" s="128">
        <f t="shared" si="27"/>
        <v>-3.3184403039888467E-4</v>
      </c>
    </row>
    <row r="22" spans="1:49" ht="17">
      <c r="A22" s="109" t="s">
        <v>51</v>
      </c>
      <c r="B22" s="110">
        <f>B21-F21+I21</f>
        <v>18460</v>
      </c>
      <c r="C22" s="111">
        <f>C21-G21+J21</f>
        <v>18076.976005661658</v>
      </c>
      <c r="D22" s="112">
        <f t="shared" si="0"/>
        <v>0.9792511379014982</v>
      </c>
      <c r="F22" s="113"/>
      <c r="G22" s="114">
        <f t="shared" si="1"/>
        <v>0</v>
      </c>
      <c r="H22" s="115">
        <f t="shared" si="2"/>
        <v>0.9792511379014982</v>
      </c>
      <c r="I22" s="116"/>
      <c r="J22" s="117">
        <f>I22/((B22-F22)/(C22-G22))</f>
        <v>0</v>
      </c>
      <c r="K22" s="147">
        <f t="shared" si="3"/>
        <v>0</v>
      </c>
      <c r="L22" s="148">
        <f>MIN(I22*10^18*SUM($L$8:$L21) / ((B22-F22)*10^18), J22*10^18*SUM($L$8:$L21) / ((C22-G22)*10^18))</f>
        <v>0</v>
      </c>
      <c r="N22" s="119">
        <f>($C22-$G22+$J22)*2</f>
        <v>36153.952011323316</v>
      </c>
      <c r="O22" s="120">
        <f>SUM($I$9:$I22)-SUM($F$9:$F22)</f>
        <v>18460</v>
      </c>
      <c r="P22" s="120">
        <f>SUM($J$9:$J22)-SUM($G$9:$G22)</f>
        <v>18076.976005661658</v>
      </c>
      <c r="Q22" s="121">
        <f>$K22/N22</f>
        <v>0</v>
      </c>
      <c r="R22" s="122"/>
      <c r="S22" s="123">
        <f>IF(ROW()&lt;(ROW(A$10)+T$7),"["&amp;$A22&amp;"]", INDEX($L:$L,ROW(A$10)+T$7)/SUM($L$9:$L22))</f>
        <v>0.52811387014077649</v>
      </c>
      <c r="T22" s="124">
        <f t="shared" si="4"/>
        <v>9748.9820427987343</v>
      </c>
      <c r="U22" s="124">
        <f t="shared" si="5"/>
        <v>9546.7017587919327</v>
      </c>
      <c r="V22" s="125">
        <f t="shared" si="6"/>
        <v>19093.403517583865</v>
      </c>
      <c r="W22" s="126">
        <f t="shared" si="7"/>
        <v>19154.440687159891</v>
      </c>
      <c r="X22" s="127">
        <f t="shared" si="8"/>
        <v>-61.037169576025917</v>
      </c>
      <c r="Y22" s="128">
        <f t="shared" si="9"/>
        <v>-3.1865806249796666E-3</v>
      </c>
      <c r="AA22" s="123">
        <f>IF(ROW()&lt;(ROW(I$10)+AB$7),"["&amp;$A22&amp;"]", INDEX($L:$L,ROW(I$10)+AB$7)/SUM($L$9:$L22))</f>
        <v>0</v>
      </c>
      <c r="AB22" s="124">
        <f t="shared" si="10"/>
        <v>0</v>
      </c>
      <c r="AC22" s="124">
        <f t="shared" si="11"/>
        <v>0</v>
      </c>
      <c r="AD22" s="125">
        <f t="shared" si="12"/>
        <v>0</v>
      </c>
      <c r="AE22" s="126">
        <f t="shared" si="13"/>
        <v>0</v>
      </c>
      <c r="AF22" s="127">
        <f t="shared" si="14"/>
        <v>0</v>
      </c>
      <c r="AG22" s="128" t="str">
        <f t="shared" si="15"/>
        <v/>
      </c>
      <c r="AI22" s="123">
        <f>IF(ROW()&lt;(ROW(Q$10)+AJ$7),"["&amp;$A22&amp;"]", INDEX($L:$L,ROW(Q$10)+AJ$7)/SUM($L$9:$L22))</f>
        <v>2.9342942027724334E-3</v>
      </c>
      <c r="AJ22" s="124">
        <f t="shared" si="16"/>
        <v>54.167070983179123</v>
      </c>
      <c r="AK22" s="124">
        <f t="shared" si="17"/>
        <v>53.043165897069386</v>
      </c>
      <c r="AL22" s="125">
        <f t="shared" si="18"/>
        <v>106.08633179413877</v>
      </c>
      <c r="AM22" s="126">
        <f t="shared" si="19"/>
        <v>106.42641554145698</v>
      </c>
      <c r="AN22" s="127">
        <f t="shared" si="20"/>
        <v>-0.34008374731820368</v>
      </c>
      <c r="AO22" s="128">
        <f t="shared" si="21"/>
        <v>-3.1954824898310012E-3</v>
      </c>
      <c r="AQ22" s="123">
        <f>IF(ROW()&lt;(ROW(Y$10)+AR$7),"["&amp;$A22&amp;"]", INDEX($L:$L,ROW(Y$10)+AR$7)/SUM($L$9:$L22))</f>
        <v>1.3896269121552003E-3</v>
      </c>
      <c r="AR22" s="124">
        <f t="shared" si="22"/>
        <v>25.652512798384997</v>
      </c>
      <c r="AS22" s="124">
        <f t="shared" si="23"/>
        <v>25.120252347851256</v>
      </c>
      <c r="AT22" s="125">
        <f t="shared" si="24"/>
        <v>50.240504695702512</v>
      </c>
      <c r="AU22" s="126">
        <f t="shared" si="25"/>
        <v>50.257182241614061</v>
      </c>
      <c r="AV22" s="127">
        <f t="shared" si="26"/>
        <v>-1.6677545911548464E-2</v>
      </c>
      <c r="AW22" s="128">
        <f t="shared" si="27"/>
        <v>-3.3184403039888467E-4</v>
      </c>
    </row>
    <row r="23" spans="1:49" ht="17">
      <c r="A23" s="109" t="s">
        <v>25</v>
      </c>
      <c r="B23" s="110">
        <f>B22-F22+I22</f>
        <v>18460</v>
      </c>
      <c r="C23" s="111">
        <f>C22-G22+J22</f>
        <v>18076.976005661658</v>
      </c>
      <c r="D23" s="112">
        <f t="shared" si="0"/>
        <v>0.9792511379014982</v>
      </c>
      <c r="F23" s="113"/>
      <c r="G23" s="114">
        <f t="shared" si="1"/>
        <v>0</v>
      </c>
      <c r="H23" s="115">
        <f t="shared" si="2"/>
        <v>0.9792511379014982</v>
      </c>
      <c r="I23" s="116"/>
      <c r="J23" s="117">
        <f>I23/((B23-F23)/(C23-G23))</f>
        <v>0</v>
      </c>
      <c r="K23" s="147">
        <f t="shared" si="3"/>
        <v>0</v>
      </c>
      <c r="L23" s="148">
        <f>MIN(I23*10^18*SUM($L$8:$L22) / ((B23-F23)*10^18), J23*10^18*SUM($L$8:$L22) / ((C23-G23)*10^18))</f>
        <v>0</v>
      </c>
      <c r="N23" s="119">
        <f>($C23-$G23+$J23)*2</f>
        <v>36153.952011323316</v>
      </c>
      <c r="O23" s="120">
        <f>SUM($I$9:$I23)-SUM($F$9:$F23)</f>
        <v>18460</v>
      </c>
      <c r="P23" s="120">
        <f>SUM($J$9:$J23)-SUM($G$9:$G23)</f>
        <v>18076.976005661658</v>
      </c>
      <c r="Q23" s="121">
        <f>$K23/N23</f>
        <v>0</v>
      </c>
      <c r="R23" s="122"/>
      <c r="S23" s="123">
        <f>IF(ROW()&lt;(ROW(A$10)+T$7),"["&amp;$A23&amp;"]", INDEX($L:$L,ROW(A$10)+T$7)/SUM($L$9:$L23))</f>
        <v>0.52811387014077649</v>
      </c>
      <c r="T23" s="124">
        <f t="shared" si="4"/>
        <v>9748.9820427987343</v>
      </c>
      <c r="U23" s="124">
        <f t="shared" si="5"/>
        <v>9546.7017587919327</v>
      </c>
      <c r="V23" s="125">
        <f t="shared" si="6"/>
        <v>19093.403517583865</v>
      </c>
      <c r="W23" s="126">
        <f t="shared" si="7"/>
        <v>19154.440687159891</v>
      </c>
      <c r="X23" s="127">
        <f t="shared" si="8"/>
        <v>-61.037169576025917</v>
      </c>
      <c r="Y23" s="128">
        <f t="shared" si="9"/>
        <v>-3.1865806249796666E-3</v>
      </c>
      <c r="AA23" s="123">
        <f>IF(ROW()&lt;(ROW(I$10)+AB$7),"["&amp;$A23&amp;"]", INDEX($L:$L,ROW(I$10)+AB$7)/SUM($L$9:$L23))</f>
        <v>0</v>
      </c>
      <c r="AB23" s="124">
        <f t="shared" si="10"/>
        <v>0</v>
      </c>
      <c r="AC23" s="124">
        <f t="shared" si="11"/>
        <v>0</v>
      </c>
      <c r="AD23" s="125">
        <f t="shared" si="12"/>
        <v>0</v>
      </c>
      <c r="AE23" s="126">
        <f t="shared" si="13"/>
        <v>0</v>
      </c>
      <c r="AF23" s="127">
        <f t="shared" si="14"/>
        <v>0</v>
      </c>
      <c r="AG23" s="128" t="str">
        <f t="shared" si="15"/>
        <v/>
      </c>
      <c r="AI23" s="123">
        <f>IF(ROW()&lt;(ROW(Q$10)+AJ$7),"["&amp;$A23&amp;"]", INDEX($L:$L,ROW(Q$10)+AJ$7)/SUM($L$9:$L23))</f>
        <v>2.9342942027724334E-3</v>
      </c>
      <c r="AJ23" s="124">
        <f t="shared" si="16"/>
        <v>54.167070983179123</v>
      </c>
      <c r="AK23" s="124">
        <f t="shared" si="17"/>
        <v>53.043165897069386</v>
      </c>
      <c r="AL23" s="125">
        <f t="shared" si="18"/>
        <v>106.08633179413877</v>
      </c>
      <c r="AM23" s="126">
        <f t="shared" si="19"/>
        <v>106.42641554145698</v>
      </c>
      <c r="AN23" s="127">
        <f t="shared" si="20"/>
        <v>-0.34008374731820368</v>
      </c>
      <c r="AO23" s="128">
        <f t="shared" si="21"/>
        <v>-3.1954824898310012E-3</v>
      </c>
      <c r="AQ23" s="123">
        <f>IF(ROW()&lt;(ROW(Y$10)+AR$7),"["&amp;$A23&amp;"]", INDEX($L:$L,ROW(Y$10)+AR$7)/SUM($L$9:$L23))</f>
        <v>1.3896269121552003E-3</v>
      </c>
      <c r="AR23" s="124">
        <f t="shared" si="22"/>
        <v>25.652512798384997</v>
      </c>
      <c r="AS23" s="124">
        <f t="shared" si="23"/>
        <v>25.120252347851256</v>
      </c>
      <c r="AT23" s="125">
        <f t="shared" si="24"/>
        <v>50.240504695702512</v>
      </c>
      <c r="AU23" s="126">
        <f t="shared" si="25"/>
        <v>50.257182241614061</v>
      </c>
      <c r="AV23" s="127">
        <f t="shared" si="26"/>
        <v>-1.6677545911548464E-2</v>
      </c>
      <c r="AW23" s="128">
        <f t="shared" si="27"/>
        <v>-3.3184403039888467E-4</v>
      </c>
    </row>
    <row r="24" spans="1:49" ht="17">
      <c r="A24" s="109" t="s">
        <v>42</v>
      </c>
      <c r="B24" s="110">
        <f>B23-F23+I23</f>
        <v>18460</v>
      </c>
      <c r="C24" s="111">
        <f>C23-G23+J23</f>
        <v>18076.976005661658</v>
      </c>
      <c r="D24" s="112">
        <f t="shared" si="0"/>
        <v>0.9792511379014982</v>
      </c>
      <c r="F24" s="113"/>
      <c r="G24" s="114">
        <f t="shared" si="1"/>
        <v>0</v>
      </c>
      <c r="H24" s="115">
        <f t="shared" si="2"/>
        <v>0.9792511379014982</v>
      </c>
      <c r="I24" s="116"/>
      <c r="J24" s="117">
        <f>I24/((B24-F24)/(C24-G24))</f>
        <v>0</v>
      </c>
      <c r="K24" s="147">
        <f t="shared" si="3"/>
        <v>0</v>
      </c>
      <c r="L24" s="148">
        <f>MIN(I24*10^18*SUM($L$8:$L23) / ((B24-F24)*10^18), J24*10^18*SUM($L$8:$L23) / ((C24-G24)*10^18))</f>
        <v>0</v>
      </c>
      <c r="N24" s="119">
        <f>($C24-$G24+$J24)*2</f>
        <v>36153.952011323316</v>
      </c>
      <c r="O24" s="120">
        <f>SUM($I$9:$I24)-SUM($F$9:$F24)</f>
        <v>18460</v>
      </c>
      <c r="P24" s="120">
        <f>SUM($J$9:$J24)-SUM($G$9:$G24)</f>
        <v>18076.976005661658</v>
      </c>
      <c r="Q24" s="121">
        <f>$K24/N24</f>
        <v>0</v>
      </c>
      <c r="R24" s="122"/>
      <c r="S24" s="123">
        <f>IF(ROW()&lt;(ROW(A$10)+T$7),"["&amp;$A24&amp;"]", INDEX($L:$L,ROW(A$10)+T$7)/SUM($L$9:$L24))</f>
        <v>0.52811387014077649</v>
      </c>
      <c r="T24" s="124">
        <f t="shared" si="4"/>
        <v>9748.9820427987343</v>
      </c>
      <c r="U24" s="124">
        <f t="shared" si="5"/>
        <v>9546.7017587919327</v>
      </c>
      <c r="V24" s="125">
        <f t="shared" si="6"/>
        <v>19093.403517583865</v>
      </c>
      <c r="W24" s="126">
        <f t="shared" si="7"/>
        <v>19154.440687159891</v>
      </c>
      <c r="X24" s="127">
        <f t="shared" si="8"/>
        <v>-61.037169576025917</v>
      </c>
      <c r="Y24" s="128">
        <f t="shared" si="9"/>
        <v>-3.1865806249796666E-3</v>
      </c>
      <c r="AA24" s="123">
        <f>IF(ROW()&lt;(ROW(I$10)+AB$7),"["&amp;$A24&amp;"]", INDEX($L:$L,ROW(I$10)+AB$7)/SUM($L$9:$L24))</f>
        <v>0</v>
      </c>
      <c r="AB24" s="124">
        <f t="shared" si="10"/>
        <v>0</v>
      </c>
      <c r="AC24" s="124">
        <f t="shared" si="11"/>
        <v>0</v>
      </c>
      <c r="AD24" s="125">
        <f t="shared" si="12"/>
        <v>0</v>
      </c>
      <c r="AE24" s="126">
        <f t="shared" si="13"/>
        <v>0</v>
      </c>
      <c r="AF24" s="127">
        <f t="shared" si="14"/>
        <v>0</v>
      </c>
      <c r="AG24" s="128" t="str">
        <f t="shared" si="15"/>
        <v/>
      </c>
      <c r="AI24" s="123">
        <f>IF(ROW()&lt;(ROW(Q$10)+AJ$7),"["&amp;$A24&amp;"]", INDEX($L:$L,ROW(Q$10)+AJ$7)/SUM($L$9:$L24))</f>
        <v>2.9342942027724334E-3</v>
      </c>
      <c r="AJ24" s="124">
        <f t="shared" si="16"/>
        <v>54.167070983179123</v>
      </c>
      <c r="AK24" s="124">
        <f t="shared" si="17"/>
        <v>53.043165897069386</v>
      </c>
      <c r="AL24" s="125">
        <f t="shared" si="18"/>
        <v>106.08633179413877</v>
      </c>
      <c r="AM24" s="126">
        <f t="shared" si="19"/>
        <v>106.42641554145698</v>
      </c>
      <c r="AN24" s="127">
        <f t="shared" si="20"/>
        <v>-0.34008374731820368</v>
      </c>
      <c r="AO24" s="128">
        <f t="shared" si="21"/>
        <v>-3.1954824898310012E-3</v>
      </c>
      <c r="AQ24" s="123">
        <f>IF(ROW()&lt;(ROW(Y$10)+AR$7),"["&amp;$A24&amp;"]", INDEX($L:$L,ROW(Y$10)+AR$7)/SUM($L$9:$L24))</f>
        <v>1.3896269121552003E-3</v>
      </c>
      <c r="AR24" s="124">
        <f t="shared" si="22"/>
        <v>25.652512798384997</v>
      </c>
      <c r="AS24" s="124">
        <f t="shared" si="23"/>
        <v>25.120252347851256</v>
      </c>
      <c r="AT24" s="125">
        <f t="shared" si="24"/>
        <v>50.240504695702512</v>
      </c>
      <c r="AU24" s="126">
        <f t="shared" si="25"/>
        <v>50.257182241614061</v>
      </c>
      <c r="AV24" s="127">
        <f t="shared" si="26"/>
        <v>-1.6677545911548464E-2</v>
      </c>
      <c r="AW24" s="128">
        <f t="shared" si="27"/>
        <v>-3.3184403039888467E-4</v>
      </c>
    </row>
    <row r="25" spans="1:49" ht="17">
      <c r="A25" s="109" t="s">
        <v>44</v>
      </c>
      <c r="B25" s="110">
        <f>B24-F24+I24</f>
        <v>18460</v>
      </c>
      <c r="C25" s="111">
        <f>C24-G24+J24</f>
        <v>18076.976005661658</v>
      </c>
      <c r="D25" s="112">
        <f t="shared" si="0"/>
        <v>0.9792511379014982</v>
      </c>
      <c r="F25" s="113"/>
      <c r="G25" s="114">
        <f t="shared" si="1"/>
        <v>0</v>
      </c>
      <c r="H25" s="115">
        <f t="shared" si="2"/>
        <v>0.9792511379014982</v>
      </c>
      <c r="I25" s="116"/>
      <c r="J25" s="117">
        <f>I25/((B25-F25)/(C25-G25))</f>
        <v>0</v>
      </c>
      <c r="K25" s="147">
        <f t="shared" si="3"/>
        <v>0</v>
      </c>
      <c r="L25" s="148">
        <f>MIN(I25*10^18*SUM($L$8:$L24) / ((B25-F25)*10^18), J25*10^18*SUM($L$8:$L24) / ((C25-G25)*10^18))</f>
        <v>0</v>
      </c>
      <c r="N25" s="119">
        <f>($C25-$G25+$J25)*2</f>
        <v>36153.952011323316</v>
      </c>
      <c r="O25" s="120">
        <f>SUM($I$9:$I25)-SUM($F$9:$F25)</f>
        <v>18460</v>
      </c>
      <c r="P25" s="120">
        <f>SUM($J$9:$J25)-SUM($G$9:$G25)</f>
        <v>18076.976005661658</v>
      </c>
      <c r="Q25" s="121">
        <f>$K25/N25</f>
        <v>0</v>
      </c>
      <c r="R25" s="122"/>
      <c r="S25" s="123">
        <f>IF(ROW()&lt;(ROW(A$10)+T$7),"["&amp;$A25&amp;"]", INDEX($L:$L,ROW(A$10)+T$7)/SUM($L$9:$L25))</f>
        <v>0.52811387014077649</v>
      </c>
      <c r="T25" s="124">
        <f t="shared" si="4"/>
        <v>9748.9820427987343</v>
      </c>
      <c r="U25" s="124">
        <f t="shared" si="5"/>
        <v>9546.7017587919327</v>
      </c>
      <c r="V25" s="125">
        <f t="shared" si="6"/>
        <v>19093.403517583865</v>
      </c>
      <c r="W25" s="126">
        <f t="shared" si="7"/>
        <v>19154.440687159891</v>
      </c>
      <c r="X25" s="127">
        <f t="shared" si="8"/>
        <v>-61.037169576025917</v>
      </c>
      <c r="Y25" s="128">
        <f t="shared" si="9"/>
        <v>-3.1865806249796666E-3</v>
      </c>
      <c r="AA25" s="123">
        <f>IF(ROW()&lt;(ROW(I$10)+AB$7),"["&amp;$A25&amp;"]", INDEX($L:$L,ROW(I$10)+AB$7)/SUM($L$9:$L25))</f>
        <v>0</v>
      </c>
      <c r="AB25" s="124">
        <f t="shared" si="10"/>
        <v>0</v>
      </c>
      <c r="AC25" s="124">
        <f t="shared" si="11"/>
        <v>0</v>
      </c>
      <c r="AD25" s="125">
        <f t="shared" si="12"/>
        <v>0</v>
      </c>
      <c r="AE25" s="126">
        <f t="shared" si="13"/>
        <v>0</v>
      </c>
      <c r="AF25" s="127">
        <f t="shared" si="14"/>
        <v>0</v>
      </c>
      <c r="AG25" s="128" t="str">
        <f t="shared" si="15"/>
        <v/>
      </c>
      <c r="AI25" s="123">
        <f>IF(ROW()&lt;(ROW(Q$10)+AJ$7),"["&amp;$A25&amp;"]", INDEX($L:$L,ROW(Q$10)+AJ$7)/SUM($L$9:$L25))</f>
        <v>2.9342942027724334E-3</v>
      </c>
      <c r="AJ25" s="124">
        <f t="shared" si="16"/>
        <v>54.167070983179123</v>
      </c>
      <c r="AK25" s="124">
        <f t="shared" si="17"/>
        <v>53.043165897069386</v>
      </c>
      <c r="AL25" s="125">
        <f t="shared" si="18"/>
        <v>106.08633179413877</v>
      </c>
      <c r="AM25" s="126">
        <f t="shared" si="19"/>
        <v>106.42641554145698</v>
      </c>
      <c r="AN25" s="127">
        <f t="shared" si="20"/>
        <v>-0.34008374731820368</v>
      </c>
      <c r="AO25" s="128">
        <f t="shared" si="21"/>
        <v>-3.1954824898310012E-3</v>
      </c>
      <c r="AQ25" s="123">
        <f>IF(ROW()&lt;(ROW(Y$10)+AR$7),"["&amp;$A25&amp;"]", INDEX($L:$L,ROW(Y$10)+AR$7)/SUM($L$9:$L25))</f>
        <v>1.3896269121552003E-3</v>
      </c>
      <c r="AR25" s="124">
        <f t="shared" si="22"/>
        <v>25.652512798384997</v>
      </c>
      <c r="AS25" s="124">
        <f t="shared" si="23"/>
        <v>25.120252347851256</v>
      </c>
      <c r="AT25" s="125">
        <f t="shared" si="24"/>
        <v>50.240504695702512</v>
      </c>
      <c r="AU25" s="126">
        <f t="shared" si="25"/>
        <v>50.257182241614061</v>
      </c>
      <c r="AV25" s="127">
        <f t="shared" si="26"/>
        <v>-1.6677545911548464E-2</v>
      </c>
      <c r="AW25" s="128">
        <f t="shared" si="27"/>
        <v>-3.3184403039888467E-4</v>
      </c>
    </row>
    <row r="26" spans="1:49" ht="17">
      <c r="A26" s="109" t="s">
        <v>45</v>
      </c>
      <c r="B26" s="110">
        <f>B25-F25+I25</f>
        <v>18460</v>
      </c>
      <c r="C26" s="111">
        <f>C25-G25+J25</f>
        <v>18076.976005661658</v>
      </c>
      <c r="D26" s="112">
        <f t="shared" si="0"/>
        <v>0.9792511379014982</v>
      </c>
      <c r="F26" s="113"/>
      <c r="G26" s="114">
        <f t="shared" si="1"/>
        <v>0</v>
      </c>
      <c r="H26" s="115">
        <f t="shared" si="2"/>
        <v>0.9792511379014982</v>
      </c>
      <c r="I26" s="116"/>
      <c r="J26" s="117">
        <f>I26/((B26-F26)/(C26-G26))</f>
        <v>0</v>
      </c>
      <c r="K26" s="147">
        <f t="shared" si="3"/>
        <v>0</v>
      </c>
      <c r="L26" s="148">
        <f>MIN(I26*10^18*SUM($L$8:$L25) / ((B26-F26)*10^18), J26*10^18*SUM($L$8:$L25) / ((C26-G26)*10^18))</f>
        <v>0</v>
      </c>
      <c r="N26" s="119">
        <f>($C26-$G26+$J26)*2</f>
        <v>36153.952011323316</v>
      </c>
      <c r="O26" s="120">
        <f>SUM($I$9:$I26)-SUM($F$9:$F26)</f>
        <v>18460</v>
      </c>
      <c r="P26" s="120">
        <f>SUM($J$9:$J26)-SUM($G$9:$G26)</f>
        <v>18076.976005661658</v>
      </c>
      <c r="Q26" s="121">
        <f>$K26/N26</f>
        <v>0</v>
      </c>
      <c r="R26" s="122"/>
      <c r="S26" s="123">
        <f>IF(ROW()&lt;(ROW(A$10)+T$7),"["&amp;$A26&amp;"]", INDEX($L:$L,ROW(A$10)+T$7)/SUM($L$9:$L26))</f>
        <v>0.52811387014077649</v>
      </c>
      <c r="T26" s="124">
        <f t="shared" si="4"/>
        <v>9748.9820427987343</v>
      </c>
      <c r="U26" s="124">
        <f t="shared" si="5"/>
        <v>9546.7017587919327</v>
      </c>
      <c r="V26" s="125">
        <f t="shared" si="6"/>
        <v>19093.403517583865</v>
      </c>
      <c r="W26" s="126">
        <f t="shared" si="7"/>
        <v>19154.440687159891</v>
      </c>
      <c r="X26" s="127">
        <f t="shared" si="8"/>
        <v>-61.037169576025917</v>
      </c>
      <c r="Y26" s="128">
        <f t="shared" si="9"/>
        <v>-3.1865806249796666E-3</v>
      </c>
      <c r="AA26" s="123">
        <f>IF(ROW()&lt;(ROW(I$10)+AB$7),"["&amp;$A26&amp;"]", INDEX($L:$L,ROW(I$10)+AB$7)/SUM($L$9:$L26))</f>
        <v>0</v>
      </c>
      <c r="AB26" s="124">
        <f t="shared" si="10"/>
        <v>0</v>
      </c>
      <c r="AC26" s="124">
        <f t="shared" si="11"/>
        <v>0</v>
      </c>
      <c r="AD26" s="125">
        <f t="shared" si="12"/>
        <v>0</v>
      </c>
      <c r="AE26" s="126">
        <f t="shared" si="13"/>
        <v>0</v>
      </c>
      <c r="AF26" s="127">
        <f t="shared" si="14"/>
        <v>0</v>
      </c>
      <c r="AG26" s="128" t="str">
        <f t="shared" si="15"/>
        <v/>
      </c>
      <c r="AI26" s="123">
        <f>IF(ROW()&lt;(ROW(Q$10)+AJ$7),"["&amp;$A26&amp;"]", INDEX($L:$L,ROW(Q$10)+AJ$7)/SUM($L$9:$L26))</f>
        <v>2.9342942027724334E-3</v>
      </c>
      <c r="AJ26" s="124">
        <f t="shared" si="16"/>
        <v>54.167070983179123</v>
      </c>
      <c r="AK26" s="124">
        <f t="shared" si="17"/>
        <v>53.043165897069386</v>
      </c>
      <c r="AL26" s="125">
        <f t="shared" si="18"/>
        <v>106.08633179413877</v>
      </c>
      <c r="AM26" s="126">
        <f t="shared" si="19"/>
        <v>106.42641554145698</v>
      </c>
      <c r="AN26" s="127">
        <f t="shared" si="20"/>
        <v>-0.34008374731820368</v>
      </c>
      <c r="AO26" s="128">
        <f t="shared" si="21"/>
        <v>-3.1954824898310012E-3</v>
      </c>
      <c r="AQ26" s="123">
        <f>IF(ROW()&lt;(ROW(Y$10)+AR$7),"["&amp;$A26&amp;"]", INDEX($L:$L,ROW(Y$10)+AR$7)/SUM($L$9:$L26))</f>
        <v>1.3896269121552003E-3</v>
      </c>
      <c r="AR26" s="124">
        <f t="shared" si="22"/>
        <v>25.652512798384997</v>
      </c>
      <c r="AS26" s="124">
        <f t="shared" si="23"/>
        <v>25.120252347851256</v>
      </c>
      <c r="AT26" s="125">
        <f t="shared" si="24"/>
        <v>50.240504695702512</v>
      </c>
      <c r="AU26" s="126">
        <f t="shared" si="25"/>
        <v>50.257182241614061</v>
      </c>
      <c r="AV26" s="127">
        <f t="shared" si="26"/>
        <v>-1.6677545911548464E-2</v>
      </c>
      <c r="AW26" s="128">
        <f t="shared" si="27"/>
        <v>-3.3184403039888467E-4</v>
      </c>
    </row>
    <row r="27" spans="1:49" ht="17">
      <c r="A27" s="109" t="s">
        <v>46</v>
      </c>
      <c r="B27" s="110">
        <f>B26-F26+I26</f>
        <v>18460</v>
      </c>
      <c r="C27" s="111">
        <f>C26-G26+J26</f>
        <v>18076.976005661658</v>
      </c>
      <c r="D27" s="112">
        <f t="shared" si="0"/>
        <v>0.9792511379014982</v>
      </c>
      <c r="F27" s="113"/>
      <c r="G27" s="114">
        <f t="shared" si="1"/>
        <v>0</v>
      </c>
      <c r="H27" s="115">
        <f t="shared" si="2"/>
        <v>0.9792511379014982</v>
      </c>
      <c r="I27" s="116"/>
      <c r="J27" s="117">
        <f>I27/((B27-F27)/(C27-G27))</f>
        <v>0</v>
      </c>
      <c r="K27" s="147">
        <f t="shared" si="3"/>
        <v>0</v>
      </c>
      <c r="L27" s="148">
        <f>MIN(I27*10^18*SUM($L$8:$L26) / ((B27-F27)*10^18), J27*10^18*SUM($L$8:$L26) / ((C27-G27)*10^18))</f>
        <v>0</v>
      </c>
      <c r="N27" s="119">
        <f>($C27-$G27+$J27)*2</f>
        <v>36153.952011323316</v>
      </c>
      <c r="O27" s="120">
        <f>SUM($I$9:$I27)-SUM($F$9:$F27)</f>
        <v>18460</v>
      </c>
      <c r="P27" s="120">
        <f>SUM($J$9:$J27)-SUM($G$9:$G27)</f>
        <v>18076.976005661658</v>
      </c>
      <c r="Q27" s="121">
        <f>$K27/N27</f>
        <v>0</v>
      </c>
      <c r="R27" s="122"/>
      <c r="S27" s="123">
        <f>IF(ROW()&lt;(ROW(A$10)+T$7),"["&amp;$A27&amp;"]", INDEX($L:$L,ROW(A$10)+T$7)/SUM($L$9:$L27))</f>
        <v>0.52811387014077649</v>
      </c>
      <c r="T27" s="124">
        <f t="shared" si="4"/>
        <v>9748.9820427987343</v>
      </c>
      <c r="U27" s="124">
        <f t="shared" si="5"/>
        <v>9546.7017587919327</v>
      </c>
      <c r="V27" s="125">
        <f t="shared" si="6"/>
        <v>19093.403517583865</v>
      </c>
      <c r="W27" s="126">
        <f t="shared" si="7"/>
        <v>19154.440687159891</v>
      </c>
      <c r="X27" s="127">
        <f t="shared" si="8"/>
        <v>-61.037169576025917</v>
      </c>
      <c r="Y27" s="128">
        <f t="shared" si="9"/>
        <v>-3.1865806249796666E-3</v>
      </c>
      <c r="AA27" s="123">
        <f>IF(ROW()&lt;(ROW(I$10)+AB$7),"["&amp;$A27&amp;"]", INDEX($L:$L,ROW(I$10)+AB$7)/SUM($L$9:$L27))</f>
        <v>0</v>
      </c>
      <c r="AB27" s="124">
        <f t="shared" si="10"/>
        <v>0</v>
      </c>
      <c r="AC27" s="124">
        <f t="shared" si="11"/>
        <v>0</v>
      </c>
      <c r="AD27" s="125">
        <f t="shared" si="12"/>
        <v>0</v>
      </c>
      <c r="AE27" s="126">
        <f t="shared" si="13"/>
        <v>0</v>
      </c>
      <c r="AF27" s="127">
        <f t="shared" si="14"/>
        <v>0</v>
      </c>
      <c r="AG27" s="128" t="str">
        <f t="shared" si="15"/>
        <v/>
      </c>
      <c r="AI27" s="123">
        <f>IF(ROW()&lt;(ROW(Q$10)+AJ$7),"["&amp;$A27&amp;"]", INDEX($L:$L,ROW(Q$10)+AJ$7)/SUM($L$9:$L27))</f>
        <v>2.9342942027724334E-3</v>
      </c>
      <c r="AJ27" s="124">
        <f t="shared" si="16"/>
        <v>54.167070983179123</v>
      </c>
      <c r="AK27" s="124">
        <f t="shared" si="17"/>
        <v>53.043165897069386</v>
      </c>
      <c r="AL27" s="125">
        <f t="shared" si="18"/>
        <v>106.08633179413877</v>
      </c>
      <c r="AM27" s="126">
        <f t="shared" si="19"/>
        <v>106.42641554145698</v>
      </c>
      <c r="AN27" s="127">
        <f t="shared" si="20"/>
        <v>-0.34008374731820368</v>
      </c>
      <c r="AO27" s="128">
        <f t="shared" si="21"/>
        <v>-3.1954824898310012E-3</v>
      </c>
      <c r="AQ27" s="123">
        <f>IF(ROW()&lt;(ROW(Y$10)+AR$7),"["&amp;$A27&amp;"]", INDEX($L:$L,ROW(Y$10)+AR$7)/SUM($L$9:$L27))</f>
        <v>1.3896269121552003E-3</v>
      </c>
      <c r="AR27" s="124">
        <f t="shared" si="22"/>
        <v>25.652512798384997</v>
      </c>
      <c r="AS27" s="124">
        <f t="shared" si="23"/>
        <v>25.120252347851256</v>
      </c>
      <c r="AT27" s="125">
        <f t="shared" si="24"/>
        <v>50.240504695702512</v>
      </c>
      <c r="AU27" s="126">
        <f t="shared" si="25"/>
        <v>50.257182241614061</v>
      </c>
      <c r="AV27" s="127">
        <f t="shared" si="26"/>
        <v>-1.6677545911548464E-2</v>
      </c>
      <c r="AW27" s="128">
        <f t="shared" si="27"/>
        <v>-3.3184403039888467E-4</v>
      </c>
    </row>
    <row r="28" spans="1:49" ht="17">
      <c r="A28" s="109" t="s">
        <v>47</v>
      </c>
      <c r="B28" s="110">
        <f>B27-F27+I27</f>
        <v>18460</v>
      </c>
      <c r="C28" s="111">
        <f>C27-G27+J27</f>
        <v>18076.976005661658</v>
      </c>
      <c r="D28" s="112">
        <f t="shared" si="0"/>
        <v>0.9792511379014982</v>
      </c>
      <c r="F28" s="113"/>
      <c r="G28" s="114">
        <f t="shared" si="1"/>
        <v>0</v>
      </c>
      <c r="H28" s="115">
        <f t="shared" si="2"/>
        <v>0.9792511379014982</v>
      </c>
      <c r="I28" s="116"/>
      <c r="J28" s="117">
        <f>I28/((B28-F28)/(C28-G28))</f>
        <v>0</v>
      </c>
      <c r="K28" s="147">
        <f t="shared" si="3"/>
        <v>0</v>
      </c>
      <c r="L28" s="148">
        <f>MIN(I28*10^18*SUM($L$8:$L27) / ((B28-F28)*10^18), J28*10^18*SUM($L$8:$L27) / ((C28-G28)*10^18))</f>
        <v>0</v>
      </c>
      <c r="N28" s="119">
        <f>($C28-$G28+$J28)*2</f>
        <v>36153.952011323316</v>
      </c>
      <c r="O28" s="120">
        <f>SUM($I$9:$I28)-SUM($F$9:$F28)</f>
        <v>18460</v>
      </c>
      <c r="P28" s="120">
        <f>SUM($J$9:$J28)-SUM($G$9:$G28)</f>
        <v>18076.976005661658</v>
      </c>
      <c r="Q28" s="121">
        <f>$K28/N28</f>
        <v>0</v>
      </c>
      <c r="R28" s="122"/>
      <c r="S28" s="123">
        <f>IF(ROW()&lt;(ROW(A$10)+T$7),"["&amp;$A28&amp;"]", INDEX($L:$L,ROW(A$10)+T$7)/SUM($L$9:$L28))</f>
        <v>0.52811387014077649</v>
      </c>
      <c r="T28" s="124">
        <f t="shared" si="4"/>
        <v>9748.9820427987343</v>
      </c>
      <c r="U28" s="124">
        <f t="shared" si="5"/>
        <v>9546.7017587919327</v>
      </c>
      <c r="V28" s="125">
        <f t="shared" si="6"/>
        <v>19093.403517583865</v>
      </c>
      <c r="W28" s="126">
        <f t="shared" si="7"/>
        <v>19154.440687159891</v>
      </c>
      <c r="X28" s="127">
        <f t="shared" si="8"/>
        <v>-61.037169576025917</v>
      </c>
      <c r="Y28" s="128">
        <f t="shared" si="9"/>
        <v>-3.1865806249796666E-3</v>
      </c>
      <c r="AA28" s="123">
        <f>IF(ROW()&lt;(ROW(I$10)+AB$7),"["&amp;$A28&amp;"]", INDEX($L:$L,ROW(I$10)+AB$7)/SUM($L$9:$L28))</f>
        <v>0</v>
      </c>
      <c r="AB28" s="124">
        <f t="shared" si="10"/>
        <v>0</v>
      </c>
      <c r="AC28" s="124">
        <f t="shared" si="11"/>
        <v>0</v>
      </c>
      <c r="AD28" s="125">
        <f t="shared" si="12"/>
        <v>0</v>
      </c>
      <c r="AE28" s="126">
        <f t="shared" si="13"/>
        <v>0</v>
      </c>
      <c r="AF28" s="127">
        <f t="shared" si="14"/>
        <v>0</v>
      </c>
      <c r="AG28" s="128" t="str">
        <f t="shared" si="15"/>
        <v/>
      </c>
      <c r="AI28" s="123">
        <f>IF(ROW()&lt;(ROW(Q$10)+AJ$7),"["&amp;$A28&amp;"]", INDEX($L:$L,ROW(Q$10)+AJ$7)/SUM($L$9:$L28))</f>
        <v>2.9342942027724334E-3</v>
      </c>
      <c r="AJ28" s="124">
        <f t="shared" si="16"/>
        <v>54.167070983179123</v>
      </c>
      <c r="AK28" s="124">
        <f t="shared" si="17"/>
        <v>53.043165897069386</v>
      </c>
      <c r="AL28" s="125">
        <f t="shared" si="18"/>
        <v>106.08633179413877</v>
      </c>
      <c r="AM28" s="126">
        <f t="shared" si="19"/>
        <v>106.42641554145698</v>
      </c>
      <c r="AN28" s="127">
        <f t="shared" si="20"/>
        <v>-0.34008374731820368</v>
      </c>
      <c r="AO28" s="128">
        <f t="shared" si="21"/>
        <v>-3.1954824898310012E-3</v>
      </c>
      <c r="AQ28" s="123">
        <f>IF(ROW()&lt;(ROW(Y$10)+AR$7),"["&amp;$A28&amp;"]", INDEX($L:$L,ROW(Y$10)+AR$7)/SUM($L$9:$L28))</f>
        <v>1.3896269121552003E-3</v>
      </c>
      <c r="AR28" s="124">
        <f t="shared" si="22"/>
        <v>25.652512798384997</v>
      </c>
      <c r="AS28" s="124">
        <f t="shared" si="23"/>
        <v>25.120252347851256</v>
      </c>
      <c r="AT28" s="125">
        <f t="shared" si="24"/>
        <v>50.240504695702512</v>
      </c>
      <c r="AU28" s="126">
        <f t="shared" si="25"/>
        <v>50.257182241614061</v>
      </c>
      <c r="AV28" s="127">
        <f t="shared" si="26"/>
        <v>-1.6677545911548464E-2</v>
      </c>
      <c r="AW28" s="128">
        <f t="shared" si="27"/>
        <v>-3.3184403039888467E-4</v>
      </c>
    </row>
    <row r="29" spans="1:49" ht="17">
      <c r="A29" s="109" t="s">
        <v>49</v>
      </c>
      <c r="B29" s="110">
        <f>B28-F28+I28</f>
        <v>18460</v>
      </c>
      <c r="C29" s="111">
        <f>C28-G28+J28</f>
        <v>18076.976005661658</v>
      </c>
      <c r="D29" s="112">
        <f t="shared" si="0"/>
        <v>0.9792511379014982</v>
      </c>
      <c r="F29" s="113"/>
      <c r="G29" s="114">
        <f t="shared" si="1"/>
        <v>0</v>
      </c>
      <c r="H29" s="115">
        <f t="shared" si="2"/>
        <v>0.9792511379014982</v>
      </c>
      <c r="I29" s="116"/>
      <c r="J29" s="117">
        <f>I29/((B29-F29)/(C29-G29))</f>
        <v>0</v>
      </c>
      <c r="K29" s="147">
        <f t="shared" si="3"/>
        <v>0</v>
      </c>
      <c r="L29" s="148">
        <f>MIN(I29*10^18*SUM($L$8:$L28) / ((B29-F29)*10^18), J29*10^18*SUM($L$8:$L28) / ((C29-G29)*10^18))</f>
        <v>0</v>
      </c>
      <c r="N29" s="119">
        <f>($C29-$G29+$J29)*2</f>
        <v>36153.952011323316</v>
      </c>
      <c r="O29" s="120">
        <f>SUM($I$9:$I29)-SUM($F$9:$F29)</f>
        <v>18460</v>
      </c>
      <c r="P29" s="120">
        <f>SUM($J$9:$J29)-SUM($G$9:$G29)</f>
        <v>18076.976005661658</v>
      </c>
      <c r="Q29" s="121">
        <f>$K29/N29</f>
        <v>0</v>
      </c>
      <c r="R29" s="122"/>
      <c r="S29" s="123">
        <f>IF(ROW()&lt;(ROW(A$10)+T$7),"["&amp;$A29&amp;"]", INDEX($L:$L,ROW(A$10)+T$7)/SUM($L$9:$L29))</f>
        <v>0.52811387014077649</v>
      </c>
      <c r="T29" s="124">
        <f t="shared" si="4"/>
        <v>9748.9820427987343</v>
      </c>
      <c r="U29" s="124">
        <f t="shared" si="5"/>
        <v>9546.7017587919327</v>
      </c>
      <c r="V29" s="125">
        <f t="shared" si="6"/>
        <v>19093.403517583865</v>
      </c>
      <c r="W29" s="126">
        <f t="shared" si="7"/>
        <v>19154.440687159891</v>
      </c>
      <c r="X29" s="127">
        <f t="shared" si="8"/>
        <v>-61.037169576025917</v>
      </c>
      <c r="Y29" s="128">
        <f t="shared" si="9"/>
        <v>-3.1865806249796666E-3</v>
      </c>
      <c r="AA29" s="123">
        <f>IF(ROW()&lt;(ROW(I$10)+AB$7),"["&amp;$A29&amp;"]", INDEX($L:$L,ROW(I$10)+AB$7)/SUM($L$9:$L29))</f>
        <v>0</v>
      </c>
      <c r="AB29" s="124">
        <f t="shared" si="10"/>
        <v>0</v>
      </c>
      <c r="AC29" s="124">
        <f t="shared" si="11"/>
        <v>0</v>
      </c>
      <c r="AD29" s="125">
        <f t="shared" si="12"/>
        <v>0</v>
      </c>
      <c r="AE29" s="126">
        <f t="shared" si="13"/>
        <v>0</v>
      </c>
      <c r="AF29" s="127">
        <f t="shared" si="14"/>
        <v>0</v>
      </c>
      <c r="AG29" s="128" t="str">
        <f t="shared" si="15"/>
        <v/>
      </c>
      <c r="AI29" s="123">
        <f>IF(ROW()&lt;(ROW(Q$10)+AJ$7),"["&amp;$A29&amp;"]", INDEX($L:$L,ROW(Q$10)+AJ$7)/SUM($L$9:$L29))</f>
        <v>2.9342942027724334E-3</v>
      </c>
      <c r="AJ29" s="124">
        <f t="shared" si="16"/>
        <v>54.167070983179123</v>
      </c>
      <c r="AK29" s="124">
        <f t="shared" si="17"/>
        <v>53.043165897069386</v>
      </c>
      <c r="AL29" s="125">
        <f t="shared" si="18"/>
        <v>106.08633179413877</v>
      </c>
      <c r="AM29" s="126">
        <f t="shared" si="19"/>
        <v>106.42641554145698</v>
      </c>
      <c r="AN29" s="127">
        <f t="shared" si="20"/>
        <v>-0.34008374731820368</v>
      </c>
      <c r="AO29" s="128">
        <f t="shared" si="21"/>
        <v>-3.1954824898310012E-3</v>
      </c>
      <c r="AQ29" s="123">
        <f>IF(ROW()&lt;(ROW(Y$10)+AR$7),"["&amp;$A29&amp;"]", INDEX($L:$L,ROW(Y$10)+AR$7)/SUM($L$9:$L29))</f>
        <v>1.3896269121552003E-3</v>
      </c>
      <c r="AR29" s="124">
        <f t="shared" si="22"/>
        <v>25.652512798384997</v>
      </c>
      <c r="AS29" s="124">
        <f t="shared" si="23"/>
        <v>25.120252347851256</v>
      </c>
      <c r="AT29" s="125">
        <f t="shared" si="24"/>
        <v>50.240504695702512</v>
      </c>
      <c r="AU29" s="126">
        <f t="shared" si="25"/>
        <v>50.257182241614061</v>
      </c>
      <c r="AV29" s="127">
        <f t="shared" si="26"/>
        <v>-1.6677545911548464E-2</v>
      </c>
      <c r="AW29" s="128">
        <f t="shared" si="27"/>
        <v>-3.3184403039888467E-4</v>
      </c>
    </row>
    <row r="30" spans="1:49" ht="17">
      <c r="A30" s="109" t="s">
        <v>64</v>
      </c>
      <c r="B30" s="110">
        <f>B29-F29+I29</f>
        <v>18460</v>
      </c>
      <c r="C30" s="111">
        <f>C29-G29+J29</f>
        <v>18076.976005661658</v>
      </c>
      <c r="D30" s="112">
        <f t="shared" si="0"/>
        <v>0.9792511379014982</v>
      </c>
      <c r="F30" s="113"/>
      <c r="G30" s="114">
        <f t="shared" si="1"/>
        <v>0</v>
      </c>
      <c r="H30" s="115">
        <f t="shared" si="2"/>
        <v>0.9792511379014982</v>
      </c>
      <c r="I30" s="116"/>
      <c r="J30" s="117">
        <f>I30/((B30-F30)/(C30-G30))</f>
        <v>0</v>
      </c>
      <c r="K30" s="147">
        <f t="shared" si="3"/>
        <v>0</v>
      </c>
      <c r="L30" s="148">
        <f>MIN(I30*10^18*SUM($L$8:$L29) / ((B30-F30)*10^18), J30*10^18*SUM($L$8:$L29) / ((C30-G30)*10^18))</f>
        <v>0</v>
      </c>
      <c r="N30" s="119">
        <f>($C30-$G30+$J30)*2</f>
        <v>36153.952011323316</v>
      </c>
      <c r="O30" s="120">
        <f>SUM($I$9:$I30)-SUM($F$9:$F30)</f>
        <v>18460</v>
      </c>
      <c r="P30" s="120">
        <f>SUM($J$9:$J30)-SUM($G$9:$G30)</f>
        <v>18076.976005661658</v>
      </c>
      <c r="Q30" s="121">
        <f>$K30/N30</f>
        <v>0</v>
      </c>
      <c r="R30" s="122"/>
      <c r="S30" s="123">
        <f>IF(ROW()&lt;(ROW(A$10)+T$7),"["&amp;$A30&amp;"]", INDEX($L:$L,ROW(A$10)+T$7)/SUM($L$9:$L30))</f>
        <v>0.52811387014077649</v>
      </c>
      <c r="T30" s="124">
        <f t="shared" si="4"/>
        <v>9748.9820427987343</v>
      </c>
      <c r="U30" s="124">
        <f t="shared" si="5"/>
        <v>9546.7017587919327</v>
      </c>
      <c r="V30" s="125">
        <f t="shared" si="6"/>
        <v>19093.403517583865</v>
      </c>
      <c r="W30" s="126">
        <f t="shared" si="7"/>
        <v>19154.440687159891</v>
      </c>
      <c r="X30" s="127">
        <f t="shared" si="8"/>
        <v>-61.037169576025917</v>
      </c>
      <c r="Y30" s="128">
        <f t="shared" si="9"/>
        <v>-3.1865806249796666E-3</v>
      </c>
      <c r="AA30" s="123">
        <f>IF(ROW()&lt;(ROW(I$10)+AB$7),"["&amp;$A30&amp;"]", INDEX($L:$L,ROW(I$10)+AB$7)/SUM($L$9:$L30))</f>
        <v>0</v>
      </c>
      <c r="AB30" s="124">
        <f t="shared" si="10"/>
        <v>0</v>
      </c>
      <c r="AC30" s="124">
        <f t="shared" si="11"/>
        <v>0</v>
      </c>
      <c r="AD30" s="125">
        <f t="shared" si="12"/>
        <v>0</v>
      </c>
      <c r="AE30" s="126">
        <f t="shared" si="13"/>
        <v>0</v>
      </c>
      <c r="AF30" s="127">
        <f t="shared" si="14"/>
        <v>0</v>
      </c>
      <c r="AG30" s="128" t="str">
        <f t="shared" si="15"/>
        <v/>
      </c>
      <c r="AI30" s="123">
        <f>IF(ROW()&lt;(ROW(Q$10)+AJ$7),"["&amp;$A30&amp;"]", INDEX($L:$L,ROW(Q$10)+AJ$7)/SUM($L$9:$L30))</f>
        <v>2.9342942027724334E-3</v>
      </c>
      <c r="AJ30" s="124">
        <f t="shared" si="16"/>
        <v>54.167070983179123</v>
      </c>
      <c r="AK30" s="124">
        <f t="shared" si="17"/>
        <v>53.043165897069386</v>
      </c>
      <c r="AL30" s="125">
        <f t="shared" si="18"/>
        <v>106.08633179413877</v>
      </c>
      <c r="AM30" s="126">
        <f t="shared" si="19"/>
        <v>106.42641554145698</v>
      </c>
      <c r="AN30" s="127">
        <f t="shared" si="20"/>
        <v>-0.34008374731820368</v>
      </c>
      <c r="AO30" s="128">
        <f t="shared" si="21"/>
        <v>-3.1954824898310012E-3</v>
      </c>
      <c r="AQ30" s="123">
        <f>IF(ROW()&lt;(ROW(Y$10)+AR$7),"["&amp;$A30&amp;"]", INDEX($L:$L,ROW(Y$10)+AR$7)/SUM($L$9:$L30))</f>
        <v>1.3896269121552003E-3</v>
      </c>
      <c r="AR30" s="124">
        <f t="shared" si="22"/>
        <v>25.652512798384997</v>
      </c>
      <c r="AS30" s="124">
        <f t="shared" si="23"/>
        <v>25.120252347851256</v>
      </c>
      <c r="AT30" s="125">
        <f t="shared" si="24"/>
        <v>50.240504695702512</v>
      </c>
      <c r="AU30" s="126">
        <f t="shared" si="25"/>
        <v>50.257182241614061</v>
      </c>
      <c r="AV30" s="127">
        <f t="shared" si="26"/>
        <v>-1.6677545911548464E-2</v>
      </c>
      <c r="AW30" s="128">
        <f t="shared" si="27"/>
        <v>-3.3184403039888467E-4</v>
      </c>
    </row>
    <row r="31" spans="1:49" ht="17">
      <c r="A31" s="109" t="s">
        <v>48</v>
      </c>
      <c r="B31" s="110">
        <f>B30-F30+I30</f>
        <v>18460</v>
      </c>
      <c r="C31" s="111">
        <f>C30-G30+J30</f>
        <v>18076.976005661658</v>
      </c>
      <c r="D31" s="112">
        <f t="shared" si="0"/>
        <v>0.9792511379014982</v>
      </c>
      <c r="F31" s="113"/>
      <c r="G31" s="114">
        <f t="shared" si="1"/>
        <v>0</v>
      </c>
      <c r="H31" s="115">
        <f t="shared" si="2"/>
        <v>0.9792511379014982</v>
      </c>
      <c r="I31" s="116"/>
      <c r="J31" s="117">
        <f>I31/((B31-F31)/(C31-G31))</f>
        <v>0</v>
      </c>
      <c r="K31" s="147">
        <f t="shared" si="3"/>
        <v>0</v>
      </c>
      <c r="L31" s="148">
        <f>MIN(I31*10^18*SUM($L$8:$L30) / ((B31-F31)*10^18), J31*10^18*SUM($L$8:$L30) / ((C31-G31)*10^18))</f>
        <v>0</v>
      </c>
      <c r="N31" s="119">
        <f>($C31-$G31+$J31)*2</f>
        <v>36153.952011323316</v>
      </c>
      <c r="O31" s="120">
        <f>SUM($I$9:$I31)-SUM($F$9:$F31)</f>
        <v>18460</v>
      </c>
      <c r="P31" s="120">
        <f>SUM($J$9:$J31)-SUM($G$9:$G31)</f>
        <v>18076.976005661658</v>
      </c>
      <c r="Q31" s="121">
        <f>$K31/N31</f>
        <v>0</v>
      </c>
      <c r="R31" s="122"/>
      <c r="S31" s="123">
        <f>IF(ROW()&lt;(ROW(A$10)+T$7),"["&amp;$A31&amp;"]", INDEX($L:$L,ROW(A$10)+T$7)/SUM($L$9:$L31))</f>
        <v>0.52811387014077649</v>
      </c>
      <c r="T31" s="124">
        <f t="shared" si="4"/>
        <v>9748.9820427987343</v>
      </c>
      <c r="U31" s="124">
        <f t="shared" si="5"/>
        <v>9546.7017587919327</v>
      </c>
      <c r="V31" s="125">
        <f t="shared" si="6"/>
        <v>19093.403517583865</v>
      </c>
      <c r="W31" s="126">
        <f t="shared" si="7"/>
        <v>19154.440687159891</v>
      </c>
      <c r="X31" s="127">
        <f t="shared" si="8"/>
        <v>-61.037169576025917</v>
      </c>
      <c r="Y31" s="128">
        <f t="shared" si="9"/>
        <v>-3.1865806249796666E-3</v>
      </c>
      <c r="AA31" s="123">
        <f>IF(ROW()&lt;(ROW(I$10)+AB$7),"["&amp;$A31&amp;"]", INDEX($L:$L,ROW(I$10)+AB$7)/SUM($L$9:$L31))</f>
        <v>0</v>
      </c>
      <c r="AB31" s="124">
        <f t="shared" si="10"/>
        <v>0</v>
      </c>
      <c r="AC31" s="124">
        <f t="shared" si="11"/>
        <v>0</v>
      </c>
      <c r="AD31" s="125">
        <f t="shared" si="12"/>
        <v>0</v>
      </c>
      <c r="AE31" s="126">
        <f t="shared" si="13"/>
        <v>0</v>
      </c>
      <c r="AF31" s="127">
        <f t="shared" si="14"/>
        <v>0</v>
      </c>
      <c r="AG31" s="128" t="str">
        <f t="shared" si="15"/>
        <v/>
      </c>
      <c r="AI31" s="123">
        <f>IF(ROW()&lt;(ROW(Q$10)+AJ$7),"["&amp;$A31&amp;"]", INDEX($L:$L,ROW(Q$10)+AJ$7)/SUM($L$9:$L31))</f>
        <v>2.9342942027724334E-3</v>
      </c>
      <c r="AJ31" s="124">
        <f t="shared" si="16"/>
        <v>54.167070983179123</v>
      </c>
      <c r="AK31" s="124">
        <f t="shared" si="17"/>
        <v>53.043165897069386</v>
      </c>
      <c r="AL31" s="125">
        <f t="shared" si="18"/>
        <v>106.08633179413877</v>
      </c>
      <c r="AM31" s="126">
        <f t="shared" si="19"/>
        <v>106.42641554145698</v>
      </c>
      <c r="AN31" s="127">
        <f t="shared" si="20"/>
        <v>-0.34008374731820368</v>
      </c>
      <c r="AO31" s="128">
        <f t="shared" si="21"/>
        <v>-3.1954824898310012E-3</v>
      </c>
      <c r="AQ31" s="123">
        <f>IF(ROW()&lt;(ROW(Y$10)+AR$7),"["&amp;$A31&amp;"]", INDEX($L:$L,ROW(Y$10)+AR$7)/SUM($L$9:$L31))</f>
        <v>1.3896269121552003E-3</v>
      </c>
      <c r="AR31" s="124">
        <f t="shared" si="22"/>
        <v>25.652512798384997</v>
      </c>
      <c r="AS31" s="124">
        <f t="shared" si="23"/>
        <v>25.120252347851256</v>
      </c>
      <c r="AT31" s="125">
        <f t="shared" si="24"/>
        <v>50.240504695702512</v>
      </c>
      <c r="AU31" s="126">
        <f t="shared" si="25"/>
        <v>50.257182241614061</v>
      </c>
      <c r="AV31" s="127">
        <f t="shared" si="26"/>
        <v>-1.6677545911548464E-2</v>
      </c>
      <c r="AW31" s="128">
        <f t="shared" si="27"/>
        <v>-3.3184403039888467E-4</v>
      </c>
    </row>
    <row r="32" spans="1:49" ht="17">
      <c r="A32" s="109" t="s">
        <v>50</v>
      </c>
      <c r="B32" s="110">
        <f>B31-F31+I31</f>
        <v>18460</v>
      </c>
      <c r="C32" s="111">
        <f>C31-G31+J31</f>
        <v>18076.976005661658</v>
      </c>
      <c r="D32" s="112">
        <f t="shared" si="0"/>
        <v>0.9792511379014982</v>
      </c>
      <c r="F32" s="113"/>
      <c r="G32" s="114">
        <f t="shared" si="1"/>
        <v>0</v>
      </c>
      <c r="H32" s="115">
        <f t="shared" si="2"/>
        <v>0.9792511379014982</v>
      </c>
      <c r="I32" s="116"/>
      <c r="J32" s="117">
        <f>I32/((B32-F32)/(C32-G32))</f>
        <v>0</v>
      </c>
      <c r="K32" s="147">
        <f t="shared" si="3"/>
        <v>0</v>
      </c>
      <c r="L32" s="148">
        <f>MIN(I32*10^18*SUM($L$8:$L31) / ((B32-F32)*10^18), J32*10^18*SUM($L$8:$L31) / ((C32-G32)*10^18))</f>
        <v>0</v>
      </c>
      <c r="N32" s="119">
        <f>($C32-$G32+$J32)*2</f>
        <v>36153.952011323316</v>
      </c>
      <c r="O32" s="120">
        <f>SUM($I$9:$I32)-SUM($F$9:$F32)</f>
        <v>18460</v>
      </c>
      <c r="P32" s="120">
        <f>SUM($J$9:$J32)-SUM($G$9:$G32)</f>
        <v>18076.976005661658</v>
      </c>
      <c r="Q32" s="121">
        <f>$K32/N32</f>
        <v>0</v>
      </c>
      <c r="R32" s="122"/>
      <c r="S32" s="123">
        <f>IF(ROW()&lt;(ROW(A$10)+T$7),"["&amp;$A32&amp;"]", INDEX($L:$L,ROW(A$10)+T$7)/SUM($L$9:$L32))</f>
        <v>0.52811387014077649</v>
      </c>
      <c r="T32" s="124">
        <f t="shared" si="4"/>
        <v>9748.9820427987343</v>
      </c>
      <c r="U32" s="124">
        <f t="shared" si="5"/>
        <v>9546.7017587919327</v>
      </c>
      <c r="V32" s="125">
        <f t="shared" si="6"/>
        <v>19093.403517583865</v>
      </c>
      <c r="W32" s="126">
        <f t="shared" si="7"/>
        <v>19154.440687159891</v>
      </c>
      <c r="X32" s="127">
        <f t="shared" si="8"/>
        <v>-61.037169576025917</v>
      </c>
      <c r="Y32" s="128">
        <f t="shared" si="9"/>
        <v>-3.1865806249796666E-3</v>
      </c>
      <c r="AA32" s="123">
        <f>IF(ROW()&lt;(ROW(I$10)+AB$7),"["&amp;$A32&amp;"]", INDEX($L:$L,ROW(I$10)+AB$7)/SUM($L$9:$L32))</f>
        <v>0</v>
      </c>
      <c r="AB32" s="124">
        <f t="shared" si="10"/>
        <v>0</v>
      </c>
      <c r="AC32" s="124">
        <f t="shared" si="11"/>
        <v>0</v>
      </c>
      <c r="AD32" s="125">
        <f t="shared" si="12"/>
        <v>0</v>
      </c>
      <c r="AE32" s="126">
        <f t="shared" si="13"/>
        <v>0</v>
      </c>
      <c r="AF32" s="127">
        <f t="shared" si="14"/>
        <v>0</v>
      </c>
      <c r="AG32" s="128" t="str">
        <f t="shared" si="15"/>
        <v/>
      </c>
      <c r="AI32" s="123">
        <f>IF(ROW()&lt;(ROW(Q$10)+AJ$7),"["&amp;$A32&amp;"]", INDEX($L:$L,ROW(Q$10)+AJ$7)/SUM($L$9:$L32))</f>
        <v>2.9342942027724334E-3</v>
      </c>
      <c r="AJ32" s="124">
        <f t="shared" si="16"/>
        <v>54.167070983179123</v>
      </c>
      <c r="AK32" s="124">
        <f t="shared" si="17"/>
        <v>53.043165897069386</v>
      </c>
      <c r="AL32" s="125">
        <f t="shared" si="18"/>
        <v>106.08633179413877</v>
      </c>
      <c r="AM32" s="126">
        <f t="shared" si="19"/>
        <v>106.42641554145698</v>
      </c>
      <c r="AN32" s="127">
        <f t="shared" si="20"/>
        <v>-0.34008374731820368</v>
      </c>
      <c r="AO32" s="128">
        <f t="shared" si="21"/>
        <v>-3.1954824898310012E-3</v>
      </c>
      <c r="AQ32" s="123">
        <f>IF(ROW()&lt;(ROW(Y$10)+AR$7),"["&amp;$A32&amp;"]", INDEX($L:$L,ROW(Y$10)+AR$7)/SUM($L$9:$L32))</f>
        <v>1.3896269121552003E-3</v>
      </c>
      <c r="AR32" s="124">
        <f t="shared" si="22"/>
        <v>25.652512798384997</v>
      </c>
      <c r="AS32" s="124">
        <f t="shared" si="23"/>
        <v>25.120252347851256</v>
      </c>
      <c r="AT32" s="125">
        <f t="shared" si="24"/>
        <v>50.240504695702512</v>
      </c>
      <c r="AU32" s="126">
        <f t="shared" si="25"/>
        <v>50.257182241614061</v>
      </c>
      <c r="AV32" s="127">
        <f t="shared" si="26"/>
        <v>-1.6677545911548464E-2</v>
      </c>
      <c r="AW32" s="128">
        <f t="shared" si="27"/>
        <v>-3.3184403039888467E-4</v>
      </c>
    </row>
    <row r="33" spans="1:51" ht="17">
      <c r="A33" s="109" t="s">
        <v>52</v>
      </c>
      <c r="B33" s="110">
        <f>B32-F32+I32</f>
        <v>18460</v>
      </c>
      <c r="C33" s="111">
        <f>C32-G32+J32</f>
        <v>18076.976005661658</v>
      </c>
      <c r="D33" s="112">
        <f t="shared" si="0"/>
        <v>0.9792511379014982</v>
      </c>
      <c r="F33" s="113"/>
      <c r="G33" s="114">
        <f t="shared" si="1"/>
        <v>0</v>
      </c>
      <c r="H33" s="115">
        <f t="shared" si="2"/>
        <v>0.9792511379014982</v>
      </c>
      <c r="I33" s="116"/>
      <c r="J33" s="117">
        <f>I33/((B33-F33)/(C33-G33))</f>
        <v>0</v>
      </c>
      <c r="K33" s="147">
        <f t="shared" si="3"/>
        <v>0</v>
      </c>
      <c r="L33" s="148">
        <f>MIN(I33*10^18*SUM($L$8:$L32) / ((B33-F33)*10^18), J33*10^18*SUM($L$8:$L32) / ((C33-G33)*10^18))</f>
        <v>0</v>
      </c>
      <c r="N33" s="119">
        <f>($C33-$G33+$J33)*2</f>
        <v>36153.952011323316</v>
      </c>
      <c r="O33" s="120">
        <f>SUM($I$9:$I33)-SUM($F$9:$F33)</f>
        <v>18460</v>
      </c>
      <c r="P33" s="120">
        <f>SUM($J$9:$J33)-SUM($G$9:$G33)</f>
        <v>18076.976005661658</v>
      </c>
      <c r="Q33" s="121">
        <f>$K33/N33</f>
        <v>0</v>
      </c>
      <c r="R33" s="122"/>
      <c r="S33" s="123">
        <f>IF(ROW()&lt;(ROW(A$10)+T$7),"["&amp;$A33&amp;"]", INDEX($L:$L,ROW(A$10)+T$7)/SUM($L$9:$L33))</f>
        <v>0.52811387014077649</v>
      </c>
      <c r="T33" s="124">
        <f t="shared" si="4"/>
        <v>9748.9820427987343</v>
      </c>
      <c r="U33" s="124">
        <f t="shared" si="5"/>
        <v>9546.7017587919327</v>
      </c>
      <c r="V33" s="125">
        <f t="shared" si="6"/>
        <v>19093.403517583865</v>
      </c>
      <c r="W33" s="126">
        <f t="shared" si="7"/>
        <v>19154.440687159891</v>
      </c>
      <c r="X33" s="127">
        <f t="shared" si="8"/>
        <v>-61.037169576025917</v>
      </c>
      <c r="Y33" s="128">
        <f t="shared" si="9"/>
        <v>-3.1865806249796666E-3</v>
      </c>
      <c r="AA33" s="123">
        <f>IF(ROW()&lt;(ROW(I$10)+AB$7),"["&amp;$A33&amp;"]", INDEX($L:$L,ROW(I$10)+AB$7)/SUM($L$9:$L33))</f>
        <v>0</v>
      </c>
      <c r="AB33" s="124">
        <f t="shared" si="10"/>
        <v>0</v>
      </c>
      <c r="AC33" s="124">
        <f t="shared" si="11"/>
        <v>0</v>
      </c>
      <c r="AD33" s="125">
        <f t="shared" si="12"/>
        <v>0</v>
      </c>
      <c r="AE33" s="126">
        <f t="shared" si="13"/>
        <v>0</v>
      </c>
      <c r="AF33" s="127">
        <f t="shared" si="14"/>
        <v>0</v>
      </c>
      <c r="AG33" s="128" t="str">
        <f t="shared" si="15"/>
        <v/>
      </c>
      <c r="AI33" s="123">
        <f>IF(ROW()&lt;(ROW(Q$10)+AJ$7),"["&amp;$A33&amp;"]", INDEX($L:$L,ROW(Q$10)+AJ$7)/SUM($L$9:$L33))</f>
        <v>2.9342942027724334E-3</v>
      </c>
      <c r="AJ33" s="124">
        <f t="shared" si="16"/>
        <v>54.167070983179123</v>
      </c>
      <c r="AK33" s="124">
        <f t="shared" si="17"/>
        <v>53.043165897069386</v>
      </c>
      <c r="AL33" s="125">
        <f t="shared" si="18"/>
        <v>106.08633179413877</v>
      </c>
      <c r="AM33" s="126">
        <f t="shared" si="19"/>
        <v>106.42641554145698</v>
      </c>
      <c r="AN33" s="127">
        <f t="shared" si="20"/>
        <v>-0.34008374731820368</v>
      </c>
      <c r="AO33" s="128">
        <f t="shared" si="21"/>
        <v>-3.1954824898310012E-3</v>
      </c>
      <c r="AQ33" s="123">
        <f>IF(ROW()&lt;(ROW(Y$10)+AR$7),"["&amp;$A33&amp;"]", INDEX($L:$L,ROW(Y$10)+AR$7)/SUM($L$9:$L33))</f>
        <v>1.3896269121552003E-3</v>
      </c>
      <c r="AR33" s="124">
        <f t="shared" si="22"/>
        <v>25.652512798384997</v>
      </c>
      <c r="AS33" s="124">
        <f t="shared" si="23"/>
        <v>25.120252347851256</v>
      </c>
      <c r="AT33" s="125">
        <f t="shared" si="24"/>
        <v>50.240504695702512</v>
      </c>
      <c r="AU33" s="126">
        <f t="shared" si="25"/>
        <v>50.257182241614061</v>
      </c>
      <c r="AV33" s="127">
        <f t="shared" si="26"/>
        <v>-1.6677545911548464E-2</v>
      </c>
      <c r="AW33" s="128">
        <f t="shared" si="27"/>
        <v>-3.3184403039888467E-4</v>
      </c>
    </row>
    <row r="34" spans="1:51" ht="17">
      <c r="A34" s="109" t="s">
        <v>53</v>
      </c>
      <c r="B34" s="110">
        <f>B33-F33+I33</f>
        <v>18460</v>
      </c>
      <c r="C34" s="111">
        <f>C33-G33+J33</f>
        <v>18076.976005661658</v>
      </c>
      <c r="D34" s="112">
        <f t="shared" si="0"/>
        <v>0.9792511379014982</v>
      </c>
      <c r="F34" s="113"/>
      <c r="G34" s="114">
        <f t="shared" si="1"/>
        <v>0</v>
      </c>
      <c r="H34" s="115">
        <f t="shared" si="2"/>
        <v>0.9792511379014982</v>
      </c>
      <c r="I34" s="116"/>
      <c r="J34" s="117">
        <f>I34/((B34-F34)/(C34-G34))</f>
        <v>0</v>
      </c>
      <c r="K34" s="147">
        <f t="shared" si="3"/>
        <v>0</v>
      </c>
      <c r="L34" s="148">
        <f>MIN(I34*10^18*SUM($L$8:$L33) / ((B34-F34)*10^18), J34*10^18*SUM($L$8:$L33) / ((C34-G34)*10^18))</f>
        <v>0</v>
      </c>
      <c r="N34" s="119">
        <f>($C34-$G34+$J34)*2</f>
        <v>36153.952011323316</v>
      </c>
      <c r="O34" s="120">
        <f>SUM($I$9:$I34)-SUM($F$9:$F34)</f>
        <v>18460</v>
      </c>
      <c r="P34" s="120">
        <f>SUM($J$9:$J34)-SUM($G$9:$G34)</f>
        <v>18076.976005661658</v>
      </c>
      <c r="Q34" s="121">
        <f>$K34/N34</f>
        <v>0</v>
      </c>
      <c r="R34" s="122"/>
      <c r="S34" s="123">
        <f>IF(ROW()&lt;(ROW(A$10)+T$7),"["&amp;$A34&amp;"]", INDEX($L:$L,ROW(A$10)+T$7)/SUM($L$9:$L34))</f>
        <v>0.52811387014077649</v>
      </c>
      <c r="T34" s="124">
        <f t="shared" si="4"/>
        <v>9748.9820427987343</v>
      </c>
      <c r="U34" s="124">
        <f t="shared" si="5"/>
        <v>9546.7017587919327</v>
      </c>
      <c r="V34" s="125">
        <f t="shared" si="6"/>
        <v>19093.403517583865</v>
      </c>
      <c r="W34" s="126">
        <f t="shared" si="7"/>
        <v>19154.440687159891</v>
      </c>
      <c r="X34" s="127">
        <f t="shared" si="8"/>
        <v>-61.037169576025917</v>
      </c>
      <c r="Y34" s="128">
        <f t="shared" si="9"/>
        <v>-3.1865806249796666E-3</v>
      </c>
      <c r="AA34" s="123">
        <f>IF(ROW()&lt;(ROW(I$10)+AB$7),"["&amp;$A34&amp;"]", INDEX($L:$L,ROW(I$10)+AB$7)/SUM($L$9:$L34))</f>
        <v>0</v>
      </c>
      <c r="AB34" s="124">
        <f t="shared" si="10"/>
        <v>0</v>
      </c>
      <c r="AC34" s="124">
        <f t="shared" si="11"/>
        <v>0</v>
      </c>
      <c r="AD34" s="125">
        <f t="shared" si="12"/>
        <v>0</v>
      </c>
      <c r="AE34" s="126">
        <f t="shared" si="13"/>
        <v>0</v>
      </c>
      <c r="AF34" s="127">
        <f t="shared" si="14"/>
        <v>0</v>
      </c>
      <c r="AG34" s="128" t="str">
        <f t="shared" si="15"/>
        <v/>
      </c>
      <c r="AI34" s="123">
        <f>IF(ROW()&lt;(ROW(Q$10)+AJ$7),"["&amp;$A34&amp;"]", INDEX($L:$L,ROW(Q$10)+AJ$7)/SUM($L$9:$L34))</f>
        <v>2.9342942027724334E-3</v>
      </c>
      <c r="AJ34" s="124">
        <f t="shared" si="16"/>
        <v>54.167070983179123</v>
      </c>
      <c r="AK34" s="124">
        <f t="shared" si="17"/>
        <v>53.043165897069386</v>
      </c>
      <c r="AL34" s="125">
        <f t="shared" si="18"/>
        <v>106.08633179413877</v>
      </c>
      <c r="AM34" s="126">
        <f t="shared" si="19"/>
        <v>106.42641554145698</v>
      </c>
      <c r="AN34" s="127">
        <f t="shared" si="20"/>
        <v>-0.34008374731820368</v>
      </c>
      <c r="AO34" s="128">
        <f t="shared" si="21"/>
        <v>-3.1954824898310012E-3</v>
      </c>
      <c r="AQ34" s="123">
        <f>IF(ROW()&lt;(ROW(Y$10)+AR$7),"["&amp;$A34&amp;"]", INDEX($L:$L,ROW(Y$10)+AR$7)/SUM($L$9:$L34))</f>
        <v>1.3896269121552003E-3</v>
      </c>
      <c r="AR34" s="124">
        <f t="shared" si="22"/>
        <v>25.652512798384997</v>
      </c>
      <c r="AS34" s="124">
        <f t="shared" si="23"/>
        <v>25.120252347851256</v>
      </c>
      <c r="AT34" s="125">
        <f t="shared" si="24"/>
        <v>50.240504695702512</v>
      </c>
      <c r="AU34" s="126">
        <f t="shared" si="25"/>
        <v>50.257182241614061</v>
      </c>
      <c r="AV34" s="127">
        <f t="shared" si="26"/>
        <v>-1.6677545911548464E-2</v>
      </c>
      <c r="AW34" s="128">
        <f t="shared" si="27"/>
        <v>-3.3184403039888467E-4</v>
      </c>
    </row>
    <row r="35" spans="1:51" ht="17">
      <c r="A35" s="109" t="s">
        <v>54</v>
      </c>
      <c r="B35" s="110">
        <f>B34-F34+I34</f>
        <v>18460</v>
      </c>
      <c r="C35" s="111">
        <f>C34-G34+J34</f>
        <v>18076.976005661658</v>
      </c>
      <c r="D35" s="112">
        <f t="shared" si="0"/>
        <v>0.9792511379014982</v>
      </c>
      <c r="F35" s="113"/>
      <c r="G35" s="114">
        <f t="shared" si="1"/>
        <v>0</v>
      </c>
      <c r="H35" s="115">
        <f t="shared" si="2"/>
        <v>0.9792511379014982</v>
      </c>
      <c r="I35" s="116"/>
      <c r="J35" s="117">
        <f>I35/((B35-F35)/(C35-G35))</f>
        <v>0</v>
      </c>
      <c r="K35" s="147">
        <f t="shared" si="3"/>
        <v>0</v>
      </c>
      <c r="L35" s="148">
        <f>MIN(I35*10^18*SUM($L$8:$L34) / ((B35-F35)*10^18), J35*10^18*SUM($L$8:$L34) / ((C35-G35)*10^18))</f>
        <v>0</v>
      </c>
      <c r="N35" s="119">
        <f>($C35-$G35+$J35)*2</f>
        <v>36153.952011323316</v>
      </c>
      <c r="O35" s="120">
        <f>SUM($I$9:$I35)-SUM($F$9:$F35)</f>
        <v>18460</v>
      </c>
      <c r="P35" s="120">
        <f>SUM($J$9:$J35)-SUM($G$9:$G35)</f>
        <v>18076.976005661658</v>
      </c>
      <c r="Q35" s="121">
        <f>$K35/N35</f>
        <v>0</v>
      </c>
      <c r="R35" s="122"/>
      <c r="S35" s="123">
        <f>IF(ROW()&lt;(ROW(A$10)+T$7),"["&amp;$A35&amp;"]", INDEX($L:$L,ROW(A$10)+T$7)/SUM($L$9:$L35))</f>
        <v>0.52811387014077649</v>
      </c>
      <c r="T35" s="124">
        <f t="shared" si="4"/>
        <v>9748.9820427987343</v>
      </c>
      <c r="U35" s="124">
        <f t="shared" si="5"/>
        <v>9546.7017587919327</v>
      </c>
      <c r="V35" s="125">
        <f t="shared" si="6"/>
        <v>19093.403517583865</v>
      </c>
      <c r="W35" s="126">
        <f t="shared" si="7"/>
        <v>19154.440687159891</v>
      </c>
      <c r="X35" s="127">
        <f t="shared" si="8"/>
        <v>-61.037169576025917</v>
      </c>
      <c r="Y35" s="128">
        <f t="shared" si="9"/>
        <v>-3.1865806249796666E-3</v>
      </c>
      <c r="AA35" s="123">
        <f>IF(ROW()&lt;(ROW(I$10)+AB$7),"["&amp;$A35&amp;"]", INDEX($L:$L,ROW(I$10)+AB$7)/SUM($L$9:$L35))</f>
        <v>0</v>
      </c>
      <c r="AB35" s="124">
        <f t="shared" si="10"/>
        <v>0</v>
      </c>
      <c r="AC35" s="124">
        <f t="shared" si="11"/>
        <v>0</v>
      </c>
      <c r="AD35" s="125">
        <f t="shared" si="12"/>
        <v>0</v>
      </c>
      <c r="AE35" s="126">
        <f t="shared" si="13"/>
        <v>0</v>
      </c>
      <c r="AF35" s="127">
        <f t="shared" si="14"/>
        <v>0</v>
      </c>
      <c r="AG35" s="128" t="str">
        <f t="shared" si="15"/>
        <v/>
      </c>
      <c r="AI35" s="123">
        <f>IF(ROW()&lt;(ROW(Q$10)+AJ$7),"["&amp;$A35&amp;"]", INDEX($L:$L,ROW(Q$10)+AJ$7)/SUM($L$9:$L35))</f>
        <v>2.9342942027724334E-3</v>
      </c>
      <c r="AJ35" s="124">
        <f t="shared" si="16"/>
        <v>54.167070983179123</v>
      </c>
      <c r="AK35" s="124">
        <f t="shared" si="17"/>
        <v>53.043165897069386</v>
      </c>
      <c r="AL35" s="125">
        <f t="shared" si="18"/>
        <v>106.08633179413877</v>
      </c>
      <c r="AM35" s="126">
        <f t="shared" si="19"/>
        <v>106.42641554145698</v>
      </c>
      <c r="AN35" s="127">
        <f t="shared" si="20"/>
        <v>-0.34008374731820368</v>
      </c>
      <c r="AO35" s="128">
        <f t="shared" si="21"/>
        <v>-3.1954824898310012E-3</v>
      </c>
      <c r="AQ35" s="123">
        <f>IF(ROW()&lt;(ROW(Y$10)+AR$7),"["&amp;$A35&amp;"]", INDEX($L:$L,ROW(Y$10)+AR$7)/SUM($L$9:$L35))</f>
        <v>1.3896269121552003E-3</v>
      </c>
      <c r="AR35" s="124">
        <f t="shared" si="22"/>
        <v>25.652512798384997</v>
      </c>
      <c r="AS35" s="124">
        <f t="shared" si="23"/>
        <v>25.120252347851256</v>
      </c>
      <c r="AT35" s="125">
        <f t="shared" si="24"/>
        <v>50.240504695702512</v>
      </c>
      <c r="AU35" s="126">
        <f t="shared" si="25"/>
        <v>50.257182241614061</v>
      </c>
      <c r="AV35" s="127">
        <f t="shared" si="26"/>
        <v>-1.6677545911548464E-2</v>
      </c>
      <c r="AW35" s="128">
        <f t="shared" si="27"/>
        <v>-3.3184403039888467E-4</v>
      </c>
    </row>
    <row r="36" spans="1:51" ht="17">
      <c r="A36" s="109" t="s">
        <v>55</v>
      </c>
      <c r="B36" s="110">
        <f>B35-F35+I35</f>
        <v>18460</v>
      </c>
      <c r="C36" s="111">
        <f>C35-G35+J35</f>
        <v>18076.976005661658</v>
      </c>
      <c r="D36" s="112">
        <f t="shared" si="0"/>
        <v>0.9792511379014982</v>
      </c>
      <c r="F36" s="113"/>
      <c r="G36" s="114">
        <f t="shared" si="1"/>
        <v>0</v>
      </c>
      <c r="H36" s="115">
        <f t="shared" si="2"/>
        <v>0.9792511379014982</v>
      </c>
      <c r="I36" s="116"/>
      <c r="J36" s="117">
        <f>I36/((B36-F36)/(C36-G36))</f>
        <v>0</v>
      </c>
      <c r="K36" s="147">
        <f t="shared" si="3"/>
        <v>0</v>
      </c>
      <c r="L36" s="148">
        <f>MIN(I36*10^18*SUM($L$8:$L35) / ((B36-F36)*10^18), J36*10^18*SUM($L$8:$L35) / ((C36-G36)*10^18))</f>
        <v>0</v>
      </c>
      <c r="N36" s="119">
        <f>($C36-$G36+$J36)*2</f>
        <v>36153.952011323316</v>
      </c>
      <c r="O36" s="120">
        <f>SUM($I$9:$I36)-SUM($F$9:$F36)</f>
        <v>18460</v>
      </c>
      <c r="P36" s="120">
        <f>SUM($J$9:$J36)-SUM($G$9:$G36)</f>
        <v>18076.976005661658</v>
      </c>
      <c r="Q36" s="121">
        <f>$K36/N36</f>
        <v>0</v>
      </c>
      <c r="R36" s="122"/>
      <c r="S36" s="123">
        <f>IF(ROW()&lt;(ROW(A$10)+T$7),"["&amp;$A36&amp;"]", INDEX($L:$L,ROW(A$10)+T$7)/SUM($L$9:$L36))</f>
        <v>0.52811387014077649</v>
      </c>
      <c r="T36" s="124">
        <f t="shared" si="4"/>
        <v>9748.9820427987343</v>
      </c>
      <c r="U36" s="124">
        <f t="shared" si="5"/>
        <v>9546.7017587919327</v>
      </c>
      <c r="V36" s="125">
        <f t="shared" si="6"/>
        <v>19093.403517583865</v>
      </c>
      <c r="W36" s="126">
        <f t="shared" si="7"/>
        <v>19154.440687159891</v>
      </c>
      <c r="X36" s="127">
        <f t="shared" si="8"/>
        <v>-61.037169576025917</v>
      </c>
      <c r="Y36" s="128">
        <f t="shared" si="9"/>
        <v>-3.1865806249796666E-3</v>
      </c>
      <c r="AA36" s="123">
        <f>IF(ROW()&lt;(ROW(I$10)+AB$7),"["&amp;$A36&amp;"]", INDEX($L:$L,ROW(I$10)+AB$7)/SUM($L$9:$L36))</f>
        <v>0</v>
      </c>
      <c r="AB36" s="124">
        <f t="shared" si="10"/>
        <v>0</v>
      </c>
      <c r="AC36" s="124">
        <f t="shared" si="11"/>
        <v>0</v>
      </c>
      <c r="AD36" s="125">
        <f t="shared" si="12"/>
        <v>0</v>
      </c>
      <c r="AE36" s="126">
        <f t="shared" si="13"/>
        <v>0</v>
      </c>
      <c r="AF36" s="127">
        <f t="shared" si="14"/>
        <v>0</v>
      </c>
      <c r="AG36" s="128" t="str">
        <f t="shared" si="15"/>
        <v/>
      </c>
      <c r="AI36" s="123">
        <f>IF(ROW()&lt;(ROW(Q$10)+AJ$7),"["&amp;$A36&amp;"]", INDEX($L:$L,ROW(Q$10)+AJ$7)/SUM($L$9:$L36))</f>
        <v>2.9342942027724334E-3</v>
      </c>
      <c r="AJ36" s="124">
        <f t="shared" si="16"/>
        <v>54.167070983179123</v>
      </c>
      <c r="AK36" s="124">
        <f t="shared" si="17"/>
        <v>53.043165897069386</v>
      </c>
      <c r="AL36" s="125">
        <f t="shared" si="18"/>
        <v>106.08633179413877</v>
      </c>
      <c r="AM36" s="126">
        <f t="shared" si="19"/>
        <v>106.42641554145698</v>
      </c>
      <c r="AN36" s="127">
        <f t="shared" si="20"/>
        <v>-0.34008374731820368</v>
      </c>
      <c r="AO36" s="128">
        <f t="shared" si="21"/>
        <v>-3.1954824898310012E-3</v>
      </c>
      <c r="AQ36" s="123">
        <f>IF(ROW()&lt;(ROW(Y$10)+AR$7),"["&amp;$A36&amp;"]", INDEX($L:$L,ROW(Y$10)+AR$7)/SUM($L$9:$L36))</f>
        <v>1.3896269121552003E-3</v>
      </c>
      <c r="AR36" s="124">
        <f t="shared" si="22"/>
        <v>25.652512798384997</v>
      </c>
      <c r="AS36" s="124">
        <f t="shared" si="23"/>
        <v>25.120252347851256</v>
      </c>
      <c r="AT36" s="125">
        <f t="shared" si="24"/>
        <v>50.240504695702512</v>
      </c>
      <c r="AU36" s="126">
        <f t="shared" si="25"/>
        <v>50.257182241614061</v>
      </c>
      <c r="AV36" s="127">
        <f t="shared" si="26"/>
        <v>-1.6677545911548464E-2</v>
      </c>
      <c r="AW36" s="128">
        <f t="shared" si="27"/>
        <v>-3.3184403039888467E-4</v>
      </c>
    </row>
    <row r="37" spans="1:51" ht="17">
      <c r="A37" s="109" t="s">
        <v>56</v>
      </c>
      <c r="B37" s="110">
        <f>B36-F36+I36</f>
        <v>18460</v>
      </c>
      <c r="C37" s="111">
        <f>C36-G36+J36</f>
        <v>18076.976005661658</v>
      </c>
      <c r="D37" s="112">
        <f t="shared" si="0"/>
        <v>0.9792511379014982</v>
      </c>
      <c r="F37" s="113"/>
      <c r="G37" s="114">
        <f t="shared" si="1"/>
        <v>0</v>
      </c>
      <c r="H37" s="115">
        <f t="shared" si="2"/>
        <v>0.9792511379014982</v>
      </c>
      <c r="I37" s="116"/>
      <c r="J37" s="117">
        <f>I37/((B37-F37)/(C37-G37))</f>
        <v>0</v>
      </c>
      <c r="K37" s="147">
        <f t="shared" si="3"/>
        <v>0</v>
      </c>
      <c r="L37" s="148">
        <f>MIN(I37*10^18*SUM($L$8:$L36) / ((B37-F37)*10^18), J37*10^18*SUM($L$8:$L36) / ((C37-G37)*10^18))</f>
        <v>0</v>
      </c>
      <c r="N37" s="119">
        <f>($C37-$G37+$J37)*2</f>
        <v>36153.952011323316</v>
      </c>
      <c r="O37" s="120">
        <f>SUM($I$9:$I37)-SUM($F$9:$F37)</f>
        <v>18460</v>
      </c>
      <c r="P37" s="120">
        <f>SUM($J$9:$J37)-SUM($G$9:$G37)</f>
        <v>18076.976005661658</v>
      </c>
      <c r="Q37" s="121">
        <f>$K37/N37</f>
        <v>0</v>
      </c>
      <c r="R37" s="122"/>
      <c r="S37" s="123">
        <f>IF(ROW()&lt;(ROW(A$10)+T$7),"["&amp;$A37&amp;"]", INDEX($L:$L,ROW(A$10)+T$7)/SUM($L$9:$L37))</f>
        <v>0.52811387014077649</v>
      </c>
      <c r="T37" s="124">
        <f t="shared" si="4"/>
        <v>9748.9820427987343</v>
      </c>
      <c r="U37" s="124">
        <f t="shared" si="5"/>
        <v>9546.7017587919327</v>
      </c>
      <c r="V37" s="125">
        <f t="shared" si="6"/>
        <v>19093.403517583865</v>
      </c>
      <c r="W37" s="126">
        <f t="shared" si="7"/>
        <v>19154.440687159891</v>
      </c>
      <c r="X37" s="127">
        <f t="shared" si="8"/>
        <v>-61.037169576025917</v>
      </c>
      <c r="Y37" s="128">
        <f t="shared" si="9"/>
        <v>-3.1865806249796666E-3</v>
      </c>
      <c r="AA37" s="123">
        <f>IF(ROW()&lt;(ROW(I$10)+AB$7),"["&amp;$A37&amp;"]", INDEX($L:$L,ROW(I$10)+AB$7)/SUM($L$9:$L37))</f>
        <v>0</v>
      </c>
      <c r="AB37" s="124">
        <f t="shared" si="10"/>
        <v>0</v>
      </c>
      <c r="AC37" s="124">
        <f t="shared" si="11"/>
        <v>0</v>
      </c>
      <c r="AD37" s="125">
        <f t="shared" si="12"/>
        <v>0</v>
      </c>
      <c r="AE37" s="126">
        <f t="shared" si="13"/>
        <v>0</v>
      </c>
      <c r="AF37" s="127">
        <f t="shared" si="14"/>
        <v>0</v>
      </c>
      <c r="AG37" s="128" t="str">
        <f t="shared" si="15"/>
        <v/>
      </c>
      <c r="AI37" s="123">
        <f>IF(ROW()&lt;(ROW(Q$10)+AJ$7),"["&amp;$A37&amp;"]", INDEX($L:$L,ROW(Q$10)+AJ$7)/SUM($L$9:$L37))</f>
        <v>2.9342942027724334E-3</v>
      </c>
      <c r="AJ37" s="124">
        <f t="shared" si="16"/>
        <v>54.167070983179123</v>
      </c>
      <c r="AK37" s="124">
        <f t="shared" si="17"/>
        <v>53.043165897069386</v>
      </c>
      <c r="AL37" s="125">
        <f t="shared" si="18"/>
        <v>106.08633179413877</v>
      </c>
      <c r="AM37" s="126">
        <f t="shared" si="19"/>
        <v>106.42641554145698</v>
      </c>
      <c r="AN37" s="127">
        <f t="shared" si="20"/>
        <v>-0.34008374731820368</v>
      </c>
      <c r="AO37" s="128">
        <f t="shared" si="21"/>
        <v>-3.1954824898310012E-3</v>
      </c>
      <c r="AQ37" s="123">
        <f>IF(ROW()&lt;(ROW(Y$10)+AR$7),"["&amp;$A37&amp;"]", INDEX($L:$L,ROW(Y$10)+AR$7)/SUM($L$9:$L37))</f>
        <v>1.3896269121552003E-3</v>
      </c>
      <c r="AR37" s="124">
        <f t="shared" si="22"/>
        <v>25.652512798384997</v>
      </c>
      <c r="AS37" s="124">
        <f t="shared" si="23"/>
        <v>25.120252347851256</v>
      </c>
      <c r="AT37" s="125">
        <f t="shared" si="24"/>
        <v>50.240504695702512</v>
      </c>
      <c r="AU37" s="126">
        <f t="shared" si="25"/>
        <v>50.257182241614061</v>
      </c>
      <c r="AV37" s="127">
        <f t="shared" si="26"/>
        <v>-1.6677545911548464E-2</v>
      </c>
      <c r="AW37" s="128">
        <f t="shared" si="27"/>
        <v>-3.3184403039888467E-4</v>
      </c>
    </row>
    <row r="38" spans="1:51" ht="17">
      <c r="A38" s="109" t="s">
        <v>57</v>
      </c>
      <c r="B38" s="110">
        <f>B37-F37+I37</f>
        <v>18460</v>
      </c>
      <c r="C38" s="111">
        <f>C37-G37+J37</f>
        <v>18076.976005661658</v>
      </c>
      <c r="D38" s="112">
        <f t="shared" si="0"/>
        <v>0.9792511379014982</v>
      </c>
      <c r="F38" s="113"/>
      <c r="G38" s="114">
        <f t="shared" si="1"/>
        <v>0</v>
      </c>
      <c r="H38" s="115">
        <f t="shared" si="2"/>
        <v>0.9792511379014982</v>
      </c>
      <c r="I38" s="116"/>
      <c r="J38" s="117">
        <f>I38/((B38-F38)/(C38-G38))</f>
        <v>0</v>
      </c>
      <c r="K38" s="147">
        <f t="shared" si="3"/>
        <v>0</v>
      </c>
      <c r="L38" s="148">
        <f>MIN(I38*10^18*SUM($L$8:$L37) / ((B38-F38)*10^18), J38*10^18*SUM($L$8:$L37) / ((C38-G38)*10^18))</f>
        <v>0</v>
      </c>
      <c r="N38" s="119">
        <f>($C38-$G38+$J38)*2</f>
        <v>36153.952011323316</v>
      </c>
      <c r="O38" s="120">
        <f>SUM($I$9:$I38)-SUM($F$9:$F38)</f>
        <v>18460</v>
      </c>
      <c r="P38" s="120">
        <f>SUM($J$9:$J38)-SUM($G$9:$G38)</f>
        <v>18076.976005661658</v>
      </c>
      <c r="Q38" s="121">
        <f>$K38/N38</f>
        <v>0</v>
      </c>
      <c r="R38" s="122"/>
      <c r="S38" s="123">
        <f>IF(ROW()&lt;(ROW(A$10)+T$7),"["&amp;$A38&amp;"]", INDEX($L:$L,ROW(A$10)+T$7)/SUM($L$9:$L38))</f>
        <v>0.52811387014077649</v>
      </c>
      <c r="T38" s="124">
        <f t="shared" si="4"/>
        <v>9748.9820427987343</v>
      </c>
      <c r="U38" s="124">
        <f t="shared" si="5"/>
        <v>9546.7017587919327</v>
      </c>
      <c r="V38" s="125">
        <f t="shared" si="6"/>
        <v>19093.403517583865</v>
      </c>
      <c r="W38" s="126">
        <f t="shared" si="7"/>
        <v>19154.440687159891</v>
      </c>
      <c r="X38" s="127">
        <f t="shared" si="8"/>
        <v>-61.037169576025917</v>
      </c>
      <c r="Y38" s="128">
        <f t="shared" si="9"/>
        <v>-3.1865806249796666E-3</v>
      </c>
      <c r="AA38" s="123">
        <f>IF(ROW()&lt;(ROW(I$10)+AB$7),"["&amp;$A38&amp;"]", INDEX($L:$L,ROW(I$10)+AB$7)/SUM($L$9:$L38))</f>
        <v>0</v>
      </c>
      <c r="AB38" s="124">
        <f t="shared" si="10"/>
        <v>0</v>
      </c>
      <c r="AC38" s="124">
        <f t="shared" si="11"/>
        <v>0</v>
      </c>
      <c r="AD38" s="125">
        <f t="shared" si="12"/>
        <v>0</v>
      </c>
      <c r="AE38" s="126">
        <f t="shared" si="13"/>
        <v>0</v>
      </c>
      <c r="AF38" s="127">
        <f t="shared" si="14"/>
        <v>0</v>
      </c>
      <c r="AG38" s="128" t="str">
        <f t="shared" si="15"/>
        <v/>
      </c>
      <c r="AI38" s="123">
        <f>IF(ROW()&lt;(ROW(Q$10)+AJ$7),"["&amp;$A38&amp;"]", INDEX($L:$L,ROW(Q$10)+AJ$7)/SUM($L$9:$L38))</f>
        <v>2.9342942027724334E-3</v>
      </c>
      <c r="AJ38" s="124">
        <f t="shared" si="16"/>
        <v>54.167070983179123</v>
      </c>
      <c r="AK38" s="124">
        <f t="shared" si="17"/>
        <v>53.043165897069386</v>
      </c>
      <c r="AL38" s="125">
        <f t="shared" si="18"/>
        <v>106.08633179413877</v>
      </c>
      <c r="AM38" s="126">
        <f t="shared" si="19"/>
        <v>106.42641554145698</v>
      </c>
      <c r="AN38" s="127">
        <f t="shared" si="20"/>
        <v>-0.34008374731820368</v>
      </c>
      <c r="AO38" s="128">
        <f t="shared" si="21"/>
        <v>-3.1954824898310012E-3</v>
      </c>
      <c r="AQ38" s="123">
        <f>IF(ROW()&lt;(ROW(Y$10)+AR$7),"["&amp;$A38&amp;"]", INDEX($L:$L,ROW(Y$10)+AR$7)/SUM($L$9:$L38))</f>
        <v>1.3896269121552003E-3</v>
      </c>
      <c r="AR38" s="124">
        <f t="shared" si="22"/>
        <v>25.652512798384997</v>
      </c>
      <c r="AS38" s="124">
        <f t="shared" si="23"/>
        <v>25.120252347851256</v>
      </c>
      <c r="AT38" s="125">
        <f t="shared" si="24"/>
        <v>50.240504695702512</v>
      </c>
      <c r="AU38" s="126">
        <f t="shared" si="25"/>
        <v>50.257182241614061</v>
      </c>
      <c r="AV38" s="127">
        <f t="shared" si="26"/>
        <v>-1.6677545911548464E-2</v>
      </c>
      <c r="AW38" s="128">
        <f t="shared" si="27"/>
        <v>-3.3184403039888467E-4</v>
      </c>
    </row>
    <row r="39" spans="1:51" ht="17">
      <c r="A39" s="109" t="s">
        <v>58</v>
      </c>
      <c r="B39" s="110">
        <f>B38-F38+I38</f>
        <v>18460</v>
      </c>
      <c r="C39" s="111">
        <f>C38-G38+J38</f>
        <v>18076.976005661658</v>
      </c>
      <c r="D39" s="112">
        <f t="shared" si="0"/>
        <v>0.9792511379014982</v>
      </c>
      <c r="F39" s="113"/>
      <c r="G39" s="114">
        <f t="shared" si="1"/>
        <v>0</v>
      </c>
      <c r="H39" s="115">
        <f t="shared" si="2"/>
        <v>0.9792511379014982</v>
      </c>
      <c r="I39" s="116"/>
      <c r="J39" s="117">
        <f>I39/((B39-F39)/(C39-G39))</f>
        <v>0</v>
      </c>
      <c r="K39" s="147">
        <f t="shared" si="3"/>
        <v>0</v>
      </c>
      <c r="L39" s="148">
        <f>MIN(I39*10^18*SUM($L$8:$L38) / ((B39-F39)*10^18), J39*10^18*SUM($L$8:$L38) / ((C39-G39)*10^18))</f>
        <v>0</v>
      </c>
      <c r="N39" s="119">
        <f>($C39-$G39+$J39)*2</f>
        <v>36153.952011323316</v>
      </c>
      <c r="O39" s="120">
        <f>SUM($I$9:$I39)-SUM($F$9:$F39)</f>
        <v>18460</v>
      </c>
      <c r="P39" s="120">
        <f>SUM($J$9:$J39)-SUM($G$9:$G39)</f>
        <v>18076.976005661658</v>
      </c>
      <c r="Q39" s="121">
        <f>$K39/N39</f>
        <v>0</v>
      </c>
      <c r="R39" s="122"/>
      <c r="S39" s="123">
        <f>IF(ROW()&lt;(ROW(A$10)+T$7),"["&amp;$A39&amp;"]", INDEX($L:$L,ROW(A$10)+T$7)/SUM($L$9:$L39))</f>
        <v>0.52811387014077649</v>
      </c>
      <c r="T39" s="124">
        <f t="shared" si="4"/>
        <v>9748.9820427987343</v>
      </c>
      <c r="U39" s="124">
        <f t="shared" si="5"/>
        <v>9546.7017587919327</v>
      </c>
      <c r="V39" s="125">
        <f t="shared" si="6"/>
        <v>19093.403517583865</v>
      </c>
      <c r="W39" s="126">
        <f t="shared" si="7"/>
        <v>19154.440687159891</v>
      </c>
      <c r="X39" s="127">
        <f t="shared" si="8"/>
        <v>-61.037169576025917</v>
      </c>
      <c r="Y39" s="128">
        <f t="shared" si="9"/>
        <v>-3.1865806249796666E-3</v>
      </c>
      <c r="AA39" s="123">
        <f>IF(ROW()&lt;(ROW(I$10)+AB$7),"["&amp;$A39&amp;"]", INDEX($L:$L,ROW(I$10)+AB$7)/SUM($L$9:$L39))</f>
        <v>0</v>
      </c>
      <c r="AB39" s="124">
        <f t="shared" si="10"/>
        <v>0</v>
      </c>
      <c r="AC39" s="124">
        <f t="shared" si="11"/>
        <v>0</v>
      </c>
      <c r="AD39" s="125">
        <f t="shared" si="12"/>
        <v>0</v>
      </c>
      <c r="AE39" s="126">
        <f t="shared" si="13"/>
        <v>0</v>
      </c>
      <c r="AF39" s="127">
        <f t="shared" si="14"/>
        <v>0</v>
      </c>
      <c r="AG39" s="128" t="str">
        <f t="shared" si="15"/>
        <v/>
      </c>
      <c r="AI39" s="123">
        <f>IF(ROW()&lt;(ROW(Q$10)+AJ$7),"["&amp;$A39&amp;"]", INDEX($L:$L,ROW(Q$10)+AJ$7)/SUM($L$9:$L39))</f>
        <v>2.9342942027724334E-3</v>
      </c>
      <c r="AJ39" s="124">
        <f t="shared" si="16"/>
        <v>54.167070983179123</v>
      </c>
      <c r="AK39" s="124">
        <f t="shared" si="17"/>
        <v>53.043165897069386</v>
      </c>
      <c r="AL39" s="125">
        <f t="shared" si="18"/>
        <v>106.08633179413877</v>
      </c>
      <c r="AM39" s="126">
        <f t="shared" si="19"/>
        <v>106.42641554145698</v>
      </c>
      <c r="AN39" s="127">
        <f t="shared" si="20"/>
        <v>-0.34008374731820368</v>
      </c>
      <c r="AO39" s="128">
        <f t="shared" si="21"/>
        <v>-3.1954824898310012E-3</v>
      </c>
      <c r="AQ39" s="123">
        <f>IF(ROW()&lt;(ROW(Y$10)+AR$7),"["&amp;$A39&amp;"]", INDEX($L:$L,ROW(Y$10)+AR$7)/SUM($L$9:$L39))</f>
        <v>1.3896269121552003E-3</v>
      </c>
      <c r="AR39" s="124">
        <f t="shared" si="22"/>
        <v>25.652512798384997</v>
      </c>
      <c r="AS39" s="124">
        <f t="shared" si="23"/>
        <v>25.120252347851256</v>
      </c>
      <c r="AT39" s="125">
        <f t="shared" si="24"/>
        <v>50.240504695702512</v>
      </c>
      <c r="AU39" s="126">
        <f t="shared" si="25"/>
        <v>50.257182241614061</v>
      </c>
      <c r="AV39" s="127">
        <f t="shared" si="26"/>
        <v>-1.6677545911548464E-2</v>
      </c>
      <c r="AW39" s="128">
        <f t="shared" si="27"/>
        <v>-3.3184403039888467E-4</v>
      </c>
    </row>
    <row r="40" spans="1:51" ht="17">
      <c r="A40" s="109" t="s">
        <v>62</v>
      </c>
      <c r="B40" s="110">
        <f>B39-F39+I39</f>
        <v>18460</v>
      </c>
      <c r="C40" s="111">
        <f>C39-G39+J39</f>
        <v>18076.976005661658</v>
      </c>
      <c r="D40" s="112">
        <f t="shared" si="0"/>
        <v>0.9792511379014982</v>
      </c>
      <c r="F40" s="113"/>
      <c r="G40" s="114">
        <f t="shared" si="1"/>
        <v>0</v>
      </c>
      <c r="H40" s="115">
        <f t="shared" si="2"/>
        <v>0.9792511379014982</v>
      </c>
      <c r="I40" s="116"/>
      <c r="J40" s="117">
        <f>I40/((B40-F40)/(C40-G40))</f>
        <v>0</v>
      </c>
      <c r="K40" s="147">
        <f t="shared" si="3"/>
        <v>0</v>
      </c>
      <c r="L40" s="148">
        <f>MIN(I40*10^18*SUM($L$8:$L39) / ((B40-F40)*10^18), J40*10^18*SUM($L$8:$L39) / ((C40-G40)*10^18))</f>
        <v>0</v>
      </c>
      <c r="N40" s="119">
        <f>($C40-$G40+$J40)*2</f>
        <v>36153.952011323316</v>
      </c>
      <c r="O40" s="120">
        <f>SUM($I$9:$I40)-SUM($F$9:$F40)</f>
        <v>18460</v>
      </c>
      <c r="P40" s="120">
        <f>SUM($J$9:$J40)-SUM($G$9:$G40)</f>
        <v>18076.976005661658</v>
      </c>
      <c r="Q40" s="121">
        <f>$K40/N40</f>
        <v>0</v>
      </c>
      <c r="R40" s="122"/>
      <c r="S40" s="123">
        <f>IF(ROW()&lt;(ROW(A$10)+T$7),"["&amp;$A40&amp;"]", INDEX($L:$L,ROW(A$10)+T$7)/SUM($L$9:$L40))</f>
        <v>0.52811387014077649</v>
      </c>
      <c r="T40" s="124">
        <f t="shared" si="4"/>
        <v>9748.9820427987343</v>
      </c>
      <c r="U40" s="124">
        <f t="shared" si="5"/>
        <v>9546.7017587919327</v>
      </c>
      <c r="V40" s="125">
        <f t="shared" si="6"/>
        <v>19093.403517583865</v>
      </c>
      <c r="W40" s="126">
        <f t="shared" si="7"/>
        <v>19154.440687159891</v>
      </c>
      <c r="X40" s="127">
        <f t="shared" si="8"/>
        <v>-61.037169576025917</v>
      </c>
      <c r="Y40" s="128">
        <f t="shared" si="9"/>
        <v>-3.1865806249796666E-3</v>
      </c>
      <c r="AA40" s="123">
        <f>IF(ROW()&lt;(ROW(I$10)+AB$7),"["&amp;$A40&amp;"]", INDEX($L:$L,ROW(I$10)+AB$7)/SUM($L$9:$L40))</f>
        <v>0</v>
      </c>
      <c r="AB40" s="124">
        <f t="shared" si="10"/>
        <v>0</v>
      </c>
      <c r="AC40" s="124">
        <f t="shared" si="11"/>
        <v>0</v>
      </c>
      <c r="AD40" s="125">
        <f t="shared" si="12"/>
        <v>0</v>
      </c>
      <c r="AE40" s="126">
        <f t="shared" si="13"/>
        <v>0</v>
      </c>
      <c r="AF40" s="127">
        <f t="shared" si="14"/>
        <v>0</v>
      </c>
      <c r="AG40" s="128" t="str">
        <f t="shared" si="15"/>
        <v/>
      </c>
      <c r="AI40" s="123">
        <f>IF(ROW()&lt;(ROW(Q$10)+AJ$7),"["&amp;$A40&amp;"]", INDEX($L:$L,ROW(Q$10)+AJ$7)/SUM($L$9:$L40))</f>
        <v>2.9342942027724334E-3</v>
      </c>
      <c r="AJ40" s="124">
        <f t="shared" si="16"/>
        <v>54.167070983179123</v>
      </c>
      <c r="AK40" s="124">
        <f t="shared" si="17"/>
        <v>53.043165897069386</v>
      </c>
      <c r="AL40" s="125">
        <f t="shared" si="18"/>
        <v>106.08633179413877</v>
      </c>
      <c r="AM40" s="126">
        <f t="shared" si="19"/>
        <v>106.42641554145698</v>
      </c>
      <c r="AN40" s="127">
        <f t="shared" si="20"/>
        <v>-0.34008374731820368</v>
      </c>
      <c r="AO40" s="128">
        <f t="shared" si="21"/>
        <v>-3.1954824898310012E-3</v>
      </c>
      <c r="AQ40" s="123">
        <f>IF(ROW()&lt;(ROW(Y$10)+AR$7),"["&amp;$A40&amp;"]", INDEX($L:$L,ROW(Y$10)+AR$7)/SUM($L$9:$L40))</f>
        <v>1.3896269121552003E-3</v>
      </c>
      <c r="AR40" s="124">
        <f t="shared" si="22"/>
        <v>25.652512798384997</v>
      </c>
      <c r="AS40" s="124">
        <f t="shared" si="23"/>
        <v>25.120252347851256</v>
      </c>
      <c r="AT40" s="125">
        <f t="shared" si="24"/>
        <v>50.240504695702512</v>
      </c>
      <c r="AU40" s="126">
        <f t="shared" si="25"/>
        <v>50.257182241614061</v>
      </c>
      <c r="AV40" s="127">
        <f t="shared" si="26"/>
        <v>-1.6677545911548464E-2</v>
      </c>
      <c r="AW40" s="128">
        <f t="shared" si="27"/>
        <v>-3.3184403039888467E-4</v>
      </c>
    </row>
    <row r="41" spans="1:51" ht="17">
      <c r="A41" s="109" t="s">
        <v>59</v>
      </c>
      <c r="B41" s="110">
        <f>B40-F40+I40</f>
        <v>18460</v>
      </c>
      <c r="C41" s="111">
        <f>C40-G40+J40</f>
        <v>18076.976005661658</v>
      </c>
      <c r="D41" s="112">
        <f t="shared" si="0"/>
        <v>0.9792511379014982</v>
      </c>
      <c r="F41" s="113"/>
      <c r="G41" s="114">
        <f t="shared" si="1"/>
        <v>0</v>
      </c>
      <c r="H41" s="115">
        <f t="shared" si="2"/>
        <v>0.9792511379014982</v>
      </c>
      <c r="I41" s="116"/>
      <c r="J41" s="117">
        <f>I41/((B41-F41)/(C41-G41))</f>
        <v>0</v>
      </c>
      <c r="K41" s="147">
        <f t="shared" si="3"/>
        <v>0</v>
      </c>
      <c r="L41" s="148">
        <f>MIN(I41*10^18*SUM($L$8:$L40) / ((B41-F41)*10^18), J41*10^18*SUM($L$8:$L40) / ((C41-G41)*10^18))</f>
        <v>0</v>
      </c>
      <c r="N41" s="119">
        <f>($C41-$G41+$J41)*2</f>
        <v>36153.952011323316</v>
      </c>
      <c r="O41" s="120">
        <f>SUM($I$9:$I41)-SUM($F$9:$F41)</f>
        <v>18460</v>
      </c>
      <c r="P41" s="120">
        <f>SUM($J$9:$J41)-SUM($G$9:$G41)</f>
        <v>18076.976005661658</v>
      </c>
      <c r="Q41" s="121">
        <f>$K41/N41</f>
        <v>0</v>
      </c>
      <c r="R41" s="122"/>
      <c r="S41" s="123">
        <f>IF(ROW()&lt;(ROW(A$10)+T$7),"["&amp;$A41&amp;"]", INDEX($L:$L,ROW(A$10)+T$7)/SUM($L$9:$L41))</f>
        <v>0.52811387014077649</v>
      </c>
      <c r="T41" s="124">
        <f t="shared" si="4"/>
        <v>9748.9820427987343</v>
      </c>
      <c r="U41" s="124">
        <f t="shared" si="5"/>
        <v>9546.7017587919327</v>
      </c>
      <c r="V41" s="125">
        <f t="shared" si="6"/>
        <v>19093.403517583865</v>
      </c>
      <c r="W41" s="126">
        <f t="shared" si="7"/>
        <v>19154.440687159891</v>
      </c>
      <c r="X41" s="127">
        <f t="shared" si="8"/>
        <v>-61.037169576025917</v>
      </c>
      <c r="Y41" s="128">
        <f t="shared" si="9"/>
        <v>-3.1865806249796666E-3</v>
      </c>
      <c r="AA41" s="123">
        <f>IF(ROW()&lt;(ROW(I$10)+AB$7),"["&amp;$A41&amp;"]", INDEX($L:$L,ROW(I$10)+AB$7)/SUM($L$9:$L41))</f>
        <v>0</v>
      </c>
      <c r="AB41" s="124">
        <f t="shared" si="10"/>
        <v>0</v>
      </c>
      <c r="AC41" s="124">
        <f t="shared" si="11"/>
        <v>0</v>
      </c>
      <c r="AD41" s="125">
        <f t="shared" si="12"/>
        <v>0</v>
      </c>
      <c r="AE41" s="126">
        <f t="shared" si="13"/>
        <v>0</v>
      </c>
      <c r="AF41" s="127">
        <f t="shared" si="14"/>
        <v>0</v>
      </c>
      <c r="AG41" s="128" t="str">
        <f t="shared" si="15"/>
        <v/>
      </c>
      <c r="AI41" s="123">
        <f>IF(ROW()&lt;(ROW(Q$10)+AJ$7),"["&amp;$A41&amp;"]", INDEX($L:$L,ROW(Q$10)+AJ$7)/SUM($L$9:$L41))</f>
        <v>2.9342942027724334E-3</v>
      </c>
      <c r="AJ41" s="124">
        <f t="shared" si="16"/>
        <v>54.167070983179123</v>
      </c>
      <c r="AK41" s="124">
        <f t="shared" si="17"/>
        <v>53.043165897069386</v>
      </c>
      <c r="AL41" s="125">
        <f t="shared" si="18"/>
        <v>106.08633179413877</v>
      </c>
      <c r="AM41" s="126">
        <f t="shared" si="19"/>
        <v>106.42641554145698</v>
      </c>
      <c r="AN41" s="127">
        <f t="shared" si="20"/>
        <v>-0.34008374731820368</v>
      </c>
      <c r="AO41" s="128">
        <f t="shared" si="21"/>
        <v>-3.1954824898310012E-3</v>
      </c>
      <c r="AQ41" s="123">
        <f>IF(ROW()&lt;(ROW(Y$10)+AR$7),"["&amp;$A41&amp;"]", INDEX($L:$L,ROW(Y$10)+AR$7)/SUM($L$9:$L41))</f>
        <v>1.3896269121552003E-3</v>
      </c>
      <c r="AR41" s="124">
        <f t="shared" si="22"/>
        <v>25.652512798384997</v>
      </c>
      <c r="AS41" s="124">
        <f t="shared" si="23"/>
        <v>25.120252347851256</v>
      </c>
      <c r="AT41" s="125">
        <f t="shared" si="24"/>
        <v>50.240504695702512</v>
      </c>
      <c r="AU41" s="126">
        <f t="shared" si="25"/>
        <v>50.257182241614061</v>
      </c>
      <c r="AV41" s="127">
        <f t="shared" si="26"/>
        <v>-1.6677545911548464E-2</v>
      </c>
      <c r="AW41" s="128">
        <f t="shared" si="27"/>
        <v>-3.3184403039888467E-4</v>
      </c>
    </row>
    <row r="42" spans="1:51" ht="17">
      <c r="A42" s="109" t="s">
        <v>60</v>
      </c>
      <c r="B42" s="110">
        <f>B41-F41+I41</f>
        <v>18460</v>
      </c>
      <c r="C42" s="111">
        <f>C41-G41+J41</f>
        <v>18076.976005661658</v>
      </c>
      <c r="D42" s="112">
        <f t="shared" si="0"/>
        <v>0.9792511379014982</v>
      </c>
      <c r="F42" s="113"/>
      <c r="G42" s="114">
        <f t="shared" si="1"/>
        <v>0</v>
      </c>
      <c r="H42" s="115">
        <f t="shared" si="2"/>
        <v>0.9792511379014982</v>
      </c>
      <c r="I42" s="116"/>
      <c r="J42" s="117">
        <f>I42/((B42-F42)/(C42-G42))</f>
        <v>0</v>
      </c>
      <c r="K42" s="147">
        <f t="shared" si="3"/>
        <v>0</v>
      </c>
      <c r="L42" s="148">
        <f>MIN(I42*10^18*SUM($L$8:$L41) / ((B42-F42)*10^18), J42*10^18*SUM($L$8:$L41) / ((C42-G42)*10^18))</f>
        <v>0</v>
      </c>
      <c r="N42" s="119">
        <f>($C42-$G42+$J42)*2</f>
        <v>36153.952011323316</v>
      </c>
      <c r="O42" s="120">
        <f>SUM($I$9:$I42)-SUM($F$9:$F42)</f>
        <v>18460</v>
      </c>
      <c r="P42" s="120">
        <f>SUM($J$9:$J42)-SUM($G$9:$G42)</f>
        <v>18076.976005661658</v>
      </c>
      <c r="Q42" s="121">
        <f>$K42/N42</f>
        <v>0</v>
      </c>
      <c r="R42" s="122"/>
      <c r="S42" s="123">
        <f>IF(ROW()&lt;(ROW(A$10)+T$7),"["&amp;$A42&amp;"]", INDEX($L:$L,ROW(A$10)+T$7)/SUM($L$9:$L42))</f>
        <v>0.52811387014077649</v>
      </c>
      <c r="T42" s="124">
        <f t="shared" si="4"/>
        <v>9748.9820427987343</v>
      </c>
      <c r="U42" s="124">
        <f t="shared" si="5"/>
        <v>9546.7017587919327</v>
      </c>
      <c r="V42" s="125">
        <f t="shared" si="6"/>
        <v>19093.403517583865</v>
      </c>
      <c r="W42" s="126">
        <f t="shared" si="7"/>
        <v>19154.440687159891</v>
      </c>
      <c r="X42" s="127">
        <f t="shared" si="8"/>
        <v>-61.037169576025917</v>
      </c>
      <c r="Y42" s="128">
        <f t="shared" si="9"/>
        <v>-3.1865806249796666E-3</v>
      </c>
      <c r="AA42" s="123">
        <f>IF(ROW()&lt;(ROW(I$10)+AB$7),"["&amp;$A42&amp;"]", INDEX($L:$L,ROW(I$10)+AB$7)/SUM($L$9:$L42))</f>
        <v>0</v>
      </c>
      <c r="AB42" s="124">
        <f t="shared" si="10"/>
        <v>0</v>
      </c>
      <c r="AC42" s="124">
        <f t="shared" si="11"/>
        <v>0</v>
      </c>
      <c r="AD42" s="125">
        <f t="shared" si="12"/>
        <v>0</v>
      </c>
      <c r="AE42" s="126">
        <f t="shared" si="13"/>
        <v>0</v>
      </c>
      <c r="AF42" s="127">
        <f t="shared" si="14"/>
        <v>0</v>
      </c>
      <c r="AG42" s="128" t="str">
        <f t="shared" si="15"/>
        <v/>
      </c>
      <c r="AI42" s="123">
        <f>IF(ROW()&lt;(ROW(Q$10)+AJ$7),"["&amp;$A42&amp;"]", INDEX($L:$L,ROW(Q$10)+AJ$7)/SUM($L$9:$L42))</f>
        <v>2.9342942027724334E-3</v>
      </c>
      <c r="AJ42" s="124">
        <f t="shared" si="16"/>
        <v>54.167070983179123</v>
      </c>
      <c r="AK42" s="124">
        <f t="shared" si="17"/>
        <v>53.043165897069386</v>
      </c>
      <c r="AL42" s="125">
        <f t="shared" si="18"/>
        <v>106.08633179413877</v>
      </c>
      <c r="AM42" s="126">
        <f t="shared" si="19"/>
        <v>106.42641554145698</v>
      </c>
      <c r="AN42" s="127">
        <f t="shared" si="20"/>
        <v>-0.34008374731820368</v>
      </c>
      <c r="AO42" s="128">
        <f t="shared" si="21"/>
        <v>-3.1954824898310012E-3</v>
      </c>
      <c r="AQ42" s="123">
        <f>IF(ROW()&lt;(ROW(Y$10)+AR$7),"["&amp;$A42&amp;"]", INDEX($L:$L,ROW(Y$10)+AR$7)/SUM($L$9:$L42))</f>
        <v>1.3896269121552003E-3</v>
      </c>
      <c r="AR42" s="124">
        <f t="shared" si="22"/>
        <v>25.652512798384997</v>
      </c>
      <c r="AS42" s="124">
        <f t="shared" si="23"/>
        <v>25.120252347851256</v>
      </c>
      <c r="AT42" s="125">
        <f t="shared" si="24"/>
        <v>50.240504695702512</v>
      </c>
      <c r="AU42" s="126">
        <f t="shared" si="25"/>
        <v>50.257182241614061</v>
      </c>
      <c r="AV42" s="127">
        <f t="shared" si="26"/>
        <v>-1.6677545911548464E-2</v>
      </c>
      <c r="AW42" s="128">
        <f t="shared" si="27"/>
        <v>-3.3184403039888467E-4</v>
      </c>
    </row>
    <row r="43" spans="1:51" ht="17">
      <c r="A43" s="109" t="s">
        <v>61</v>
      </c>
      <c r="B43" s="110">
        <f>B42-F42+I42</f>
        <v>18460</v>
      </c>
      <c r="C43" s="111">
        <f>C42-G42+J42</f>
        <v>18076.976005661658</v>
      </c>
      <c r="D43" s="112">
        <f t="shared" si="0"/>
        <v>0.9792511379014982</v>
      </c>
      <c r="F43" s="113"/>
      <c r="G43" s="114">
        <f t="shared" si="1"/>
        <v>0</v>
      </c>
      <c r="H43" s="115">
        <f t="shared" si="2"/>
        <v>0.9792511379014982</v>
      </c>
      <c r="I43" s="116"/>
      <c r="J43" s="117">
        <f>I43/((B43-F43)/(C43-G43))</f>
        <v>0</v>
      </c>
      <c r="K43" s="147">
        <f t="shared" si="3"/>
        <v>0</v>
      </c>
      <c r="L43" s="148">
        <f>MIN(I43*10^18*SUM($L$8:$L42) / ((B43-F43)*10^18), J43*10^18*SUM($L$8:$L42) / ((C43-G43)*10^18))</f>
        <v>0</v>
      </c>
      <c r="N43" s="119">
        <f>($C43-$G43+$J43)*2</f>
        <v>36153.952011323316</v>
      </c>
      <c r="O43" s="120">
        <f>SUM($I$9:$I43)-SUM($F$9:$F43)</f>
        <v>18460</v>
      </c>
      <c r="P43" s="120">
        <f>SUM($J$9:$J43)-SUM($G$9:$G43)</f>
        <v>18076.976005661658</v>
      </c>
      <c r="Q43" s="121">
        <f>$K43/N43</f>
        <v>0</v>
      </c>
      <c r="R43" s="122"/>
      <c r="S43" s="123">
        <f>IF(ROW()&lt;(ROW(A$10)+T$7),"["&amp;$A43&amp;"]", INDEX($L:$L,ROW(A$10)+T$7)/SUM($L$9:$L43))</f>
        <v>0.52811387014077649</v>
      </c>
      <c r="T43" s="124">
        <f t="shared" si="4"/>
        <v>9748.9820427987343</v>
      </c>
      <c r="U43" s="124">
        <f t="shared" si="5"/>
        <v>9546.7017587919327</v>
      </c>
      <c r="V43" s="125">
        <f t="shared" si="6"/>
        <v>19093.403517583865</v>
      </c>
      <c r="W43" s="126">
        <f t="shared" si="7"/>
        <v>19154.440687159891</v>
      </c>
      <c r="X43" s="127">
        <f t="shared" si="8"/>
        <v>-61.037169576025917</v>
      </c>
      <c r="Y43" s="128">
        <f t="shared" si="9"/>
        <v>-3.1865806249796666E-3</v>
      </c>
      <c r="AA43" s="123">
        <f>IF(ROW()&lt;(ROW(I$10)+AB$7),"["&amp;$A43&amp;"]", INDEX($L:$L,ROW(I$10)+AB$7)/SUM($L$9:$L43))</f>
        <v>0</v>
      </c>
      <c r="AB43" s="124">
        <f t="shared" si="10"/>
        <v>0</v>
      </c>
      <c r="AC43" s="124">
        <f t="shared" si="11"/>
        <v>0</v>
      </c>
      <c r="AD43" s="125">
        <f t="shared" si="12"/>
        <v>0</v>
      </c>
      <c r="AE43" s="126">
        <f t="shared" si="13"/>
        <v>0</v>
      </c>
      <c r="AF43" s="127">
        <f t="shared" si="14"/>
        <v>0</v>
      </c>
      <c r="AG43" s="128" t="str">
        <f t="shared" si="15"/>
        <v/>
      </c>
      <c r="AI43" s="123">
        <f>IF(ROW()&lt;(ROW(Q$10)+AJ$7),"["&amp;$A43&amp;"]", INDEX($L:$L,ROW(Q$10)+AJ$7)/SUM($L$9:$L43))</f>
        <v>2.9342942027724334E-3</v>
      </c>
      <c r="AJ43" s="124">
        <f t="shared" si="16"/>
        <v>54.167070983179123</v>
      </c>
      <c r="AK43" s="124">
        <f t="shared" si="17"/>
        <v>53.043165897069386</v>
      </c>
      <c r="AL43" s="125">
        <f t="shared" si="18"/>
        <v>106.08633179413877</v>
      </c>
      <c r="AM43" s="126">
        <f t="shared" si="19"/>
        <v>106.42641554145698</v>
      </c>
      <c r="AN43" s="127">
        <f t="shared" si="20"/>
        <v>-0.34008374731820368</v>
      </c>
      <c r="AO43" s="128">
        <f t="shared" si="21"/>
        <v>-3.1954824898310012E-3</v>
      </c>
      <c r="AQ43" s="123">
        <f>IF(ROW()&lt;(ROW(Y$10)+AR$7),"["&amp;$A43&amp;"]", INDEX($L:$L,ROW(Y$10)+AR$7)/SUM($L$9:$L43))</f>
        <v>1.3896269121552003E-3</v>
      </c>
      <c r="AR43" s="124">
        <f t="shared" si="22"/>
        <v>25.652512798384997</v>
      </c>
      <c r="AS43" s="124">
        <f t="shared" si="23"/>
        <v>25.120252347851256</v>
      </c>
      <c r="AT43" s="125">
        <f t="shared" si="24"/>
        <v>50.240504695702512</v>
      </c>
      <c r="AU43" s="126">
        <f t="shared" si="25"/>
        <v>50.257182241614061</v>
      </c>
      <c r="AV43" s="127">
        <f t="shared" si="26"/>
        <v>-1.6677545911548464E-2</v>
      </c>
      <c r="AW43" s="128">
        <f t="shared" si="27"/>
        <v>-3.3184403039888467E-4</v>
      </c>
    </row>
    <row r="44" spans="1:51" ht="17">
      <c r="A44" s="109" t="s">
        <v>63</v>
      </c>
      <c r="B44" s="110">
        <f>B43-F43+I43</f>
        <v>18460</v>
      </c>
      <c r="C44" s="111">
        <f>C43-G43+J43</f>
        <v>18076.976005661658</v>
      </c>
      <c r="D44" s="112">
        <f t="shared" si="0"/>
        <v>0.9792511379014982</v>
      </c>
      <c r="F44" s="113"/>
      <c r="G44" s="114">
        <f t="shared" si="1"/>
        <v>0</v>
      </c>
      <c r="H44" s="115">
        <f t="shared" si="2"/>
        <v>0.9792511379014982</v>
      </c>
      <c r="I44" s="116"/>
      <c r="J44" s="117">
        <f>I44/((B44-F44)/(C44-G44))</f>
        <v>0</v>
      </c>
      <c r="K44" s="147">
        <f t="shared" si="3"/>
        <v>0</v>
      </c>
      <c r="L44" s="148">
        <f>MIN(I44*10^18*SUM($L$8:$L43) / ((B44-F44)*10^18), J44*10^18*SUM($L$8:$L43) / ((C44-G44)*10^18))</f>
        <v>0</v>
      </c>
      <c r="N44" s="119">
        <f>($C44-$G44+$J44)*2</f>
        <v>36153.952011323316</v>
      </c>
      <c r="O44" s="120">
        <f>SUM($I$9:$I44)-SUM($F$9:$F44)</f>
        <v>18460</v>
      </c>
      <c r="P44" s="120">
        <f>SUM($J$9:$J44)-SUM($G$9:$G44)</f>
        <v>18076.976005661658</v>
      </c>
      <c r="Q44" s="121">
        <f>$K44/N44</f>
        <v>0</v>
      </c>
      <c r="R44" s="122"/>
      <c r="S44" s="123">
        <f>IF(ROW()&lt;(ROW(A$10)+T$7),"["&amp;$A44&amp;"]", INDEX($L:$L,ROW(A$10)+T$7)/SUM($L$9:$L44))</f>
        <v>0.52811387014077649</v>
      </c>
      <c r="T44" s="124">
        <f t="shared" si="4"/>
        <v>9748.9820427987343</v>
      </c>
      <c r="U44" s="124">
        <f t="shared" si="5"/>
        <v>9546.7017587919327</v>
      </c>
      <c r="V44" s="125">
        <f t="shared" si="6"/>
        <v>19093.403517583865</v>
      </c>
      <c r="W44" s="126">
        <f t="shared" si="7"/>
        <v>19154.440687159891</v>
      </c>
      <c r="X44" s="127">
        <f t="shared" si="8"/>
        <v>-61.037169576025917</v>
      </c>
      <c r="Y44" s="128">
        <f t="shared" si="9"/>
        <v>-3.1865806249796666E-3</v>
      </c>
      <c r="AA44" s="123">
        <f>IF(ROW()&lt;(ROW(I$10)+AB$7),"["&amp;$A44&amp;"]", INDEX($L:$L,ROW(I$10)+AB$7)/SUM($L$9:$L44))</f>
        <v>0</v>
      </c>
      <c r="AB44" s="124">
        <f t="shared" si="10"/>
        <v>0</v>
      </c>
      <c r="AC44" s="124">
        <f t="shared" si="11"/>
        <v>0</v>
      </c>
      <c r="AD44" s="125">
        <f t="shared" si="12"/>
        <v>0</v>
      </c>
      <c r="AE44" s="126">
        <f t="shared" si="13"/>
        <v>0</v>
      </c>
      <c r="AF44" s="127">
        <f t="shared" si="14"/>
        <v>0</v>
      </c>
      <c r="AG44" s="128" t="str">
        <f t="shared" si="15"/>
        <v/>
      </c>
      <c r="AI44" s="123">
        <f>IF(ROW()&lt;(ROW(Q$10)+AJ$7),"["&amp;$A44&amp;"]", INDEX($L:$L,ROW(Q$10)+AJ$7)/SUM($L$9:$L44))</f>
        <v>2.9342942027724334E-3</v>
      </c>
      <c r="AJ44" s="124">
        <f t="shared" si="16"/>
        <v>54.167070983179123</v>
      </c>
      <c r="AK44" s="124">
        <f t="shared" si="17"/>
        <v>53.043165897069386</v>
      </c>
      <c r="AL44" s="125">
        <f t="shared" si="18"/>
        <v>106.08633179413877</v>
      </c>
      <c r="AM44" s="126">
        <f t="shared" si="19"/>
        <v>106.42641554145698</v>
      </c>
      <c r="AN44" s="127">
        <f t="shared" si="20"/>
        <v>-0.34008374731820368</v>
      </c>
      <c r="AO44" s="128">
        <f t="shared" si="21"/>
        <v>-3.1954824898310012E-3</v>
      </c>
      <c r="AQ44" s="123">
        <f>IF(ROW()&lt;(ROW(Y$10)+AR$7),"["&amp;$A44&amp;"]", INDEX($L:$L,ROW(Y$10)+AR$7)/SUM($L$9:$L44))</f>
        <v>1.3896269121552003E-3</v>
      </c>
      <c r="AR44" s="124">
        <f t="shared" si="22"/>
        <v>25.652512798384997</v>
      </c>
      <c r="AS44" s="124">
        <f t="shared" si="23"/>
        <v>25.120252347851256</v>
      </c>
      <c r="AT44" s="125">
        <f t="shared" si="24"/>
        <v>50.240504695702512</v>
      </c>
      <c r="AU44" s="126">
        <f t="shared" si="25"/>
        <v>50.257182241614061</v>
      </c>
      <c r="AV44" s="127">
        <f t="shared" si="26"/>
        <v>-1.6677545911548464E-2</v>
      </c>
      <c r="AW44" s="128">
        <f t="shared" si="27"/>
        <v>-3.3184403039888467E-4</v>
      </c>
    </row>
    <row r="45" spans="1:51" s="132" customFormat="1">
      <c r="A45" s="109"/>
      <c r="B45" s="129"/>
      <c r="C45" s="114"/>
      <c r="D45" s="133"/>
      <c r="E45" s="95"/>
      <c r="F45" s="22"/>
      <c r="G45" s="114"/>
      <c r="H45" s="134"/>
      <c r="I45" s="135"/>
      <c r="J45" s="114"/>
      <c r="K45" s="147"/>
      <c r="L45" s="149"/>
      <c r="M45" s="55"/>
      <c r="N45" s="119"/>
      <c r="O45" s="136"/>
      <c r="P45" s="136"/>
      <c r="Q45" s="137"/>
      <c r="R45" s="138"/>
      <c r="S45" s="123"/>
      <c r="T45" s="139"/>
      <c r="U45" s="139"/>
      <c r="V45" s="125"/>
      <c r="W45" s="126"/>
      <c r="X45" s="127"/>
      <c r="Y45" s="128"/>
      <c r="Z45" s="140"/>
      <c r="AA45" s="123"/>
      <c r="AB45" s="139"/>
      <c r="AC45" s="139"/>
      <c r="AD45" s="125"/>
      <c r="AE45" s="126"/>
      <c r="AF45" s="127"/>
      <c r="AG45" s="128"/>
      <c r="AH45" s="140"/>
      <c r="AI45" s="123"/>
      <c r="AJ45" s="139"/>
      <c r="AK45" s="139"/>
      <c r="AL45" s="125"/>
      <c r="AM45" s="126"/>
      <c r="AN45" s="127"/>
      <c r="AO45" s="128"/>
      <c r="AP45" s="140"/>
      <c r="AQ45" s="123"/>
      <c r="AR45" s="139"/>
      <c r="AS45" s="139"/>
      <c r="AT45" s="125"/>
      <c r="AU45" s="126"/>
      <c r="AV45" s="127"/>
      <c r="AW45" s="128"/>
      <c r="AX45" s="141"/>
      <c r="AY45" s="131"/>
    </row>
  </sheetData>
  <sheetProtection algorithmName="SHA-512" hashValue="F1VFLGNUJL3+BcMLwiHZAxEs0DidZlRVuziSHwmUlmrNJvpiOl5SsUH1mXLVijh47nY8yS6LSD2rviycuRFVDA==" saltValue="pAkMrj3A8LA1wMFqODgvDA==" spinCount="100000" sheet="1" objects="1" scenarios="1" selectLockedCells="1"/>
  <sortState ref="A11:A46">
    <sortCondition ref="A11:A46"/>
  </sortState>
  <mergeCells count="15">
    <mergeCell ref="N7:Q7"/>
    <mergeCell ref="A7:A9"/>
    <mergeCell ref="F7:L7"/>
    <mergeCell ref="B7:D7"/>
    <mergeCell ref="F8:H8"/>
    <mergeCell ref="I8:L8"/>
    <mergeCell ref="S8:W8"/>
    <mergeCell ref="AQ8:AU8"/>
    <mergeCell ref="A1:AW1"/>
    <mergeCell ref="AV8:AW8"/>
    <mergeCell ref="X8:Y8"/>
    <mergeCell ref="AA8:AE8"/>
    <mergeCell ref="AF8:AG8"/>
    <mergeCell ref="AI8:AM8"/>
    <mergeCell ref="AN8:AO8"/>
  </mergeCells>
  <conditionalFormatting sqref="I11">
    <cfRule type="expression" dxfId="119" priority="212">
      <formula>I11&lt;(B11*-1)</formula>
    </cfRule>
  </conditionalFormatting>
  <conditionalFormatting sqref="F11:F44">
    <cfRule type="expression" dxfId="118" priority="180">
      <formula>F11&gt;B11</formula>
    </cfRule>
  </conditionalFormatting>
  <conditionalFormatting sqref="G11:H11">
    <cfRule type="expression" dxfId="117" priority="168">
      <formula>$F11=0</formula>
    </cfRule>
  </conditionalFormatting>
  <conditionalFormatting sqref="H12:H44">
    <cfRule type="expression" dxfId="116" priority="133">
      <formula>$F12=0</formula>
    </cfRule>
  </conditionalFormatting>
  <conditionalFormatting sqref="F11 I11">
    <cfRule type="cellIs" dxfId="115" priority="112" operator="lessThan">
      <formula>0</formula>
    </cfRule>
    <cfRule type="cellIs" dxfId="114" priority="113" operator="greaterThan">
      <formula>0</formula>
    </cfRule>
  </conditionalFormatting>
  <conditionalFormatting sqref="F12:F44">
    <cfRule type="cellIs" dxfId="113" priority="110" operator="lessThan">
      <formula>0</formula>
    </cfRule>
    <cfRule type="cellIs" dxfId="112" priority="111" operator="greaterThan">
      <formula>0</formula>
    </cfRule>
  </conditionalFormatting>
  <conditionalFormatting sqref="I12:I44">
    <cfRule type="expression" dxfId="111" priority="109">
      <formula>I12&lt;(B12*-1)</formula>
    </cfRule>
  </conditionalFormatting>
  <conditionalFormatting sqref="I12:I44">
    <cfRule type="cellIs" dxfId="110" priority="107" operator="lessThan">
      <formula>0</formula>
    </cfRule>
    <cfRule type="cellIs" dxfId="109" priority="108" operator="greaterThan">
      <formula>0</formula>
    </cfRule>
  </conditionalFormatting>
  <conditionalFormatting sqref="G12:G44">
    <cfRule type="expression" dxfId="108" priority="104">
      <formula>$F12=0</formula>
    </cfRule>
  </conditionalFormatting>
  <conditionalFormatting sqref="G12:G44">
    <cfRule type="cellIs" dxfId="107" priority="102" operator="lessThan">
      <formula>0</formula>
    </cfRule>
    <cfRule type="cellIs" dxfId="106" priority="103" operator="greaterThan">
      <formula>0</formula>
    </cfRule>
  </conditionalFormatting>
  <conditionalFormatting sqref="J12:J44">
    <cfRule type="expression" dxfId="105" priority="94">
      <formula>J12&lt;(C12*-1)</formula>
    </cfRule>
  </conditionalFormatting>
  <conditionalFormatting sqref="J12:J44">
    <cfRule type="cellIs" dxfId="104" priority="92" operator="lessThan">
      <formula>0</formula>
    </cfRule>
    <cfRule type="cellIs" dxfId="103" priority="93" operator="greaterThan">
      <formula>0</formula>
    </cfRule>
  </conditionalFormatting>
  <conditionalFormatting sqref="L11">
    <cfRule type="expression" dxfId="102" priority="87">
      <formula>$I11=0</formula>
    </cfRule>
  </conditionalFormatting>
  <conditionalFormatting sqref="L11">
    <cfRule type="cellIs" dxfId="101" priority="84" operator="lessThan">
      <formula>0</formula>
    </cfRule>
    <cfRule type="cellIs" dxfId="100" priority="85" operator="greaterThan">
      <formula>0</formula>
    </cfRule>
  </conditionalFormatting>
  <conditionalFormatting sqref="L12:L44">
    <cfRule type="expression" dxfId="99" priority="83">
      <formula>$I12=0</formula>
    </cfRule>
  </conditionalFormatting>
  <conditionalFormatting sqref="L12:L44">
    <cfRule type="cellIs" dxfId="98" priority="81" operator="lessThan">
      <formula>0</formula>
    </cfRule>
    <cfRule type="cellIs" dxfId="97" priority="82" operator="greaterThan">
      <formula>0</formula>
    </cfRule>
  </conditionalFormatting>
  <conditionalFormatting sqref="J12">
    <cfRule type="expression" dxfId="96" priority="80">
      <formula>I12=0</formula>
    </cfRule>
  </conditionalFormatting>
  <conditionalFormatting sqref="J13:J44">
    <cfRule type="expression" dxfId="95" priority="79">
      <formula>I13=0</formula>
    </cfRule>
  </conditionalFormatting>
  <conditionalFormatting sqref="J11">
    <cfRule type="expression" dxfId="94" priority="78">
      <formula>J11&lt;(C11*-1)</formula>
    </cfRule>
  </conditionalFormatting>
  <conditionalFormatting sqref="J11">
    <cfRule type="cellIs" dxfId="93" priority="76" operator="lessThan">
      <formula>0</formula>
    </cfRule>
    <cfRule type="cellIs" dxfId="92" priority="77" operator="greaterThan">
      <formula>0</formula>
    </cfRule>
  </conditionalFormatting>
  <conditionalFormatting sqref="J11">
    <cfRule type="expression" dxfId="91" priority="75">
      <formula>I11=0</formula>
    </cfRule>
  </conditionalFormatting>
  <conditionalFormatting sqref="K11">
    <cfRule type="expression" dxfId="90" priority="74">
      <formula>I11=0</formula>
    </cfRule>
  </conditionalFormatting>
  <conditionalFormatting sqref="K12:K44">
    <cfRule type="expression" dxfId="89" priority="73">
      <formula>I12=0</formula>
    </cfRule>
  </conditionalFormatting>
  <conditionalFormatting sqref="Y11:Y44 S11:W44">
    <cfRule type="expression" dxfId="88" priority="72" stopIfTrue="1">
      <formula>ROW()&lt;(T$7+6)</formula>
    </cfRule>
  </conditionalFormatting>
  <conditionalFormatting sqref="X11:X44">
    <cfRule type="expression" dxfId="86" priority="40" stopIfTrue="1">
      <formula>ROW()&lt;(Y$7+6)</formula>
    </cfRule>
  </conditionalFormatting>
  <conditionalFormatting sqref="N11:Y44">
    <cfRule type="expression" dxfId="80" priority="213">
      <formula>AND($F11=0,$I11=0)</formula>
    </cfRule>
  </conditionalFormatting>
  <conditionalFormatting sqref="AA11:AE44">
    <cfRule type="expression" dxfId="17" priority="17" stopIfTrue="1">
      <formula>ROW()&lt;(AB$7+6)</formula>
    </cfRule>
  </conditionalFormatting>
  <conditionalFormatting sqref="AA11:AE44">
    <cfRule type="expression" dxfId="15" priority="18">
      <formula>AND($F11=0,$I11=0)</formula>
    </cfRule>
  </conditionalFormatting>
  <conditionalFormatting sqref="AI11:AM44">
    <cfRule type="expression" dxfId="14" priority="14" stopIfTrue="1">
      <formula>ROW()&lt;(AJ$7+6)</formula>
    </cfRule>
  </conditionalFormatting>
  <conditionalFormatting sqref="AI11:AM44">
    <cfRule type="expression" dxfId="12" priority="15">
      <formula>AND($F11=0,$I11=0)</formula>
    </cfRule>
  </conditionalFormatting>
  <conditionalFormatting sqref="AQ11:AU44">
    <cfRule type="expression" dxfId="11" priority="11" stopIfTrue="1">
      <formula>ROW()&lt;(AR$7+6)</formula>
    </cfRule>
  </conditionalFormatting>
  <conditionalFormatting sqref="AQ11:AU44">
    <cfRule type="expression" dxfId="9" priority="12">
      <formula>AND($F11=0,$I11=0)</formula>
    </cfRule>
  </conditionalFormatting>
  <conditionalFormatting sqref="AG11:AG44">
    <cfRule type="expression" dxfId="8" priority="8" stopIfTrue="1">
      <formula>ROW()&lt;(AH$7+6)</formula>
    </cfRule>
  </conditionalFormatting>
  <conditionalFormatting sqref="AF11:AF44">
    <cfRule type="expression" dxfId="7" priority="7" stopIfTrue="1">
      <formula>ROW()&lt;(AG$7+6)</formula>
    </cfRule>
  </conditionalFormatting>
  <conditionalFormatting sqref="AF11:AG44">
    <cfRule type="expression" dxfId="6" priority="9">
      <formula>AND($F11=0,$I11=0)</formula>
    </cfRule>
  </conditionalFormatting>
  <conditionalFormatting sqref="AO11:AO44">
    <cfRule type="expression" dxfId="5" priority="5" stopIfTrue="1">
      <formula>ROW()&lt;(AP$7+6)</formula>
    </cfRule>
  </conditionalFormatting>
  <conditionalFormatting sqref="AN11:AN44">
    <cfRule type="expression" dxfId="4" priority="4" stopIfTrue="1">
      <formula>ROW()&lt;(AO$7+6)</formula>
    </cfRule>
  </conditionalFormatting>
  <conditionalFormatting sqref="AN11:AO44">
    <cfRule type="expression" dxfId="3" priority="6">
      <formula>AND($F11=0,$I11=0)</formula>
    </cfRule>
  </conditionalFormatting>
  <conditionalFormatting sqref="AW11:AW44">
    <cfRule type="expression" dxfId="2" priority="2" stopIfTrue="1">
      <formula>ROW()&lt;(AX$7+6)</formula>
    </cfRule>
  </conditionalFormatting>
  <conditionalFormatting sqref="AV11:AV44">
    <cfRule type="expression" dxfId="1" priority="1" stopIfTrue="1">
      <formula>ROW()&lt;(AW$7+6)</formula>
    </cfRule>
  </conditionalFormatting>
  <conditionalFormatting sqref="AV11:AW44">
    <cfRule type="expression" dxfId="0" priority="3">
      <formula>AND($F11=0,$I11=0)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F5E-E733-4342-9F60-CD5DD72C4935}">
  <dimension ref="A1:N7"/>
  <sheetViews>
    <sheetView workbookViewId="0">
      <selection activeCell="E18" sqref="E18"/>
    </sheetView>
  </sheetViews>
  <sheetFormatPr baseColWidth="10" defaultRowHeight="16"/>
  <cols>
    <col min="1" max="1" width="10.83203125" style="1"/>
    <col min="2" max="2" width="23.5" style="1" customWidth="1"/>
    <col min="3" max="3" width="15.1640625" style="1" bestFit="1" customWidth="1"/>
    <col min="4" max="4" width="10.83203125" style="1"/>
    <col min="5" max="5" width="11.1640625" style="4" bestFit="1" customWidth="1"/>
    <col min="6" max="6" width="26" style="1" customWidth="1"/>
    <col min="7" max="16384" width="10.83203125" style="1"/>
  </cols>
  <sheetData>
    <row r="1" spans="1:14" ht="51">
      <c r="A1" s="1" t="s">
        <v>2</v>
      </c>
      <c r="B1" s="1" t="s">
        <v>4</v>
      </c>
      <c r="C1" s="1" t="s">
        <v>3</v>
      </c>
      <c r="E1" s="1" t="s">
        <v>5</v>
      </c>
      <c r="F1" s="1" t="s">
        <v>4</v>
      </c>
      <c r="G1" s="1" t="s">
        <v>6</v>
      </c>
      <c r="J1" s="1" t="s">
        <v>1</v>
      </c>
      <c r="K1" s="4">
        <f>G2/C2</f>
        <v>1.0509937452018645E-4</v>
      </c>
    </row>
    <row r="2" spans="1:14" ht="34">
      <c r="A2" s="1">
        <f>C2/1000</f>
        <v>1014.18301</v>
      </c>
      <c r="B2" s="2">
        <v>9382</v>
      </c>
      <c r="C2" s="3">
        <v>1014183.01</v>
      </c>
      <c r="E2" s="4">
        <f>G2/1000</f>
        <v>0.10659</v>
      </c>
      <c r="F2" s="5">
        <f>B2</f>
        <v>9382</v>
      </c>
      <c r="G2" s="6">
        <v>106.59</v>
      </c>
      <c r="H2" s="1" t="s">
        <v>0</v>
      </c>
      <c r="J2" s="1" t="s">
        <v>8</v>
      </c>
      <c r="K2" s="1">
        <v>-900</v>
      </c>
      <c r="M2" s="1" t="s">
        <v>7</v>
      </c>
      <c r="N2" s="1">
        <f>A2*B2/C2</f>
        <v>9.3819999999999997</v>
      </c>
    </row>
    <row r="3" spans="1:14" ht="34">
      <c r="J3" s="1" t="s">
        <v>9</v>
      </c>
      <c r="K3" s="1">
        <f>K2*K1</f>
        <v>-9.4589437068167803E-2</v>
      </c>
    </row>
    <row r="5" spans="1:14" ht="51">
      <c r="A5" s="1" t="s">
        <v>2</v>
      </c>
      <c r="B5" s="1" t="s">
        <v>4</v>
      </c>
      <c r="C5" s="1" t="s">
        <v>3</v>
      </c>
      <c r="E5" s="1" t="s">
        <v>5</v>
      </c>
      <c r="F5" s="1" t="s">
        <v>4</v>
      </c>
      <c r="G5" s="1" t="s">
        <v>6</v>
      </c>
      <c r="J5" s="1" t="s">
        <v>1</v>
      </c>
      <c r="K5" s="4">
        <f>G6/C6</f>
        <v>1.0491300663473014E-4</v>
      </c>
    </row>
    <row r="6" spans="1:14" ht="34">
      <c r="A6" s="1">
        <f>A2</f>
        <v>1014.18301</v>
      </c>
      <c r="B6" s="2">
        <f>B2</f>
        <v>9382</v>
      </c>
      <c r="C6" s="3">
        <f>C2-K2</f>
        <v>1015083.01</v>
      </c>
      <c r="E6" s="4">
        <f>K5*A6</f>
        <v>0.10640098885696057</v>
      </c>
      <c r="F6" s="5">
        <f>F2</f>
        <v>9382</v>
      </c>
      <c r="G6" s="6">
        <f>G2+K3</f>
        <v>106.49541056293184</v>
      </c>
      <c r="H6" s="1" t="s">
        <v>0</v>
      </c>
      <c r="J6" s="1" t="s">
        <v>8</v>
      </c>
      <c r="K6" s="1">
        <v>100</v>
      </c>
      <c r="M6" s="1" t="s">
        <v>7</v>
      </c>
      <c r="N6" s="1">
        <f>A6*B6/C6</f>
        <v>9.3736816655221133</v>
      </c>
    </row>
    <row r="7" spans="1:14" ht="34">
      <c r="J7" s="1" t="s">
        <v>9</v>
      </c>
      <c r="K7" s="1">
        <f>K6*K5</f>
        <v>1.0491300663473013E-2</v>
      </c>
    </row>
  </sheetData>
  <sheetProtection algorithmName="SHA-512" hashValue="e3T5fdIqO6ftLKD3joNx0HdC0UQdQvKoSNdh5NskZ2M6fbn6+AQ5R/Q6W6AXAWLKL2UZnZzIJrJqBVDP8CoNGw==" saltValue="dmAxVzxUvSjlHgeOhaUOL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E998-190A-E949-8FBE-B1DCCBFCE440}">
  <dimension ref="A1:AY40"/>
  <sheetViews>
    <sheetView zoomScale="88" zoomScaleNormal="100" workbookViewId="0">
      <selection activeCell="E18" sqref="E18"/>
    </sheetView>
  </sheetViews>
  <sheetFormatPr baseColWidth="10" defaultRowHeight="16"/>
  <cols>
    <col min="1" max="1" width="14.1640625" style="109" bestFit="1" customWidth="1"/>
    <col min="2" max="2" width="14" style="129" bestFit="1" customWidth="1"/>
    <col min="3" max="3" width="14" style="114" bestFit="1" customWidth="1"/>
    <col min="4" max="4" width="11.33203125" style="241" bestFit="1" customWidth="1"/>
    <col min="5" max="5" width="2.33203125" style="95" customWidth="1"/>
    <col min="6" max="6" width="12.6640625" style="66" bestFit="1" customWidth="1"/>
    <col min="7" max="7" width="12.83203125" style="114" bestFit="1" customWidth="1"/>
    <col min="8" max="8" width="14.1640625" style="134" bestFit="1" customWidth="1"/>
    <col min="9" max="9" width="2.5" style="95" customWidth="1"/>
    <col min="10" max="10" width="12.83203125" style="114" bestFit="1" customWidth="1"/>
    <col min="11" max="11" width="11.33203125" style="114" bestFit="1" customWidth="1"/>
    <col min="12" max="12" width="13.1640625" style="66" bestFit="1" customWidth="1"/>
    <col min="13" max="13" width="14.5" style="242" bestFit="1" customWidth="1"/>
    <col min="14" max="14" width="2.6640625" style="168" customWidth="1"/>
    <col min="15" max="15" width="14.33203125" style="216" bestFit="1" customWidth="1"/>
    <col min="16" max="16" width="17.6640625" style="243" bestFit="1" customWidth="1"/>
    <col min="17" max="17" width="10.33203125" style="243" bestFit="1" customWidth="1"/>
    <col min="18" max="18" width="10.6640625" style="244" bestFit="1" customWidth="1"/>
    <col min="19" max="19" width="1.5" style="138" customWidth="1"/>
    <col min="20" max="20" width="1.33203125" style="95" customWidth="1"/>
    <col min="21" max="21" width="12.1640625" style="245" bestFit="1" customWidth="1"/>
    <col min="22" max="22" width="13" style="246" bestFit="1" customWidth="1"/>
    <col min="23" max="23" width="11" style="246" bestFit="1" customWidth="1"/>
    <col min="24" max="24" width="13.5" style="55" bestFit="1" customWidth="1"/>
    <col min="25" max="25" width="10.33203125" style="244" bestFit="1" customWidth="1"/>
    <col min="26" max="26" width="8" style="223" bestFit="1" customWidth="1"/>
    <col min="27" max="27" width="2.83203125" style="247" bestFit="1" customWidth="1"/>
    <col min="28" max="28" width="2.83203125" style="65" customWidth="1"/>
    <col min="29" max="29" width="11.33203125" style="248" bestFit="1" customWidth="1"/>
    <col min="30" max="31" width="11" style="246" bestFit="1" customWidth="1"/>
    <col min="32" max="32" width="12.83203125" style="55" bestFit="1" customWidth="1"/>
    <col min="33" max="33" width="11.6640625" style="244" customWidth="1"/>
    <col min="34" max="34" width="8" style="223" bestFit="1" customWidth="1"/>
    <col min="35" max="35" width="2.83203125" style="247" bestFit="1" customWidth="1"/>
    <col min="36" max="36" width="3.1640625" style="65" customWidth="1"/>
    <col min="37" max="37" width="12.5" style="248" customWidth="1"/>
    <col min="38" max="39" width="11" style="246" bestFit="1" customWidth="1"/>
    <col min="40" max="40" width="14" style="55" bestFit="1" customWidth="1"/>
    <col min="41" max="41" width="11" style="244" bestFit="1" customWidth="1"/>
    <col min="42" max="42" width="8" style="223" bestFit="1" customWidth="1"/>
    <col min="43" max="43" width="2.83203125" style="247" bestFit="1" customWidth="1"/>
    <col min="44" max="44" width="3.1640625" style="65" customWidth="1"/>
    <col min="45" max="45" width="9.33203125" style="248" bestFit="1" customWidth="1"/>
    <col min="46" max="47" width="11" style="246" bestFit="1" customWidth="1"/>
    <col min="48" max="48" width="15.33203125" style="55" bestFit="1" customWidth="1"/>
    <col min="49" max="49" width="11.6640625" style="244" bestFit="1" customWidth="1"/>
    <col min="50" max="50" width="8" style="223" bestFit="1" customWidth="1"/>
    <col min="51" max="51" width="2.83203125" style="249" bestFit="1" customWidth="1"/>
    <col min="52" max="16384" width="10.83203125" style="130"/>
  </cols>
  <sheetData>
    <row r="1" spans="1:51" s="7" customFormat="1" ht="22" customHeight="1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8"/>
      <c r="AU1" s="8"/>
      <c r="AX1" s="9"/>
      <c r="AY1" s="10"/>
    </row>
    <row r="2" spans="1:51" s="13" customFormat="1" ht="22" customHeight="1" thickBot="1">
      <c r="A2" s="11"/>
      <c r="B2" s="11"/>
      <c r="C2" s="11"/>
      <c r="D2" s="16"/>
      <c r="E2" s="11"/>
      <c r="F2" s="11"/>
      <c r="G2" s="11"/>
      <c r="H2" s="16">
        <f>SUM(G:G)</f>
        <v>0.13416666666666677</v>
      </c>
      <c r="I2" s="11"/>
      <c r="J2" s="11"/>
      <c r="K2" s="11"/>
      <c r="L2" s="11">
        <v>10</v>
      </c>
      <c r="M2" s="11">
        <v>12.163971569981211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2"/>
      <c r="AX2" s="14"/>
      <c r="AY2" s="15"/>
    </row>
    <row r="3" spans="1:51" ht="17" customHeight="1" thickBot="1">
      <c r="A3" s="161"/>
      <c r="B3" s="162" t="s">
        <v>29</v>
      </c>
      <c r="C3" s="163"/>
      <c r="D3" s="164"/>
      <c r="F3" s="162" t="s">
        <v>40</v>
      </c>
      <c r="G3" s="163"/>
      <c r="H3" s="164"/>
      <c r="J3" s="165" t="s">
        <v>41</v>
      </c>
      <c r="K3" s="166"/>
      <c r="L3" s="166"/>
      <c r="M3" s="167"/>
      <c r="O3" s="165" t="s">
        <v>85</v>
      </c>
      <c r="P3" s="166"/>
      <c r="Q3" s="166"/>
      <c r="R3" s="167"/>
      <c r="S3" s="169"/>
      <c r="U3" s="60" t="s">
        <v>81</v>
      </c>
      <c r="V3" s="61"/>
      <c r="W3" s="61"/>
      <c r="X3" s="61"/>
      <c r="Y3" s="62"/>
      <c r="Z3" s="63" t="s">
        <v>31</v>
      </c>
      <c r="AA3" s="64"/>
      <c r="AC3" s="60" t="s">
        <v>82</v>
      </c>
      <c r="AD3" s="61"/>
      <c r="AE3" s="61"/>
      <c r="AF3" s="61"/>
      <c r="AG3" s="62"/>
      <c r="AH3" s="63" t="s">
        <v>32</v>
      </c>
      <c r="AI3" s="64"/>
      <c r="AK3" s="60" t="s">
        <v>83</v>
      </c>
      <c r="AL3" s="61"/>
      <c r="AM3" s="61"/>
      <c r="AN3" s="61"/>
      <c r="AO3" s="62"/>
      <c r="AP3" s="63" t="s">
        <v>34</v>
      </c>
      <c r="AQ3" s="64"/>
      <c r="AS3" s="60" t="s">
        <v>84</v>
      </c>
      <c r="AT3" s="61"/>
      <c r="AU3" s="61"/>
      <c r="AV3" s="61"/>
      <c r="AW3" s="62"/>
      <c r="AX3" s="63" t="s">
        <v>37</v>
      </c>
      <c r="AY3" s="64"/>
    </row>
    <row r="4" spans="1:51" s="190" customFormat="1" ht="67" customHeight="1" thickBot="1">
      <c r="A4" s="78" t="s">
        <v>97</v>
      </c>
      <c r="B4" s="170" t="s">
        <v>92</v>
      </c>
      <c r="C4" s="171" t="s">
        <v>65</v>
      </c>
      <c r="D4" s="73" t="s">
        <v>22</v>
      </c>
      <c r="E4" s="172"/>
      <c r="F4" s="173" t="s">
        <v>93</v>
      </c>
      <c r="G4" s="72" t="s">
        <v>96</v>
      </c>
      <c r="H4" s="73" t="s">
        <v>77</v>
      </c>
      <c r="I4" s="172"/>
      <c r="J4" s="174" t="s">
        <v>94</v>
      </c>
      <c r="K4" s="175" t="s">
        <v>95</v>
      </c>
      <c r="L4" s="176" t="s">
        <v>26</v>
      </c>
      <c r="M4" s="177" t="s">
        <v>70</v>
      </c>
      <c r="N4" s="178"/>
      <c r="O4" s="179" t="s">
        <v>24</v>
      </c>
      <c r="P4" s="180" t="s">
        <v>87</v>
      </c>
      <c r="Q4" s="180" t="s">
        <v>28</v>
      </c>
      <c r="R4" s="181" t="s">
        <v>18</v>
      </c>
      <c r="S4" s="82"/>
      <c r="T4" s="172"/>
      <c r="U4" s="182" t="s">
        <v>66</v>
      </c>
      <c r="V4" s="183" t="s">
        <v>88</v>
      </c>
      <c r="W4" s="183" t="s">
        <v>73</v>
      </c>
      <c r="X4" s="72" t="s">
        <v>30</v>
      </c>
      <c r="Y4" s="184" t="s">
        <v>23</v>
      </c>
      <c r="Z4" s="185" t="s">
        <v>20</v>
      </c>
      <c r="AA4" s="186" t="s">
        <v>21</v>
      </c>
      <c r="AB4" s="89"/>
      <c r="AC4" s="187" t="s">
        <v>67</v>
      </c>
      <c r="AD4" s="183" t="s">
        <v>89</v>
      </c>
      <c r="AE4" s="183" t="s">
        <v>74</v>
      </c>
      <c r="AF4" s="72" t="s">
        <v>71</v>
      </c>
      <c r="AG4" s="184" t="s">
        <v>33</v>
      </c>
      <c r="AH4" s="185" t="s">
        <v>20</v>
      </c>
      <c r="AI4" s="186" t="s">
        <v>21</v>
      </c>
      <c r="AJ4" s="89"/>
      <c r="AK4" s="187" t="s">
        <v>68</v>
      </c>
      <c r="AL4" s="188" t="s">
        <v>90</v>
      </c>
      <c r="AM4" s="188" t="s">
        <v>75</v>
      </c>
      <c r="AN4" s="72" t="s">
        <v>35</v>
      </c>
      <c r="AO4" s="184" t="s">
        <v>36</v>
      </c>
      <c r="AP4" s="185" t="s">
        <v>20</v>
      </c>
      <c r="AQ4" s="186" t="s">
        <v>21</v>
      </c>
      <c r="AR4" s="89"/>
      <c r="AS4" s="187" t="s">
        <v>69</v>
      </c>
      <c r="AT4" s="188" t="s">
        <v>91</v>
      </c>
      <c r="AU4" s="188" t="s">
        <v>76</v>
      </c>
      <c r="AV4" s="72" t="s">
        <v>38</v>
      </c>
      <c r="AW4" s="184" t="s">
        <v>39</v>
      </c>
      <c r="AX4" s="185" t="s">
        <v>20</v>
      </c>
      <c r="AY4" s="189" t="s">
        <v>21</v>
      </c>
    </row>
    <row r="5" spans="1:51" s="211" customFormat="1" ht="17" customHeight="1" thickBot="1">
      <c r="A5" s="191" t="s">
        <v>72</v>
      </c>
      <c r="B5" s="192"/>
      <c r="C5" s="193"/>
      <c r="D5" s="194"/>
      <c r="E5" s="95"/>
      <c r="F5" s="193"/>
      <c r="G5" s="193"/>
      <c r="H5" s="97"/>
      <c r="I5" s="168"/>
      <c r="J5" s="195">
        <v>3000000</v>
      </c>
      <c r="K5" s="196">
        <v>0.92</v>
      </c>
      <c r="L5" s="197">
        <f>2*K5</f>
        <v>1.84</v>
      </c>
      <c r="M5" s="198">
        <f>(SQRT(K5*10^36*J5)-10^3)*10^-18</f>
        <v>1661.3247725836152</v>
      </c>
      <c r="N5" s="55"/>
      <c r="O5" s="199"/>
      <c r="P5" s="200"/>
      <c r="Q5" s="200"/>
      <c r="R5" s="201"/>
      <c r="S5" s="104"/>
      <c r="T5" s="95"/>
      <c r="U5" s="202"/>
      <c r="V5" s="203"/>
      <c r="W5" s="203"/>
      <c r="X5" s="200"/>
      <c r="Y5" s="200"/>
      <c r="Z5" s="204"/>
      <c r="AA5" s="205"/>
      <c r="AB5" s="65"/>
      <c r="AC5" s="206"/>
      <c r="AD5" s="206"/>
      <c r="AE5" s="206"/>
      <c r="AF5" s="207"/>
      <c r="AG5" s="207"/>
      <c r="AH5" s="208"/>
      <c r="AI5" s="209"/>
      <c r="AJ5" s="65"/>
      <c r="AK5" s="206"/>
      <c r="AL5" s="206"/>
      <c r="AM5" s="206"/>
      <c r="AN5" s="207"/>
      <c r="AO5" s="207"/>
      <c r="AP5" s="208"/>
      <c r="AQ5" s="209"/>
      <c r="AR5" s="65"/>
      <c r="AS5" s="206"/>
      <c r="AT5" s="206"/>
      <c r="AU5" s="206"/>
      <c r="AV5" s="207"/>
      <c r="AW5" s="207"/>
      <c r="AX5" s="208"/>
      <c r="AY5" s="210"/>
    </row>
    <row r="6" spans="1:51" ht="17">
      <c r="A6" s="109" t="s">
        <v>19</v>
      </c>
      <c r="B6" s="110">
        <f>B5-F5+J5</f>
        <v>3000000</v>
      </c>
      <c r="C6" s="111">
        <f>C5-G5+K5</f>
        <v>0.92</v>
      </c>
      <c r="D6" s="212">
        <f>C6/B6</f>
        <v>3.0666666666666666E-7</v>
      </c>
      <c r="F6" s="213"/>
      <c r="G6" s="114">
        <f t="shared" ref="G6" si="0">-1*((B6 * C6)/(B6 - F6)-C6 )</f>
        <v>0</v>
      </c>
      <c r="H6" s="115">
        <f t="shared" ref="H6" si="1">IF(F6&lt;&gt;0,-1*G6/F6,D6)</f>
        <v>3.0666666666666666E-7</v>
      </c>
      <c r="J6" s="213"/>
      <c r="K6" s="214">
        <f t="shared" ref="K6:K10" si="2">J6/((B6-F6)/(C6-G6))</f>
        <v>0</v>
      </c>
      <c r="L6" s="215">
        <f t="shared" ref="L6:L10" si="3">2*K6</f>
        <v>0</v>
      </c>
      <c r="M6" s="118">
        <f>MIN(J6*10^18*SUM($M$3:$M5) / ((B6-F6)*10^18), K6*10^18*SUM($M$3:$M5) / ((C6-G6)*10^18))</f>
        <v>0</v>
      </c>
      <c r="O6" s="216">
        <f>($C6-$G6+$K6)*2</f>
        <v>1.84</v>
      </c>
      <c r="P6" s="217">
        <f>SUM($J$4:$J6)-SUM($F$4:$F6)</f>
        <v>3000000</v>
      </c>
      <c r="Q6" s="218">
        <f>SUM($K$4:$K6)-SUM($G$4:$G6)</f>
        <v>0.92</v>
      </c>
      <c r="R6" s="219">
        <f t="shared" ref="R6:R39" si="4">$L6/O6</f>
        <v>0</v>
      </c>
      <c r="S6" s="122"/>
      <c r="U6" s="220">
        <f>$M$6/SUM($M$4:$M6)</f>
        <v>0</v>
      </c>
      <c r="V6" s="217">
        <f t="shared" ref="V6:V39" si="5">U6*$P6</f>
        <v>0</v>
      </c>
      <c r="W6" s="218">
        <f>U6*$Q6</f>
        <v>0</v>
      </c>
      <c r="X6" s="221">
        <f>U6*$O6</f>
        <v>0</v>
      </c>
      <c r="Y6" s="222">
        <f>$K$6+$J$6*(($C6-$G6+$K6)/($B6-$F6+$J6))</f>
        <v>0</v>
      </c>
      <c r="Z6" s="223">
        <f>X6-Y6</f>
        <v>0</v>
      </c>
      <c r="AA6" s="224" t="str">
        <f>IF(Y6=0,"",Z6/Y6)</f>
        <v/>
      </c>
      <c r="AC6" s="225" t="s">
        <v>78</v>
      </c>
      <c r="AD6" s="226"/>
      <c r="AE6" s="226"/>
      <c r="AF6" s="226"/>
      <c r="AG6" s="226"/>
      <c r="AH6" s="226"/>
      <c r="AI6" s="227"/>
      <c r="AK6" s="228" t="s">
        <v>78</v>
      </c>
      <c r="AL6" s="229"/>
      <c r="AM6" s="229"/>
      <c r="AN6" s="229"/>
      <c r="AO6" s="229"/>
      <c r="AP6" s="229"/>
      <c r="AQ6" s="230"/>
      <c r="AS6" s="228" t="s">
        <v>78</v>
      </c>
      <c r="AT6" s="229"/>
      <c r="AU6" s="229"/>
      <c r="AV6" s="229"/>
      <c r="AW6" s="229"/>
      <c r="AX6" s="229"/>
      <c r="AY6" s="230"/>
    </row>
    <row r="7" spans="1:51" s="132" customFormat="1" ht="17">
      <c r="A7" s="109" t="s">
        <v>10</v>
      </c>
      <c r="B7" s="110">
        <f t="shared" ref="B7:C22" si="6">B6-F6+J6</f>
        <v>3000000</v>
      </c>
      <c r="C7" s="111">
        <f t="shared" si="6"/>
        <v>0.92</v>
      </c>
      <c r="D7" s="212">
        <f t="shared" ref="D7:D39" si="7">C7/B7</f>
        <v>3.0666666666666666E-7</v>
      </c>
      <c r="E7" s="95"/>
      <c r="F7" s="213"/>
      <c r="G7" s="231">
        <f t="shared" ref="G7:G39" si="8">-1*((B7 * C7)/(B7 - F7)-C7 )</f>
        <v>0</v>
      </c>
      <c r="H7" s="115">
        <f t="shared" ref="H7:H39" si="9">IF(F7&lt;&gt;0,-1*G7/F7,D7)</f>
        <v>3.0666666666666666E-7</v>
      </c>
      <c r="I7" s="95"/>
      <c r="J7" s="213">
        <v>500000</v>
      </c>
      <c r="K7" s="214">
        <f t="shared" si="2"/>
        <v>0.15333333333333335</v>
      </c>
      <c r="L7" s="215">
        <f t="shared" si="3"/>
        <v>0.3066666666666667</v>
      </c>
      <c r="M7" s="118">
        <f>MIN(J7*10^18*SUM($M$3:$M6) / ((B7-F7)*10^18), K7*10^18*SUM($M$3:$M6) / ((C7-G7)*10^18))</f>
        <v>276.88746209726924</v>
      </c>
      <c r="N7" s="168"/>
      <c r="O7" s="216">
        <f t="shared" ref="O7:O39" si="10">($C7-$G7+$K7)*2</f>
        <v>2.1466666666666669</v>
      </c>
      <c r="P7" s="217">
        <f>SUM($J$4:$J7)-SUM($F$4:$F7)</f>
        <v>3500000</v>
      </c>
      <c r="Q7" s="218">
        <f>SUM($K$4:$K7)-SUM($G$4:$G7)</f>
        <v>1.0733333333333335</v>
      </c>
      <c r="R7" s="219">
        <f t="shared" si="4"/>
        <v>0.14285714285714285</v>
      </c>
      <c r="S7" s="122"/>
      <c r="T7" s="95"/>
      <c r="U7" s="220">
        <f>$M$6/SUM($M$4:$M7)</f>
        <v>0</v>
      </c>
      <c r="V7" s="217">
        <f t="shared" si="5"/>
        <v>0</v>
      </c>
      <c r="W7" s="218">
        <f>U7*$Q7</f>
        <v>0</v>
      </c>
      <c r="X7" s="221">
        <f>U7*$O7</f>
        <v>0</v>
      </c>
      <c r="Y7" s="222">
        <f t="shared" ref="Y7:Y39" si="11">$K$6+$J$6*(($C7-$G7+$K7)/($B7-$F7+$J7))</f>
        <v>0</v>
      </c>
      <c r="Z7" s="223">
        <f t="shared" ref="Z7:Z39" si="12">X7-Y7</f>
        <v>0</v>
      </c>
      <c r="AA7" s="224" t="str">
        <f t="shared" ref="AA7:AA39" si="13">IF(Y7=0,"",Z7/Y7)</f>
        <v/>
      </c>
      <c r="AB7" s="65"/>
      <c r="AC7" s="232">
        <f>$M$7/SUM($M$4:$M7)</f>
        <v>0.14285714285714288</v>
      </c>
      <c r="AD7" s="217">
        <f t="shared" ref="AD7:AD39" si="14">AC7*$P7</f>
        <v>500000.00000000006</v>
      </c>
      <c r="AE7" s="218">
        <f>AC7*$Q7</f>
        <v>0.15333333333333338</v>
      </c>
      <c r="AF7" s="221">
        <f>AC7*$O7</f>
        <v>0.30666666666666675</v>
      </c>
      <c r="AG7" s="222">
        <f>$K$7+$J$7*(($C7-$G7+$K7)/($B7-$F7+$J7))</f>
        <v>0.3066666666666667</v>
      </c>
      <c r="AH7" s="223">
        <f t="shared" ref="AH7:AH39" si="15">AF7-AG7</f>
        <v>0</v>
      </c>
      <c r="AI7" s="224">
        <f>IF(AG7=0,"",AH7/AG7)</f>
        <v>0</v>
      </c>
      <c r="AJ7" s="65"/>
      <c r="AK7" s="233" t="s">
        <v>79</v>
      </c>
      <c r="AL7" s="234"/>
      <c r="AM7" s="234"/>
      <c r="AN7" s="234"/>
      <c r="AO7" s="234"/>
      <c r="AP7" s="234"/>
      <c r="AQ7" s="235"/>
      <c r="AR7" s="65"/>
      <c r="AS7" s="236" t="s">
        <v>79</v>
      </c>
      <c r="AT7" s="237"/>
      <c r="AU7" s="237"/>
      <c r="AV7" s="237"/>
      <c r="AW7" s="237"/>
      <c r="AX7" s="237"/>
      <c r="AY7" s="238"/>
    </row>
    <row r="8" spans="1:51" ht="17">
      <c r="A8" s="109" t="s">
        <v>11</v>
      </c>
      <c r="B8" s="110">
        <f t="shared" si="6"/>
        <v>3500000</v>
      </c>
      <c r="C8" s="111">
        <f t="shared" si="6"/>
        <v>1.0733333333333335</v>
      </c>
      <c r="D8" s="212">
        <f t="shared" si="7"/>
        <v>3.0666666666666671E-7</v>
      </c>
      <c r="F8" s="213">
        <v>-500000</v>
      </c>
      <c r="G8" s="114">
        <f>-1*((B8 * C8)/(B8 - F8)-C8 )</f>
        <v>0.13416666666666677</v>
      </c>
      <c r="H8" s="115">
        <f>IF(F8&lt;&gt;0,-1*G8/F8,D8)</f>
        <v>2.6833333333333355E-7</v>
      </c>
      <c r="J8" s="213"/>
      <c r="K8" s="214">
        <f t="shared" si="2"/>
        <v>0</v>
      </c>
      <c r="L8" s="215">
        <f t="shared" si="3"/>
        <v>0</v>
      </c>
      <c r="M8" s="118">
        <f>MIN(J8*10^18*SUM($M$3:$M7) / ((B8-F8)*10^18), K8*10^18*SUM($M$3:$M7) / ((C8-G8)*10^18))</f>
        <v>0</v>
      </c>
      <c r="O8" s="216">
        <f t="shared" si="10"/>
        <v>1.8783333333333334</v>
      </c>
      <c r="P8" s="217">
        <f>SUM($J$4:$J8)-SUM($F$4:$F8)</f>
        <v>4000000</v>
      </c>
      <c r="Q8" s="218">
        <f>SUM($K$4:$K8)-SUM($G$4:$G8)</f>
        <v>0.93916666666666671</v>
      </c>
      <c r="R8" s="219">
        <f t="shared" si="4"/>
        <v>0</v>
      </c>
      <c r="S8" s="122"/>
      <c r="U8" s="220">
        <f>$M$6/SUM($M$4:$M8)</f>
        <v>0</v>
      </c>
      <c r="V8" s="217">
        <f t="shared" si="5"/>
        <v>0</v>
      </c>
      <c r="W8" s="218">
        <f>U8*$Q8</f>
        <v>0</v>
      </c>
      <c r="X8" s="221">
        <f>U8*$O8</f>
        <v>0</v>
      </c>
      <c r="Y8" s="222">
        <f t="shared" si="11"/>
        <v>0</v>
      </c>
      <c r="Z8" s="223">
        <f t="shared" si="12"/>
        <v>0</v>
      </c>
      <c r="AA8" s="224" t="str">
        <f t="shared" si="13"/>
        <v/>
      </c>
      <c r="AC8" s="232">
        <f>$M$7/SUM($M$4:$M8)</f>
        <v>0.14285714285714288</v>
      </c>
      <c r="AD8" s="217">
        <f t="shared" si="14"/>
        <v>571428.57142857148</v>
      </c>
      <c r="AE8" s="218">
        <f>AC8*$Q8</f>
        <v>0.13416666666666668</v>
      </c>
      <c r="AF8" s="221">
        <f>AC8*$O8</f>
        <v>0.26833333333333337</v>
      </c>
      <c r="AG8" s="222">
        <f t="shared" ref="AG8:AG39" si="16">$K$7+$J$7*(($C8-$G8+$K8)/($B8-$F8+$J8))</f>
        <v>0.27072916666666669</v>
      </c>
      <c r="AH8" s="223">
        <f t="shared" si="15"/>
        <v>-2.3958333333333193E-3</v>
      </c>
      <c r="AI8" s="224">
        <f t="shared" ref="AI8:AI39" si="17">IF(AG8=0,"",AH8/AG8)</f>
        <v>-8.8495575221238416E-3</v>
      </c>
      <c r="AK8" s="232">
        <f>$M$8/SUM($M$4:$M8)</f>
        <v>0</v>
      </c>
      <c r="AL8" s="217">
        <f t="shared" ref="AL8:AL39" si="18">AK8*$P8</f>
        <v>0</v>
      </c>
      <c r="AM8" s="218">
        <f>AK8*$Q8</f>
        <v>0</v>
      </c>
      <c r="AN8" s="221">
        <f>AK8*$O8</f>
        <v>0</v>
      </c>
      <c r="AO8" s="222">
        <f>$K$8+$J$8*(($C8-$G8+$K8)/($B8-$F8+$J8))</f>
        <v>0</v>
      </c>
      <c r="AP8" s="223">
        <f t="shared" ref="AP8:AP39" si="19">AN8-AO8</f>
        <v>0</v>
      </c>
      <c r="AQ8" s="224" t="str">
        <f>IF(AN8=0,"",AP8/AO8)</f>
        <v/>
      </c>
      <c r="AS8" s="233" t="s">
        <v>80</v>
      </c>
      <c r="AT8" s="234"/>
      <c r="AU8" s="234"/>
      <c r="AV8" s="234"/>
      <c r="AW8" s="234"/>
      <c r="AX8" s="234"/>
      <c r="AY8" s="235"/>
    </row>
    <row r="9" spans="1:51" ht="17">
      <c r="A9" s="109" t="s">
        <v>12</v>
      </c>
      <c r="B9" s="110">
        <f t="shared" si="6"/>
        <v>4000000</v>
      </c>
      <c r="C9" s="111">
        <f t="shared" si="6"/>
        <v>0.93916666666666671</v>
      </c>
      <c r="D9" s="212">
        <f t="shared" si="7"/>
        <v>2.3479166666666669E-7</v>
      </c>
      <c r="F9" s="213"/>
      <c r="G9" s="114">
        <f t="shared" si="8"/>
        <v>0</v>
      </c>
      <c r="H9" s="115">
        <f t="shared" si="9"/>
        <v>2.3479166666666669E-7</v>
      </c>
      <c r="J9" s="213"/>
      <c r="K9" s="214">
        <f t="shared" si="2"/>
        <v>0</v>
      </c>
      <c r="L9" s="215">
        <f t="shared" si="3"/>
        <v>0</v>
      </c>
      <c r="M9" s="118">
        <f>MIN(J9*10^18*SUM($M$3:$M8) / ((B9-F9)*10^18), K9*10^18*SUM($M$3:$M8) / ((C9-G9)*10^18))</f>
        <v>0</v>
      </c>
      <c r="O9" s="216">
        <f t="shared" si="10"/>
        <v>1.8783333333333334</v>
      </c>
      <c r="P9" s="217">
        <f>SUM($J$4:$J9)-SUM($F$4:$F9)</f>
        <v>4000000</v>
      </c>
      <c r="Q9" s="218">
        <f>SUM($K$4:$K9)-SUM($G$4:$G9)</f>
        <v>0.93916666666666671</v>
      </c>
      <c r="R9" s="219">
        <f t="shared" si="4"/>
        <v>0</v>
      </c>
      <c r="S9" s="122"/>
      <c r="U9" s="220">
        <f>$M$6/SUM($M$4:$M9)</f>
        <v>0</v>
      </c>
      <c r="V9" s="217">
        <f t="shared" si="5"/>
        <v>0</v>
      </c>
      <c r="W9" s="218">
        <f>U9*$Q9</f>
        <v>0</v>
      </c>
      <c r="X9" s="221">
        <f>U9*$O9</f>
        <v>0</v>
      </c>
      <c r="Y9" s="222">
        <f t="shared" si="11"/>
        <v>0</v>
      </c>
      <c r="Z9" s="223">
        <f t="shared" si="12"/>
        <v>0</v>
      </c>
      <c r="AA9" s="224" t="str">
        <f t="shared" si="13"/>
        <v/>
      </c>
      <c r="AC9" s="232">
        <f>$M$7/SUM($M$4:$M9)</f>
        <v>0.14285714285714288</v>
      </c>
      <c r="AD9" s="217">
        <f t="shared" si="14"/>
        <v>571428.57142857148</v>
      </c>
      <c r="AE9" s="218">
        <f>AC9*$Q9</f>
        <v>0.13416666666666668</v>
      </c>
      <c r="AF9" s="221">
        <f>AC9*$O9</f>
        <v>0.26833333333333337</v>
      </c>
      <c r="AG9" s="222">
        <f t="shared" si="16"/>
        <v>0.27072916666666669</v>
      </c>
      <c r="AH9" s="223">
        <f t="shared" si="15"/>
        <v>-2.3958333333333193E-3</v>
      </c>
      <c r="AI9" s="224">
        <f t="shared" si="17"/>
        <v>-8.8495575221238416E-3</v>
      </c>
      <c r="AK9" s="232">
        <f>$M$8/SUM($M$4:$M9)</f>
        <v>0</v>
      </c>
      <c r="AL9" s="217">
        <f t="shared" si="18"/>
        <v>0</v>
      </c>
      <c r="AM9" s="218">
        <f>AK9*$Q9</f>
        <v>0</v>
      </c>
      <c r="AN9" s="221">
        <f>AK9*$O9</f>
        <v>0</v>
      </c>
      <c r="AO9" s="222">
        <f t="shared" ref="AO9:AO39" si="20">$K$8+$J$8*(($C9-$G9+$K9)/($B9-$F9+$J9))</f>
        <v>0</v>
      </c>
      <c r="AP9" s="223">
        <f t="shared" si="19"/>
        <v>0</v>
      </c>
      <c r="AQ9" s="224" t="str">
        <f t="shared" ref="AQ9:AQ39" si="21">IF(AN9=0,"",AP9/AO9)</f>
        <v/>
      </c>
      <c r="AS9" s="232">
        <f>$M$9/SUM($M$4:$M9)</f>
        <v>0</v>
      </c>
      <c r="AT9" s="217">
        <f t="shared" ref="AT9:AT39" si="22">AS9*$P9</f>
        <v>0</v>
      </c>
      <c r="AU9" s="218">
        <f>AS9*$Q9</f>
        <v>0</v>
      </c>
      <c r="AV9" s="221">
        <f>AS9*$O9</f>
        <v>0</v>
      </c>
      <c r="AW9" s="222">
        <f>$K$9+$J$9*(($C9-$G9+$K9)/($B9-$F9+$J9))</f>
        <v>0</v>
      </c>
      <c r="AX9" s="223">
        <f t="shared" ref="AX9:AX39" si="23">AV9-AW9</f>
        <v>0</v>
      </c>
      <c r="AY9" s="239" t="str">
        <f>IF(AW9=0,"",AX9/AW9)</f>
        <v/>
      </c>
    </row>
    <row r="10" spans="1:51" ht="17">
      <c r="A10" s="109" t="s">
        <v>13</v>
      </c>
      <c r="B10" s="110">
        <f t="shared" si="6"/>
        <v>4000000</v>
      </c>
      <c r="C10" s="111">
        <f t="shared" si="6"/>
        <v>0.93916666666666671</v>
      </c>
      <c r="D10" s="212">
        <f t="shared" si="7"/>
        <v>2.3479166666666669E-7</v>
      </c>
      <c r="F10" s="213"/>
      <c r="G10" s="240">
        <f t="shared" si="8"/>
        <v>0</v>
      </c>
      <c r="H10" s="115">
        <f t="shared" si="9"/>
        <v>2.3479166666666669E-7</v>
      </c>
      <c r="J10" s="213"/>
      <c r="K10" s="214">
        <f t="shared" si="2"/>
        <v>0</v>
      </c>
      <c r="L10" s="215">
        <f t="shared" si="3"/>
        <v>0</v>
      </c>
      <c r="M10" s="118">
        <f>MIN(J10*10^18*SUM($M$3:$M9) / ((B10-F10)*10^18), K10*10^18*SUM($M$3:$M9) / ((C10-G10)*10^18))</f>
        <v>0</v>
      </c>
      <c r="O10" s="216">
        <f t="shared" si="10"/>
        <v>1.8783333333333334</v>
      </c>
      <c r="P10" s="217">
        <f>SUM($J$4:$J10)-SUM($F$4:$F10)</f>
        <v>4000000</v>
      </c>
      <c r="Q10" s="218">
        <f>SUM($K$4:$K10)-SUM($G$4:$G10)</f>
        <v>0.93916666666666671</v>
      </c>
      <c r="R10" s="219">
        <f t="shared" si="4"/>
        <v>0</v>
      </c>
      <c r="S10" s="122"/>
      <c r="U10" s="220">
        <f>$M$6/SUM($M$4:$M10)</f>
        <v>0</v>
      </c>
      <c r="V10" s="217">
        <f t="shared" si="5"/>
        <v>0</v>
      </c>
      <c r="W10" s="218">
        <f t="shared" ref="W10:W39" si="24">U10*$Q10</f>
        <v>0</v>
      </c>
      <c r="X10" s="221">
        <f t="shared" ref="X10:X39" si="25">U10*$O10</f>
        <v>0</v>
      </c>
      <c r="Y10" s="222">
        <f t="shared" si="11"/>
        <v>0</v>
      </c>
      <c r="Z10" s="223">
        <f t="shared" si="12"/>
        <v>0</v>
      </c>
      <c r="AA10" s="224" t="str">
        <f t="shared" si="13"/>
        <v/>
      </c>
      <c r="AC10" s="232">
        <f>$M$7/SUM($M$4:$M10)</f>
        <v>0.14285714285714288</v>
      </c>
      <c r="AD10" s="217">
        <f t="shared" si="14"/>
        <v>571428.57142857148</v>
      </c>
      <c r="AE10" s="218">
        <f t="shared" ref="AE10:AE39" si="26">AC10*$Q10</f>
        <v>0.13416666666666668</v>
      </c>
      <c r="AF10" s="221">
        <f t="shared" ref="AF10:AF39" si="27">AC10*$O10</f>
        <v>0.26833333333333337</v>
      </c>
      <c r="AG10" s="222">
        <f t="shared" si="16"/>
        <v>0.27072916666666669</v>
      </c>
      <c r="AH10" s="223">
        <f t="shared" si="15"/>
        <v>-2.3958333333333193E-3</v>
      </c>
      <c r="AI10" s="224">
        <f t="shared" si="17"/>
        <v>-8.8495575221238416E-3</v>
      </c>
      <c r="AK10" s="232">
        <f>$M$8/SUM($M$4:$M10)</f>
        <v>0</v>
      </c>
      <c r="AL10" s="217">
        <f t="shared" si="18"/>
        <v>0</v>
      </c>
      <c r="AM10" s="218">
        <f t="shared" ref="AM10:AM39" si="28">AK10*$Q10</f>
        <v>0</v>
      </c>
      <c r="AN10" s="221">
        <f t="shared" ref="AN10:AN39" si="29">AK10*$O10</f>
        <v>0</v>
      </c>
      <c r="AO10" s="222">
        <f t="shared" si="20"/>
        <v>0</v>
      </c>
      <c r="AP10" s="223">
        <f t="shared" si="19"/>
        <v>0</v>
      </c>
      <c r="AQ10" s="224" t="str">
        <f t="shared" si="21"/>
        <v/>
      </c>
      <c r="AS10" s="232">
        <f>$M$9/SUM($M$4:$M10)</f>
        <v>0</v>
      </c>
      <c r="AT10" s="217">
        <f t="shared" si="22"/>
        <v>0</v>
      </c>
      <c r="AU10" s="218">
        <f t="shared" ref="AU10:AU39" si="30">AS10*$Q10</f>
        <v>0</v>
      </c>
      <c r="AV10" s="221">
        <f t="shared" ref="AV10:AV39" si="31">AS10*$O10</f>
        <v>0</v>
      </c>
      <c r="AW10" s="222">
        <f t="shared" ref="AW10:AW39" si="32">$K$9+$J$9*(($C10-$G10+$K10)/($B10-$F10+$J10))</f>
        <v>0</v>
      </c>
      <c r="AX10" s="223">
        <f t="shared" si="23"/>
        <v>0</v>
      </c>
      <c r="AY10" s="239" t="str">
        <f t="shared" ref="AY10:AY39" si="33">IF(AW10=0,"",AX10/AW10)</f>
        <v/>
      </c>
    </row>
    <row r="11" spans="1:51" ht="17">
      <c r="A11" s="109" t="s">
        <v>14</v>
      </c>
      <c r="B11" s="110">
        <f t="shared" si="6"/>
        <v>4000000</v>
      </c>
      <c r="C11" s="111">
        <f t="shared" si="6"/>
        <v>0.93916666666666671</v>
      </c>
      <c r="D11" s="212">
        <f t="shared" si="7"/>
        <v>2.3479166666666669E-7</v>
      </c>
      <c r="F11" s="213"/>
      <c r="G11" s="114">
        <f t="shared" si="8"/>
        <v>0</v>
      </c>
      <c r="H11" s="115">
        <f t="shared" si="9"/>
        <v>2.3479166666666669E-7</v>
      </c>
      <c r="J11" s="213"/>
      <c r="K11" s="214">
        <f t="shared" ref="K11:K39" si="34">J11/((B11-F11)/(C11-G11))</f>
        <v>0</v>
      </c>
      <c r="L11" s="215">
        <f t="shared" ref="L11:L39" si="35">2*K11</f>
        <v>0</v>
      </c>
      <c r="M11" s="118">
        <f>MIN(J11*10^18*SUM($M$3:$M10) / ((B11-F11)*10^18), K11*10^18*SUM($M$3:$M10) / ((C11-G11)*10^18))</f>
        <v>0</v>
      </c>
      <c r="O11" s="216">
        <f t="shared" si="10"/>
        <v>1.8783333333333334</v>
      </c>
      <c r="P11" s="217">
        <f>SUM($J$4:$J11)-SUM($F$4:$F11)</f>
        <v>4000000</v>
      </c>
      <c r="Q11" s="218">
        <f>SUM($K$4:$K11)-SUM($G$4:$G11)</f>
        <v>0.93916666666666671</v>
      </c>
      <c r="R11" s="219">
        <f t="shared" si="4"/>
        <v>0</v>
      </c>
      <c r="S11" s="122"/>
      <c r="U11" s="220">
        <f>$M$6/SUM($M$4:$M11)</f>
        <v>0</v>
      </c>
      <c r="V11" s="217">
        <f t="shared" si="5"/>
        <v>0</v>
      </c>
      <c r="W11" s="218">
        <f t="shared" si="24"/>
        <v>0</v>
      </c>
      <c r="X11" s="221">
        <f t="shared" si="25"/>
        <v>0</v>
      </c>
      <c r="Y11" s="222">
        <f t="shared" si="11"/>
        <v>0</v>
      </c>
      <c r="Z11" s="223">
        <f t="shared" si="12"/>
        <v>0</v>
      </c>
      <c r="AA11" s="224" t="str">
        <f t="shared" si="13"/>
        <v/>
      </c>
      <c r="AC11" s="232">
        <f>$M$7/SUM($M$4:$M11)</f>
        <v>0.14285714285714288</v>
      </c>
      <c r="AD11" s="217">
        <f t="shared" si="14"/>
        <v>571428.57142857148</v>
      </c>
      <c r="AE11" s="218">
        <f t="shared" si="26"/>
        <v>0.13416666666666668</v>
      </c>
      <c r="AF11" s="221">
        <f t="shared" si="27"/>
        <v>0.26833333333333337</v>
      </c>
      <c r="AG11" s="222">
        <f t="shared" si="16"/>
        <v>0.27072916666666669</v>
      </c>
      <c r="AH11" s="223">
        <f t="shared" si="15"/>
        <v>-2.3958333333333193E-3</v>
      </c>
      <c r="AI11" s="224">
        <f t="shared" si="17"/>
        <v>-8.8495575221238416E-3</v>
      </c>
      <c r="AK11" s="232">
        <f>$M$8/SUM($M$4:$M11)</f>
        <v>0</v>
      </c>
      <c r="AL11" s="217">
        <f t="shared" si="18"/>
        <v>0</v>
      </c>
      <c r="AM11" s="218">
        <f t="shared" si="28"/>
        <v>0</v>
      </c>
      <c r="AN11" s="221">
        <f t="shared" si="29"/>
        <v>0</v>
      </c>
      <c r="AO11" s="222">
        <f t="shared" si="20"/>
        <v>0</v>
      </c>
      <c r="AP11" s="223">
        <f t="shared" si="19"/>
        <v>0</v>
      </c>
      <c r="AQ11" s="224" t="str">
        <f t="shared" si="21"/>
        <v/>
      </c>
      <c r="AS11" s="232">
        <f>$M$9/SUM($M$4:$M11)</f>
        <v>0</v>
      </c>
      <c r="AT11" s="217">
        <f t="shared" si="22"/>
        <v>0</v>
      </c>
      <c r="AU11" s="218">
        <f t="shared" si="30"/>
        <v>0</v>
      </c>
      <c r="AV11" s="221">
        <f t="shared" si="31"/>
        <v>0</v>
      </c>
      <c r="AW11" s="222">
        <f t="shared" si="32"/>
        <v>0</v>
      </c>
      <c r="AX11" s="223">
        <f t="shared" si="23"/>
        <v>0</v>
      </c>
      <c r="AY11" s="239" t="str">
        <f t="shared" si="33"/>
        <v/>
      </c>
    </row>
    <row r="12" spans="1:51" ht="17">
      <c r="A12" s="109" t="s">
        <v>15</v>
      </c>
      <c r="B12" s="110">
        <f t="shared" si="6"/>
        <v>4000000</v>
      </c>
      <c r="C12" s="111">
        <f t="shared" si="6"/>
        <v>0.93916666666666671</v>
      </c>
      <c r="D12" s="212">
        <f t="shared" si="7"/>
        <v>2.3479166666666669E-7</v>
      </c>
      <c r="F12" s="213"/>
      <c r="G12" s="114">
        <f t="shared" si="8"/>
        <v>0</v>
      </c>
      <c r="H12" s="115">
        <f t="shared" si="9"/>
        <v>2.3479166666666669E-7</v>
      </c>
      <c r="J12" s="213"/>
      <c r="K12" s="214">
        <f t="shared" si="34"/>
        <v>0</v>
      </c>
      <c r="L12" s="215">
        <f t="shared" si="35"/>
        <v>0</v>
      </c>
      <c r="M12" s="118">
        <f>MIN(J12*10^18*SUM($M$3:$M11) / ((B12-F12)*10^18), K12*10^18*SUM($M$3:$M11) / ((C12-G12)*10^18))</f>
        <v>0</v>
      </c>
      <c r="O12" s="216">
        <f t="shared" si="10"/>
        <v>1.8783333333333334</v>
      </c>
      <c r="P12" s="217">
        <f>SUM($J$4:$J12)-SUM($F$4:$F12)</f>
        <v>4000000</v>
      </c>
      <c r="Q12" s="218">
        <f>SUM($K$4:$K12)-SUM($G$4:$G12)</f>
        <v>0.93916666666666671</v>
      </c>
      <c r="R12" s="219">
        <f t="shared" si="4"/>
        <v>0</v>
      </c>
      <c r="S12" s="122"/>
      <c r="U12" s="220">
        <f>$M$6/SUM($M$4:$M12)</f>
        <v>0</v>
      </c>
      <c r="V12" s="217">
        <f t="shared" si="5"/>
        <v>0</v>
      </c>
      <c r="W12" s="218">
        <f t="shared" si="24"/>
        <v>0</v>
      </c>
      <c r="X12" s="221">
        <f t="shared" si="25"/>
        <v>0</v>
      </c>
      <c r="Y12" s="222">
        <f t="shared" si="11"/>
        <v>0</v>
      </c>
      <c r="Z12" s="223">
        <f t="shared" si="12"/>
        <v>0</v>
      </c>
      <c r="AA12" s="224" t="str">
        <f t="shared" si="13"/>
        <v/>
      </c>
      <c r="AC12" s="232">
        <f>$M$7/SUM($M$4:$M12)</f>
        <v>0.14285714285714288</v>
      </c>
      <c r="AD12" s="217">
        <f t="shared" si="14"/>
        <v>571428.57142857148</v>
      </c>
      <c r="AE12" s="218">
        <f t="shared" si="26"/>
        <v>0.13416666666666668</v>
      </c>
      <c r="AF12" s="221">
        <f t="shared" si="27"/>
        <v>0.26833333333333337</v>
      </c>
      <c r="AG12" s="222">
        <f t="shared" si="16"/>
        <v>0.27072916666666669</v>
      </c>
      <c r="AH12" s="223">
        <f t="shared" si="15"/>
        <v>-2.3958333333333193E-3</v>
      </c>
      <c r="AI12" s="224">
        <f t="shared" si="17"/>
        <v>-8.8495575221238416E-3</v>
      </c>
      <c r="AK12" s="232">
        <f>$M$8/SUM($M$4:$M12)</f>
        <v>0</v>
      </c>
      <c r="AL12" s="217">
        <f t="shared" si="18"/>
        <v>0</v>
      </c>
      <c r="AM12" s="218">
        <f t="shared" si="28"/>
        <v>0</v>
      </c>
      <c r="AN12" s="221">
        <f t="shared" si="29"/>
        <v>0</v>
      </c>
      <c r="AO12" s="222">
        <f t="shared" si="20"/>
        <v>0</v>
      </c>
      <c r="AP12" s="223">
        <f t="shared" si="19"/>
        <v>0</v>
      </c>
      <c r="AQ12" s="224" t="str">
        <f t="shared" si="21"/>
        <v/>
      </c>
      <c r="AS12" s="232">
        <f>$M$9/SUM($M$4:$M12)</f>
        <v>0</v>
      </c>
      <c r="AT12" s="217">
        <f t="shared" si="22"/>
        <v>0</v>
      </c>
      <c r="AU12" s="218">
        <f t="shared" si="30"/>
        <v>0</v>
      </c>
      <c r="AV12" s="221">
        <f t="shared" si="31"/>
        <v>0</v>
      </c>
      <c r="AW12" s="222">
        <f t="shared" si="32"/>
        <v>0</v>
      </c>
      <c r="AX12" s="223">
        <f t="shared" si="23"/>
        <v>0</v>
      </c>
      <c r="AY12" s="239" t="str">
        <f t="shared" si="33"/>
        <v/>
      </c>
    </row>
    <row r="13" spans="1:51" ht="17">
      <c r="A13" s="109" t="s">
        <v>16</v>
      </c>
      <c r="B13" s="110">
        <f t="shared" si="6"/>
        <v>4000000</v>
      </c>
      <c r="C13" s="111">
        <f t="shared" si="6"/>
        <v>0.93916666666666671</v>
      </c>
      <c r="D13" s="212">
        <f t="shared" si="7"/>
        <v>2.3479166666666669E-7</v>
      </c>
      <c r="F13" s="213"/>
      <c r="G13" s="114">
        <f t="shared" si="8"/>
        <v>0</v>
      </c>
      <c r="H13" s="115">
        <f t="shared" si="9"/>
        <v>2.3479166666666669E-7</v>
      </c>
      <c r="J13" s="213"/>
      <c r="K13" s="214">
        <f t="shared" si="34"/>
        <v>0</v>
      </c>
      <c r="L13" s="215">
        <f t="shared" si="35"/>
        <v>0</v>
      </c>
      <c r="M13" s="118">
        <f>MIN(J13*10^18*SUM($M$3:$M12) / ((B13-F13)*10^18), K13*10^18*SUM($M$3:$M12) / ((C13-G13)*10^18))</f>
        <v>0</v>
      </c>
      <c r="O13" s="216">
        <f t="shared" si="10"/>
        <v>1.8783333333333334</v>
      </c>
      <c r="P13" s="217">
        <f>SUM($J$4:$J13)-SUM($F$4:$F13)</f>
        <v>4000000</v>
      </c>
      <c r="Q13" s="218">
        <f>SUM($K$4:$K13)-SUM($G$4:$G13)</f>
        <v>0.93916666666666671</v>
      </c>
      <c r="R13" s="219">
        <f t="shared" si="4"/>
        <v>0</v>
      </c>
      <c r="S13" s="122"/>
      <c r="U13" s="220">
        <f>$M$6/SUM($M$4:$M13)</f>
        <v>0</v>
      </c>
      <c r="V13" s="217">
        <f t="shared" si="5"/>
        <v>0</v>
      </c>
      <c r="W13" s="218">
        <f t="shared" si="24"/>
        <v>0</v>
      </c>
      <c r="X13" s="221">
        <f t="shared" si="25"/>
        <v>0</v>
      </c>
      <c r="Y13" s="222">
        <f t="shared" si="11"/>
        <v>0</v>
      </c>
      <c r="Z13" s="223">
        <f t="shared" si="12"/>
        <v>0</v>
      </c>
      <c r="AA13" s="224" t="str">
        <f t="shared" si="13"/>
        <v/>
      </c>
      <c r="AC13" s="232">
        <f>$M$7/SUM($M$4:$M13)</f>
        <v>0.14285714285714288</v>
      </c>
      <c r="AD13" s="217">
        <f t="shared" si="14"/>
        <v>571428.57142857148</v>
      </c>
      <c r="AE13" s="218">
        <f t="shared" si="26"/>
        <v>0.13416666666666668</v>
      </c>
      <c r="AF13" s="221">
        <f t="shared" si="27"/>
        <v>0.26833333333333337</v>
      </c>
      <c r="AG13" s="222">
        <f t="shared" si="16"/>
        <v>0.27072916666666669</v>
      </c>
      <c r="AH13" s="223">
        <f t="shared" si="15"/>
        <v>-2.3958333333333193E-3</v>
      </c>
      <c r="AI13" s="224">
        <f t="shared" si="17"/>
        <v>-8.8495575221238416E-3</v>
      </c>
      <c r="AK13" s="232">
        <f>$M$8/SUM($M$4:$M13)</f>
        <v>0</v>
      </c>
      <c r="AL13" s="217">
        <f t="shared" si="18"/>
        <v>0</v>
      </c>
      <c r="AM13" s="218">
        <f t="shared" si="28"/>
        <v>0</v>
      </c>
      <c r="AN13" s="221">
        <f t="shared" si="29"/>
        <v>0</v>
      </c>
      <c r="AO13" s="222">
        <f t="shared" si="20"/>
        <v>0</v>
      </c>
      <c r="AP13" s="223">
        <f t="shared" si="19"/>
        <v>0</v>
      </c>
      <c r="AQ13" s="224" t="str">
        <f t="shared" si="21"/>
        <v/>
      </c>
      <c r="AS13" s="232">
        <f>$M$9/SUM($M$4:$M13)</f>
        <v>0</v>
      </c>
      <c r="AT13" s="217">
        <f t="shared" si="22"/>
        <v>0</v>
      </c>
      <c r="AU13" s="218">
        <f t="shared" si="30"/>
        <v>0</v>
      </c>
      <c r="AV13" s="221">
        <f t="shared" si="31"/>
        <v>0</v>
      </c>
      <c r="AW13" s="222">
        <f t="shared" si="32"/>
        <v>0</v>
      </c>
      <c r="AX13" s="223">
        <f t="shared" si="23"/>
        <v>0</v>
      </c>
      <c r="AY13" s="239" t="str">
        <f t="shared" si="33"/>
        <v/>
      </c>
    </row>
    <row r="14" spans="1:51" ht="17">
      <c r="A14" s="109" t="s">
        <v>43</v>
      </c>
      <c r="B14" s="110">
        <f t="shared" si="6"/>
        <v>4000000</v>
      </c>
      <c r="C14" s="111">
        <f t="shared" si="6"/>
        <v>0.93916666666666671</v>
      </c>
      <c r="D14" s="212">
        <f t="shared" si="7"/>
        <v>2.3479166666666669E-7</v>
      </c>
      <c r="F14" s="213"/>
      <c r="G14" s="114">
        <f t="shared" ref="G14:G23" si="36">-1*((B14 * C14)/(B14 - F14)-C14 )</f>
        <v>0</v>
      </c>
      <c r="H14" s="115">
        <f t="shared" ref="H14:H23" si="37">IF(F14&lt;&gt;0,-1*G14/F14,D14)</f>
        <v>2.3479166666666669E-7</v>
      </c>
      <c r="J14" s="213"/>
      <c r="K14" s="214">
        <f t="shared" ref="K14:K23" si="38">J14/((B14-F14)/(C14-G14))</f>
        <v>0</v>
      </c>
      <c r="L14" s="215">
        <f t="shared" ref="L14:L23" si="39">2*K14</f>
        <v>0</v>
      </c>
      <c r="M14" s="118">
        <f>MIN(J14*10^18*SUM($M$3:$M13) / ((B14-F14)*10^18), K14*10^18*SUM($M$3:$M13) / ((C14-G14)*10^18))</f>
        <v>0</v>
      </c>
      <c r="O14" s="216">
        <f t="shared" si="10"/>
        <v>1.8783333333333334</v>
      </c>
      <c r="P14" s="217">
        <f>SUM($J$4:$J14)-SUM($F$4:$F14)</f>
        <v>4000000</v>
      </c>
      <c r="Q14" s="218">
        <f>SUM($K$4:$K14)-SUM($G$4:$G14)</f>
        <v>0.93916666666666671</v>
      </c>
      <c r="R14" s="219">
        <f t="shared" si="4"/>
        <v>0</v>
      </c>
      <c r="S14" s="122"/>
      <c r="U14" s="220">
        <f>$M$6/SUM($M$4:$M14)</f>
        <v>0</v>
      </c>
      <c r="V14" s="217">
        <f t="shared" si="5"/>
        <v>0</v>
      </c>
      <c r="W14" s="218">
        <f t="shared" si="24"/>
        <v>0</v>
      </c>
      <c r="X14" s="221">
        <f t="shared" si="25"/>
        <v>0</v>
      </c>
      <c r="Y14" s="222">
        <f t="shared" si="11"/>
        <v>0</v>
      </c>
      <c r="Z14" s="223">
        <f t="shared" si="12"/>
        <v>0</v>
      </c>
      <c r="AA14" s="224" t="str">
        <f t="shared" si="13"/>
        <v/>
      </c>
      <c r="AC14" s="232">
        <f>$M$7/SUM($M$4:$M14)</f>
        <v>0.14285714285714288</v>
      </c>
      <c r="AD14" s="217">
        <f t="shared" si="14"/>
        <v>571428.57142857148</v>
      </c>
      <c r="AE14" s="218">
        <f t="shared" si="26"/>
        <v>0.13416666666666668</v>
      </c>
      <c r="AF14" s="221">
        <f t="shared" si="27"/>
        <v>0.26833333333333337</v>
      </c>
      <c r="AG14" s="222">
        <f t="shared" si="16"/>
        <v>0.27072916666666669</v>
      </c>
      <c r="AH14" s="223">
        <f t="shared" si="15"/>
        <v>-2.3958333333333193E-3</v>
      </c>
      <c r="AI14" s="224">
        <f t="shared" si="17"/>
        <v>-8.8495575221238416E-3</v>
      </c>
      <c r="AK14" s="232">
        <f>$M$8/SUM($M$4:$M14)</f>
        <v>0</v>
      </c>
      <c r="AL14" s="217">
        <f t="shared" si="18"/>
        <v>0</v>
      </c>
      <c r="AM14" s="218">
        <f t="shared" si="28"/>
        <v>0</v>
      </c>
      <c r="AN14" s="221">
        <f t="shared" si="29"/>
        <v>0</v>
      </c>
      <c r="AO14" s="222">
        <f t="shared" si="20"/>
        <v>0</v>
      </c>
      <c r="AP14" s="223">
        <f t="shared" si="19"/>
        <v>0</v>
      </c>
      <c r="AQ14" s="224" t="str">
        <f t="shared" si="21"/>
        <v/>
      </c>
      <c r="AS14" s="232">
        <f>$M$9/SUM($M$4:$M14)</f>
        <v>0</v>
      </c>
      <c r="AT14" s="217">
        <f t="shared" si="22"/>
        <v>0</v>
      </c>
      <c r="AU14" s="218">
        <f t="shared" si="30"/>
        <v>0</v>
      </c>
      <c r="AV14" s="221">
        <f t="shared" si="31"/>
        <v>0</v>
      </c>
      <c r="AW14" s="222">
        <f t="shared" si="32"/>
        <v>0</v>
      </c>
      <c r="AX14" s="223">
        <f t="shared" si="23"/>
        <v>0</v>
      </c>
      <c r="AY14" s="239" t="str">
        <f t="shared" si="33"/>
        <v/>
      </c>
    </row>
    <row r="15" spans="1:51" ht="17">
      <c r="A15" s="109" t="s">
        <v>17</v>
      </c>
      <c r="B15" s="110">
        <f t="shared" si="6"/>
        <v>4000000</v>
      </c>
      <c r="C15" s="111">
        <f t="shared" si="6"/>
        <v>0.93916666666666671</v>
      </c>
      <c r="D15" s="212">
        <f t="shared" si="7"/>
        <v>2.3479166666666669E-7</v>
      </c>
      <c r="F15" s="213"/>
      <c r="G15" s="114">
        <f t="shared" si="36"/>
        <v>0</v>
      </c>
      <c r="H15" s="115">
        <f t="shared" si="37"/>
        <v>2.3479166666666669E-7</v>
      </c>
      <c r="J15" s="213"/>
      <c r="K15" s="214">
        <f t="shared" si="38"/>
        <v>0</v>
      </c>
      <c r="L15" s="215">
        <f t="shared" si="39"/>
        <v>0</v>
      </c>
      <c r="M15" s="118">
        <f>MIN(J15*10^18*SUM($M$3:$M14) / ((B15-F15)*10^18), K15*10^18*SUM($M$3:$M14) / ((C15-G15)*10^18))</f>
        <v>0</v>
      </c>
      <c r="O15" s="216">
        <f t="shared" si="10"/>
        <v>1.8783333333333334</v>
      </c>
      <c r="P15" s="217">
        <f>SUM($J$4:$J15)-SUM($F$4:$F15)</f>
        <v>4000000</v>
      </c>
      <c r="Q15" s="218">
        <f>SUM($K$4:$K15)-SUM($G$4:$G15)</f>
        <v>0.93916666666666671</v>
      </c>
      <c r="R15" s="219">
        <f t="shared" si="4"/>
        <v>0</v>
      </c>
      <c r="S15" s="122"/>
      <c r="U15" s="220">
        <f>$M$6/SUM($M$4:$M15)</f>
        <v>0</v>
      </c>
      <c r="V15" s="217">
        <f t="shared" si="5"/>
        <v>0</v>
      </c>
      <c r="W15" s="218">
        <f t="shared" si="24"/>
        <v>0</v>
      </c>
      <c r="X15" s="221">
        <f t="shared" si="25"/>
        <v>0</v>
      </c>
      <c r="Y15" s="222">
        <f t="shared" si="11"/>
        <v>0</v>
      </c>
      <c r="Z15" s="223">
        <f t="shared" si="12"/>
        <v>0</v>
      </c>
      <c r="AA15" s="224" t="str">
        <f t="shared" si="13"/>
        <v/>
      </c>
      <c r="AC15" s="232">
        <f>$M$7/SUM($M$4:$M15)</f>
        <v>0.14285714285714288</v>
      </c>
      <c r="AD15" s="217">
        <f t="shared" si="14"/>
        <v>571428.57142857148</v>
      </c>
      <c r="AE15" s="218">
        <f t="shared" si="26"/>
        <v>0.13416666666666668</v>
      </c>
      <c r="AF15" s="221">
        <f t="shared" si="27"/>
        <v>0.26833333333333337</v>
      </c>
      <c r="AG15" s="222">
        <f t="shared" si="16"/>
        <v>0.27072916666666669</v>
      </c>
      <c r="AH15" s="223">
        <f t="shared" si="15"/>
        <v>-2.3958333333333193E-3</v>
      </c>
      <c r="AI15" s="224">
        <f t="shared" si="17"/>
        <v>-8.8495575221238416E-3</v>
      </c>
      <c r="AK15" s="232">
        <f>$M$8/SUM($M$4:$M15)</f>
        <v>0</v>
      </c>
      <c r="AL15" s="217">
        <f t="shared" si="18"/>
        <v>0</v>
      </c>
      <c r="AM15" s="218">
        <f t="shared" si="28"/>
        <v>0</v>
      </c>
      <c r="AN15" s="221">
        <f t="shared" si="29"/>
        <v>0</v>
      </c>
      <c r="AO15" s="222">
        <f t="shared" si="20"/>
        <v>0</v>
      </c>
      <c r="AP15" s="223">
        <f t="shared" si="19"/>
        <v>0</v>
      </c>
      <c r="AQ15" s="224" t="str">
        <f t="shared" si="21"/>
        <v/>
      </c>
      <c r="AS15" s="232">
        <f>$M$9/SUM($M$4:$M15)</f>
        <v>0</v>
      </c>
      <c r="AT15" s="217">
        <f t="shared" si="22"/>
        <v>0</v>
      </c>
      <c r="AU15" s="218">
        <f t="shared" si="30"/>
        <v>0</v>
      </c>
      <c r="AV15" s="221">
        <f t="shared" si="31"/>
        <v>0</v>
      </c>
      <c r="AW15" s="222">
        <f t="shared" si="32"/>
        <v>0</v>
      </c>
      <c r="AX15" s="223">
        <f t="shared" si="23"/>
        <v>0</v>
      </c>
      <c r="AY15" s="239" t="str">
        <f t="shared" si="33"/>
        <v/>
      </c>
    </row>
    <row r="16" spans="1:51" ht="17">
      <c r="A16" s="109" t="s">
        <v>27</v>
      </c>
      <c r="B16" s="110">
        <f t="shared" si="6"/>
        <v>4000000</v>
      </c>
      <c r="C16" s="111">
        <f t="shared" si="6"/>
        <v>0.93916666666666671</v>
      </c>
      <c r="D16" s="212">
        <f t="shared" si="7"/>
        <v>2.3479166666666669E-7</v>
      </c>
      <c r="F16" s="213"/>
      <c r="G16" s="114">
        <f t="shared" si="36"/>
        <v>0</v>
      </c>
      <c r="H16" s="115">
        <f t="shared" si="37"/>
        <v>2.3479166666666669E-7</v>
      </c>
      <c r="J16" s="213"/>
      <c r="K16" s="214">
        <f t="shared" si="38"/>
        <v>0</v>
      </c>
      <c r="L16" s="215">
        <f t="shared" si="39"/>
        <v>0</v>
      </c>
      <c r="M16" s="118">
        <f>MIN(J16*10^18*SUM($M$3:$M15) / ((B16-F16)*10^18), K16*10^18*SUM($M$3:$M15) / ((C16-G16)*10^18))</f>
        <v>0</v>
      </c>
      <c r="O16" s="216">
        <f t="shared" si="10"/>
        <v>1.8783333333333334</v>
      </c>
      <c r="P16" s="217">
        <f>SUM($J$4:$J16)-SUM($F$4:$F16)</f>
        <v>4000000</v>
      </c>
      <c r="Q16" s="218">
        <f>SUM($K$4:$K16)-SUM($G$4:$G16)</f>
        <v>0.93916666666666671</v>
      </c>
      <c r="R16" s="219">
        <f t="shared" si="4"/>
        <v>0</v>
      </c>
      <c r="S16" s="122"/>
      <c r="U16" s="220">
        <f>$M$6/SUM($M$4:$M16)</f>
        <v>0</v>
      </c>
      <c r="V16" s="217">
        <f t="shared" si="5"/>
        <v>0</v>
      </c>
      <c r="W16" s="218">
        <f t="shared" si="24"/>
        <v>0</v>
      </c>
      <c r="X16" s="221">
        <f t="shared" si="25"/>
        <v>0</v>
      </c>
      <c r="Y16" s="222">
        <f t="shared" si="11"/>
        <v>0</v>
      </c>
      <c r="Z16" s="223">
        <f t="shared" si="12"/>
        <v>0</v>
      </c>
      <c r="AA16" s="224" t="str">
        <f t="shared" si="13"/>
        <v/>
      </c>
      <c r="AC16" s="232">
        <f>$M$7/SUM($M$4:$M16)</f>
        <v>0.14285714285714288</v>
      </c>
      <c r="AD16" s="217">
        <f t="shared" si="14"/>
        <v>571428.57142857148</v>
      </c>
      <c r="AE16" s="218">
        <f t="shared" si="26"/>
        <v>0.13416666666666668</v>
      </c>
      <c r="AF16" s="221">
        <f t="shared" si="27"/>
        <v>0.26833333333333337</v>
      </c>
      <c r="AG16" s="222">
        <f t="shared" si="16"/>
        <v>0.27072916666666669</v>
      </c>
      <c r="AH16" s="223">
        <f t="shared" si="15"/>
        <v>-2.3958333333333193E-3</v>
      </c>
      <c r="AI16" s="224">
        <f t="shared" si="17"/>
        <v>-8.8495575221238416E-3</v>
      </c>
      <c r="AK16" s="232">
        <f>$M$8/SUM($M$4:$M16)</f>
        <v>0</v>
      </c>
      <c r="AL16" s="217">
        <f t="shared" si="18"/>
        <v>0</v>
      </c>
      <c r="AM16" s="218">
        <f t="shared" si="28"/>
        <v>0</v>
      </c>
      <c r="AN16" s="221">
        <f t="shared" si="29"/>
        <v>0</v>
      </c>
      <c r="AO16" s="222">
        <f t="shared" si="20"/>
        <v>0</v>
      </c>
      <c r="AP16" s="223">
        <f t="shared" si="19"/>
        <v>0</v>
      </c>
      <c r="AQ16" s="224" t="str">
        <f t="shared" si="21"/>
        <v/>
      </c>
      <c r="AS16" s="232">
        <f>$M$9/SUM($M$4:$M16)</f>
        <v>0</v>
      </c>
      <c r="AT16" s="217">
        <f t="shared" si="22"/>
        <v>0</v>
      </c>
      <c r="AU16" s="218">
        <f t="shared" si="30"/>
        <v>0</v>
      </c>
      <c r="AV16" s="221">
        <f t="shared" si="31"/>
        <v>0</v>
      </c>
      <c r="AW16" s="222">
        <f t="shared" si="32"/>
        <v>0</v>
      </c>
      <c r="AX16" s="223">
        <f t="shared" si="23"/>
        <v>0</v>
      </c>
      <c r="AY16" s="239" t="str">
        <f t="shared" si="33"/>
        <v/>
      </c>
    </row>
    <row r="17" spans="1:51" ht="17">
      <c r="A17" s="109" t="s">
        <v>51</v>
      </c>
      <c r="B17" s="110">
        <f t="shared" si="6"/>
        <v>4000000</v>
      </c>
      <c r="C17" s="111">
        <f t="shared" si="6"/>
        <v>0.93916666666666671</v>
      </c>
      <c r="D17" s="212">
        <f t="shared" si="7"/>
        <v>2.3479166666666669E-7</v>
      </c>
      <c r="F17" s="213"/>
      <c r="G17" s="114">
        <f t="shared" si="36"/>
        <v>0</v>
      </c>
      <c r="H17" s="115">
        <f t="shared" si="37"/>
        <v>2.3479166666666669E-7</v>
      </c>
      <c r="J17" s="213"/>
      <c r="K17" s="214">
        <f t="shared" si="38"/>
        <v>0</v>
      </c>
      <c r="L17" s="215">
        <f t="shared" si="39"/>
        <v>0</v>
      </c>
      <c r="M17" s="118">
        <f>MIN(J17*10^18*SUM($M$3:$M16) / ((B17-F17)*10^18), K17*10^18*SUM($M$3:$M16) / ((C17-G17)*10^18))</f>
        <v>0</v>
      </c>
      <c r="O17" s="216">
        <f t="shared" si="10"/>
        <v>1.8783333333333334</v>
      </c>
      <c r="P17" s="217">
        <f>SUM($J$4:$J17)-SUM($F$4:$F17)</f>
        <v>4000000</v>
      </c>
      <c r="Q17" s="218">
        <f>SUM($K$4:$K17)-SUM($G$4:$G17)</f>
        <v>0.93916666666666671</v>
      </c>
      <c r="R17" s="219">
        <f t="shared" si="4"/>
        <v>0</v>
      </c>
      <c r="S17" s="122"/>
      <c r="U17" s="220">
        <f>$M$6/SUM($M$4:$M17)</f>
        <v>0</v>
      </c>
      <c r="V17" s="217">
        <f t="shared" si="5"/>
        <v>0</v>
      </c>
      <c r="W17" s="218">
        <f t="shared" si="24"/>
        <v>0</v>
      </c>
      <c r="X17" s="221">
        <f t="shared" si="25"/>
        <v>0</v>
      </c>
      <c r="Y17" s="222">
        <f t="shared" si="11"/>
        <v>0</v>
      </c>
      <c r="Z17" s="223">
        <f t="shared" si="12"/>
        <v>0</v>
      </c>
      <c r="AA17" s="224" t="str">
        <f t="shared" si="13"/>
        <v/>
      </c>
      <c r="AC17" s="232">
        <f>$M$7/SUM($M$4:$M17)</f>
        <v>0.14285714285714288</v>
      </c>
      <c r="AD17" s="217">
        <f t="shared" si="14"/>
        <v>571428.57142857148</v>
      </c>
      <c r="AE17" s="218">
        <f t="shared" si="26"/>
        <v>0.13416666666666668</v>
      </c>
      <c r="AF17" s="221">
        <f t="shared" si="27"/>
        <v>0.26833333333333337</v>
      </c>
      <c r="AG17" s="222">
        <f t="shared" si="16"/>
        <v>0.27072916666666669</v>
      </c>
      <c r="AH17" s="223">
        <f t="shared" si="15"/>
        <v>-2.3958333333333193E-3</v>
      </c>
      <c r="AI17" s="224">
        <f t="shared" si="17"/>
        <v>-8.8495575221238416E-3</v>
      </c>
      <c r="AK17" s="232">
        <f>$M$8/SUM($M$4:$M17)</f>
        <v>0</v>
      </c>
      <c r="AL17" s="217">
        <f t="shared" si="18"/>
        <v>0</v>
      </c>
      <c r="AM17" s="218">
        <f t="shared" si="28"/>
        <v>0</v>
      </c>
      <c r="AN17" s="221">
        <f t="shared" si="29"/>
        <v>0</v>
      </c>
      <c r="AO17" s="222">
        <f t="shared" si="20"/>
        <v>0</v>
      </c>
      <c r="AP17" s="223">
        <f t="shared" si="19"/>
        <v>0</v>
      </c>
      <c r="AQ17" s="224" t="str">
        <f t="shared" si="21"/>
        <v/>
      </c>
      <c r="AS17" s="232">
        <f>$M$9/SUM($M$4:$M17)</f>
        <v>0</v>
      </c>
      <c r="AT17" s="217">
        <f t="shared" si="22"/>
        <v>0</v>
      </c>
      <c r="AU17" s="218">
        <f t="shared" si="30"/>
        <v>0</v>
      </c>
      <c r="AV17" s="221">
        <f t="shared" si="31"/>
        <v>0</v>
      </c>
      <c r="AW17" s="222">
        <f t="shared" si="32"/>
        <v>0</v>
      </c>
      <c r="AX17" s="223">
        <f t="shared" si="23"/>
        <v>0</v>
      </c>
      <c r="AY17" s="239" t="str">
        <f t="shared" si="33"/>
        <v/>
      </c>
    </row>
    <row r="18" spans="1:51" ht="17">
      <c r="A18" s="109" t="s">
        <v>25</v>
      </c>
      <c r="B18" s="110">
        <f t="shared" si="6"/>
        <v>4000000</v>
      </c>
      <c r="C18" s="111">
        <f t="shared" si="6"/>
        <v>0.93916666666666671</v>
      </c>
      <c r="D18" s="212">
        <f t="shared" si="7"/>
        <v>2.3479166666666669E-7</v>
      </c>
      <c r="F18" s="213"/>
      <c r="G18" s="114">
        <f t="shared" si="36"/>
        <v>0</v>
      </c>
      <c r="H18" s="115">
        <f t="shared" si="37"/>
        <v>2.3479166666666669E-7</v>
      </c>
      <c r="J18" s="213"/>
      <c r="K18" s="214">
        <f t="shared" si="38"/>
        <v>0</v>
      </c>
      <c r="L18" s="215">
        <f t="shared" si="39"/>
        <v>0</v>
      </c>
      <c r="M18" s="118">
        <f>MIN(J18*10^18*SUM($M$3:$M17) / ((B18-F18)*10^18), K18*10^18*SUM($M$3:$M17) / ((C18-G18)*10^18))</f>
        <v>0</v>
      </c>
      <c r="O18" s="216">
        <f t="shared" si="10"/>
        <v>1.8783333333333334</v>
      </c>
      <c r="P18" s="217">
        <f>SUM($J$4:$J18)-SUM($F$4:$F18)</f>
        <v>4000000</v>
      </c>
      <c r="Q18" s="218">
        <f>SUM($K$4:$K18)-SUM($G$4:$G18)</f>
        <v>0.93916666666666671</v>
      </c>
      <c r="R18" s="219">
        <f t="shared" si="4"/>
        <v>0</v>
      </c>
      <c r="S18" s="122"/>
      <c r="U18" s="220">
        <f>$M$6/SUM($M$4:$M18)</f>
        <v>0</v>
      </c>
      <c r="V18" s="217">
        <f t="shared" si="5"/>
        <v>0</v>
      </c>
      <c r="W18" s="218">
        <f t="shared" si="24"/>
        <v>0</v>
      </c>
      <c r="X18" s="221">
        <f t="shared" si="25"/>
        <v>0</v>
      </c>
      <c r="Y18" s="222">
        <f t="shared" si="11"/>
        <v>0</v>
      </c>
      <c r="Z18" s="223">
        <f t="shared" si="12"/>
        <v>0</v>
      </c>
      <c r="AA18" s="224" t="str">
        <f t="shared" si="13"/>
        <v/>
      </c>
      <c r="AC18" s="232">
        <f>$M$7/SUM($M$4:$M18)</f>
        <v>0.14285714285714288</v>
      </c>
      <c r="AD18" s="217">
        <f t="shared" si="14"/>
        <v>571428.57142857148</v>
      </c>
      <c r="AE18" s="218">
        <f t="shared" si="26"/>
        <v>0.13416666666666668</v>
      </c>
      <c r="AF18" s="221">
        <f t="shared" si="27"/>
        <v>0.26833333333333337</v>
      </c>
      <c r="AG18" s="222">
        <f t="shared" si="16"/>
        <v>0.27072916666666669</v>
      </c>
      <c r="AH18" s="223">
        <f t="shared" si="15"/>
        <v>-2.3958333333333193E-3</v>
      </c>
      <c r="AI18" s="224">
        <f t="shared" si="17"/>
        <v>-8.8495575221238416E-3</v>
      </c>
      <c r="AK18" s="232">
        <f>$M$8/SUM($M$4:$M18)</f>
        <v>0</v>
      </c>
      <c r="AL18" s="217">
        <f t="shared" si="18"/>
        <v>0</v>
      </c>
      <c r="AM18" s="218">
        <f t="shared" si="28"/>
        <v>0</v>
      </c>
      <c r="AN18" s="221">
        <f t="shared" si="29"/>
        <v>0</v>
      </c>
      <c r="AO18" s="222">
        <f t="shared" si="20"/>
        <v>0</v>
      </c>
      <c r="AP18" s="223">
        <f t="shared" si="19"/>
        <v>0</v>
      </c>
      <c r="AQ18" s="224" t="str">
        <f t="shared" si="21"/>
        <v/>
      </c>
      <c r="AS18" s="232">
        <f>$M$9/SUM($M$4:$M18)</f>
        <v>0</v>
      </c>
      <c r="AT18" s="217">
        <f t="shared" si="22"/>
        <v>0</v>
      </c>
      <c r="AU18" s="218">
        <f t="shared" si="30"/>
        <v>0</v>
      </c>
      <c r="AV18" s="221">
        <f t="shared" si="31"/>
        <v>0</v>
      </c>
      <c r="AW18" s="222">
        <f t="shared" si="32"/>
        <v>0</v>
      </c>
      <c r="AX18" s="223">
        <f t="shared" si="23"/>
        <v>0</v>
      </c>
      <c r="AY18" s="239" t="str">
        <f t="shared" si="33"/>
        <v/>
      </c>
    </row>
    <row r="19" spans="1:51" ht="17">
      <c r="A19" s="109" t="s">
        <v>42</v>
      </c>
      <c r="B19" s="110">
        <f t="shared" si="6"/>
        <v>4000000</v>
      </c>
      <c r="C19" s="111">
        <f t="shared" si="6"/>
        <v>0.93916666666666671</v>
      </c>
      <c r="D19" s="212">
        <f t="shared" si="7"/>
        <v>2.3479166666666669E-7</v>
      </c>
      <c r="F19" s="213"/>
      <c r="G19" s="114">
        <f t="shared" si="36"/>
        <v>0</v>
      </c>
      <c r="H19" s="115">
        <f t="shared" si="37"/>
        <v>2.3479166666666669E-7</v>
      </c>
      <c r="J19" s="213"/>
      <c r="K19" s="214">
        <f t="shared" si="38"/>
        <v>0</v>
      </c>
      <c r="L19" s="215">
        <f t="shared" si="39"/>
        <v>0</v>
      </c>
      <c r="M19" s="118">
        <f>MIN(J19*10^18*SUM($M$3:$M18) / ((B19-F19)*10^18), K19*10^18*SUM($M$3:$M18) / ((C19-G19)*10^18))</f>
        <v>0</v>
      </c>
      <c r="O19" s="216">
        <f t="shared" si="10"/>
        <v>1.8783333333333334</v>
      </c>
      <c r="P19" s="217">
        <f>SUM($J$4:$J19)-SUM($F$4:$F19)</f>
        <v>4000000</v>
      </c>
      <c r="Q19" s="218">
        <f>SUM($K$4:$K19)-SUM($G$4:$G19)</f>
        <v>0.93916666666666671</v>
      </c>
      <c r="R19" s="219">
        <f t="shared" si="4"/>
        <v>0</v>
      </c>
      <c r="S19" s="122"/>
      <c r="U19" s="220">
        <f>$M$6/SUM($M$4:$M19)</f>
        <v>0</v>
      </c>
      <c r="V19" s="217">
        <f t="shared" si="5"/>
        <v>0</v>
      </c>
      <c r="W19" s="218">
        <f t="shared" si="24"/>
        <v>0</v>
      </c>
      <c r="X19" s="221">
        <f t="shared" si="25"/>
        <v>0</v>
      </c>
      <c r="Y19" s="222">
        <f t="shared" si="11"/>
        <v>0</v>
      </c>
      <c r="Z19" s="223">
        <f t="shared" si="12"/>
        <v>0</v>
      </c>
      <c r="AA19" s="224" t="str">
        <f t="shared" si="13"/>
        <v/>
      </c>
      <c r="AC19" s="232">
        <f>$M$7/SUM($M$4:$M19)</f>
        <v>0.14285714285714288</v>
      </c>
      <c r="AD19" s="217">
        <f t="shared" si="14"/>
        <v>571428.57142857148</v>
      </c>
      <c r="AE19" s="218">
        <f t="shared" si="26"/>
        <v>0.13416666666666668</v>
      </c>
      <c r="AF19" s="221">
        <f t="shared" si="27"/>
        <v>0.26833333333333337</v>
      </c>
      <c r="AG19" s="222">
        <f t="shared" si="16"/>
        <v>0.27072916666666669</v>
      </c>
      <c r="AH19" s="223">
        <f t="shared" si="15"/>
        <v>-2.3958333333333193E-3</v>
      </c>
      <c r="AI19" s="224">
        <f t="shared" si="17"/>
        <v>-8.8495575221238416E-3</v>
      </c>
      <c r="AK19" s="232">
        <f>$M$8/SUM($M$4:$M19)</f>
        <v>0</v>
      </c>
      <c r="AL19" s="217">
        <f t="shared" si="18"/>
        <v>0</v>
      </c>
      <c r="AM19" s="218">
        <f t="shared" si="28"/>
        <v>0</v>
      </c>
      <c r="AN19" s="221">
        <f t="shared" si="29"/>
        <v>0</v>
      </c>
      <c r="AO19" s="222">
        <f t="shared" si="20"/>
        <v>0</v>
      </c>
      <c r="AP19" s="223">
        <f t="shared" si="19"/>
        <v>0</v>
      </c>
      <c r="AQ19" s="224" t="str">
        <f t="shared" si="21"/>
        <v/>
      </c>
      <c r="AS19" s="232">
        <f>$M$9/SUM($M$4:$M19)</f>
        <v>0</v>
      </c>
      <c r="AT19" s="217">
        <f t="shared" si="22"/>
        <v>0</v>
      </c>
      <c r="AU19" s="218">
        <f t="shared" si="30"/>
        <v>0</v>
      </c>
      <c r="AV19" s="221">
        <f t="shared" si="31"/>
        <v>0</v>
      </c>
      <c r="AW19" s="222">
        <f t="shared" si="32"/>
        <v>0</v>
      </c>
      <c r="AX19" s="223">
        <f t="shared" si="23"/>
        <v>0</v>
      </c>
      <c r="AY19" s="239" t="str">
        <f t="shared" si="33"/>
        <v/>
      </c>
    </row>
    <row r="20" spans="1:51" ht="17">
      <c r="A20" s="109" t="s">
        <v>44</v>
      </c>
      <c r="B20" s="110">
        <f t="shared" si="6"/>
        <v>4000000</v>
      </c>
      <c r="C20" s="111">
        <f t="shared" si="6"/>
        <v>0.93916666666666671</v>
      </c>
      <c r="D20" s="212">
        <f t="shared" si="7"/>
        <v>2.3479166666666669E-7</v>
      </c>
      <c r="F20" s="213"/>
      <c r="G20" s="114">
        <f t="shared" si="36"/>
        <v>0</v>
      </c>
      <c r="H20" s="115">
        <f t="shared" si="37"/>
        <v>2.3479166666666669E-7</v>
      </c>
      <c r="J20" s="213"/>
      <c r="K20" s="214">
        <f t="shared" si="38"/>
        <v>0</v>
      </c>
      <c r="L20" s="215">
        <f t="shared" si="39"/>
        <v>0</v>
      </c>
      <c r="M20" s="118">
        <f>MIN(J20*10^18*SUM($M$3:$M19) / ((B20-F20)*10^18), K20*10^18*SUM($M$3:$M19) / ((C20-G20)*10^18))</f>
        <v>0</v>
      </c>
      <c r="O20" s="216">
        <f t="shared" si="10"/>
        <v>1.8783333333333334</v>
      </c>
      <c r="P20" s="217">
        <f>SUM($J$4:$J20)-SUM($F$4:$F20)</f>
        <v>4000000</v>
      </c>
      <c r="Q20" s="218">
        <f>SUM($K$4:$K20)-SUM($G$4:$G20)</f>
        <v>0.93916666666666671</v>
      </c>
      <c r="R20" s="219">
        <f t="shared" si="4"/>
        <v>0</v>
      </c>
      <c r="S20" s="122"/>
      <c r="U20" s="220">
        <f>$M$6/SUM($M$4:$M20)</f>
        <v>0</v>
      </c>
      <c r="V20" s="217">
        <f t="shared" si="5"/>
        <v>0</v>
      </c>
      <c r="W20" s="218">
        <f t="shared" si="24"/>
        <v>0</v>
      </c>
      <c r="X20" s="221">
        <f t="shared" si="25"/>
        <v>0</v>
      </c>
      <c r="Y20" s="222">
        <f t="shared" si="11"/>
        <v>0</v>
      </c>
      <c r="Z20" s="223">
        <f t="shared" si="12"/>
        <v>0</v>
      </c>
      <c r="AA20" s="224" t="str">
        <f t="shared" si="13"/>
        <v/>
      </c>
      <c r="AC20" s="232">
        <f>$M$7/SUM($M$4:$M20)</f>
        <v>0.14285714285714288</v>
      </c>
      <c r="AD20" s="217">
        <f t="shared" si="14"/>
        <v>571428.57142857148</v>
      </c>
      <c r="AE20" s="218">
        <f t="shared" si="26"/>
        <v>0.13416666666666668</v>
      </c>
      <c r="AF20" s="221">
        <f t="shared" si="27"/>
        <v>0.26833333333333337</v>
      </c>
      <c r="AG20" s="222">
        <f t="shared" si="16"/>
        <v>0.27072916666666669</v>
      </c>
      <c r="AH20" s="223">
        <f t="shared" si="15"/>
        <v>-2.3958333333333193E-3</v>
      </c>
      <c r="AI20" s="224">
        <f t="shared" si="17"/>
        <v>-8.8495575221238416E-3</v>
      </c>
      <c r="AK20" s="232">
        <f>$M$8/SUM($M$4:$M20)</f>
        <v>0</v>
      </c>
      <c r="AL20" s="217">
        <f t="shared" si="18"/>
        <v>0</v>
      </c>
      <c r="AM20" s="218">
        <f t="shared" si="28"/>
        <v>0</v>
      </c>
      <c r="AN20" s="221">
        <f t="shared" si="29"/>
        <v>0</v>
      </c>
      <c r="AO20" s="222">
        <f t="shared" si="20"/>
        <v>0</v>
      </c>
      <c r="AP20" s="223">
        <f t="shared" si="19"/>
        <v>0</v>
      </c>
      <c r="AQ20" s="224" t="str">
        <f t="shared" si="21"/>
        <v/>
      </c>
      <c r="AS20" s="232">
        <f>$M$9/SUM($M$4:$M20)</f>
        <v>0</v>
      </c>
      <c r="AT20" s="217">
        <f t="shared" si="22"/>
        <v>0</v>
      </c>
      <c r="AU20" s="218">
        <f t="shared" si="30"/>
        <v>0</v>
      </c>
      <c r="AV20" s="221">
        <f t="shared" si="31"/>
        <v>0</v>
      </c>
      <c r="AW20" s="222">
        <f t="shared" si="32"/>
        <v>0</v>
      </c>
      <c r="AX20" s="223">
        <f t="shared" si="23"/>
        <v>0</v>
      </c>
      <c r="AY20" s="239" t="str">
        <f t="shared" si="33"/>
        <v/>
      </c>
    </row>
    <row r="21" spans="1:51" ht="17">
      <c r="A21" s="109" t="s">
        <v>45</v>
      </c>
      <c r="B21" s="110">
        <f t="shared" si="6"/>
        <v>4000000</v>
      </c>
      <c r="C21" s="111">
        <f t="shared" si="6"/>
        <v>0.93916666666666671</v>
      </c>
      <c r="D21" s="212">
        <f t="shared" si="7"/>
        <v>2.3479166666666669E-7</v>
      </c>
      <c r="F21" s="213"/>
      <c r="G21" s="114">
        <f t="shared" si="36"/>
        <v>0</v>
      </c>
      <c r="H21" s="115">
        <f t="shared" si="37"/>
        <v>2.3479166666666669E-7</v>
      </c>
      <c r="J21" s="213"/>
      <c r="K21" s="214">
        <f t="shared" si="38"/>
        <v>0</v>
      </c>
      <c r="L21" s="215">
        <f t="shared" si="39"/>
        <v>0</v>
      </c>
      <c r="M21" s="118">
        <f>MIN(J21*10^18*SUM($M$3:$M20) / ((B21-F21)*10^18), K21*10^18*SUM($M$3:$M20) / ((C21-G21)*10^18))</f>
        <v>0</v>
      </c>
      <c r="O21" s="216">
        <f t="shared" si="10"/>
        <v>1.8783333333333334</v>
      </c>
      <c r="P21" s="217">
        <f>SUM($J$4:$J21)-SUM($F$4:$F21)</f>
        <v>4000000</v>
      </c>
      <c r="Q21" s="218">
        <f>SUM($K$4:$K21)-SUM($G$4:$G21)</f>
        <v>0.93916666666666671</v>
      </c>
      <c r="R21" s="219">
        <f t="shared" si="4"/>
        <v>0</v>
      </c>
      <c r="S21" s="122"/>
      <c r="U21" s="220">
        <f>$M$6/SUM($M$4:$M21)</f>
        <v>0</v>
      </c>
      <c r="V21" s="217">
        <f t="shared" si="5"/>
        <v>0</v>
      </c>
      <c r="W21" s="218">
        <f t="shared" si="24"/>
        <v>0</v>
      </c>
      <c r="X21" s="221">
        <f t="shared" si="25"/>
        <v>0</v>
      </c>
      <c r="Y21" s="222">
        <f t="shared" si="11"/>
        <v>0</v>
      </c>
      <c r="Z21" s="223">
        <f t="shared" si="12"/>
        <v>0</v>
      </c>
      <c r="AA21" s="224" t="str">
        <f t="shared" si="13"/>
        <v/>
      </c>
      <c r="AC21" s="232">
        <f>$M$7/SUM($M$4:$M21)</f>
        <v>0.14285714285714288</v>
      </c>
      <c r="AD21" s="217">
        <f t="shared" si="14"/>
        <v>571428.57142857148</v>
      </c>
      <c r="AE21" s="218">
        <f t="shared" si="26"/>
        <v>0.13416666666666668</v>
      </c>
      <c r="AF21" s="221">
        <f t="shared" si="27"/>
        <v>0.26833333333333337</v>
      </c>
      <c r="AG21" s="222">
        <f t="shared" si="16"/>
        <v>0.27072916666666669</v>
      </c>
      <c r="AH21" s="223">
        <f t="shared" si="15"/>
        <v>-2.3958333333333193E-3</v>
      </c>
      <c r="AI21" s="224">
        <f t="shared" si="17"/>
        <v>-8.8495575221238416E-3</v>
      </c>
      <c r="AK21" s="232">
        <f>$M$8/SUM($M$4:$M21)</f>
        <v>0</v>
      </c>
      <c r="AL21" s="217">
        <f t="shared" si="18"/>
        <v>0</v>
      </c>
      <c r="AM21" s="218">
        <f t="shared" si="28"/>
        <v>0</v>
      </c>
      <c r="AN21" s="221">
        <f t="shared" si="29"/>
        <v>0</v>
      </c>
      <c r="AO21" s="222">
        <f t="shared" si="20"/>
        <v>0</v>
      </c>
      <c r="AP21" s="223">
        <f t="shared" si="19"/>
        <v>0</v>
      </c>
      <c r="AQ21" s="224" t="str">
        <f t="shared" si="21"/>
        <v/>
      </c>
      <c r="AS21" s="232">
        <f>$M$9/SUM($M$4:$M21)</f>
        <v>0</v>
      </c>
      <c r="AT21" s="217">
        <f t="shared" si="22"/>
        <v>0</v>
      </c>
      <c r="AU21" s="218">
        <f t="shared" si="30"/>
        <v>0</v>
      </c>
      <c r="AV21" s="221">
        <f t="shared" si="31"/>
        <v>0</v>
      </c>
      <c r="AW21" s="222">
        <f t="shared" si="32"/>
        <v>0</v>
      </c>
      <c r="AX21" s="223">
        <f t="shared" si="23"/>
        <v>0</v>
      </c>
      <c r="AY21" s="239" t="str">
        <f t="shared" si="33"/>
        <v/>
      </c>
    </row>
    <row r="22" spans="1:51" ht="17">
      <c r="A22" s="109" t="s">
        <v>46</v>
      </c>
      <c r="B22" s="110">
        <f t="shared" si="6"/>
        <v>4000000</v>
      </c>
      <c r="C22" s="111">
        <f t="shared" si="6"/>
        <v>0.93916666666666671</v>
      </c>
      <c r="D22" s="212">
        <f t="shared" si="7"/>
        <v>2.3479166666666669E-7</v>
      </c>
      <c r="F22" s="213"/>
      <c r="G22" s="114">
        <f t="shared" si="36"/>
        <v>0</v>
      </c>
      <c r="H22" s="115">
        <f t="shared" si="37"/>
        <v>2.3479166666666669E-7</v>
      </c>
      <c r="J22" s="213"/>
      <c r="K22" s="214">
        <f t="shared" si="38"/>
        <v>0</v>
      </c>
      <c r="L22" s="215">
        <f t="shared" si="39"/>
        <v>0</v>
      </c>
      <c r="M22" s="118">
        <f>MIN(J22*10^18*SUM($M$3:$M21) / ((B22-F22)*10^18), K22*10^18*SUM($M$3:$M21) / ((C22-G22)*10^18))</f>
        <v>0</v>
      </c>
      <c r="O22" s="216">
        <f t="shared" si="10"/>
        <v>1.8783333333333334</v>
      </c>
      <c r="P22" s="217">
        <f>SUM($J$4:$J22)-SUM($F$4:$F22)</f>
        <v>4000000</v>
      </c>
      <c r="Q22" s="218">
        <f>SUM($K$4:$K22)-SUM($G$4:$G22)</f>
        <v>0.93916666666666671</v>
      </c>
      <c r="R22" s="219">
        <f t="shared" si="4"/>
        <v>0</v>
      </c>
      <c r="S22" s="122"/>
      <c r="U22" s="220">
        <f>$M$6/SUM($M$4:$M22)</f>
        <v>0</v>
      </c>
      <c r="V22" s="217">
        <f t="shared" si="5"/>
        <v>0</v>
      </c>
      <c r="W22" s="218">
        <f t="shared" si="24"/>
        <v>0</v>
      </c>
      <c r="X22" s="221">
        <f t="shared" si="25"/>
        <v>0</v>
      </c>
      <c r="Y22" s="222">
        <f t="shared" si="11"/>
        <v>0</v>
      </c>
      <c r="Z22" s="223">
        <f t="shared" si="12"/>
        <v>0</v>
      </c>
      <c r="AA22" s="224" t="str">
        <f t="shared" si="13"/>
        <v/>
      </c>
      <c r="AC22" s="232">
        <f>$M$7/SUM($M$4:$M22)</f>
        <v>0.14285714285714288</v>
      </c>
      <c r="AD22" s="217">
        <f t="shared" si="14"/>
        <v>571428.57142857148</v>
      </c>
      <c r="AE22" s="218">
        <f t="shared" si="26"/>
        <v>0.13416666666666668</v>
      </c>
      <c r="AF22" s="221">
        <f t="shared" si="27"/>
        <v>0.26833333333333337</v>
      </c>
      <c r="AG22" s="222">
        <f t="shared" si="16"/>
        <v>0.27072916666666669</v>
      </c>
      <c r="AH22" s="223">
        <f t="shared" si="15"/>
        <v>-2.3958333333333193E-3</v>
      </c>
      <c r="AI22" s="224">
        <f t="shared" si="17"/>
        <v>-8.8495575221238416E-3</v>
      </c>
      <c r="AK22" s="232">
        <f>$M$8/SUM($M$4:$M22)</f>
        <v>0</v>
      </c>
      <c r="AL22" s="217">
        <f t="shared" si="18"/>
        <v>0</v>
      </c>
      <c r="AM22" s="218">
        <f t="shared" si="28"/>
        <v>0</v>
      </c>
      <c r="AN22" s="221">
        <f t="shared" si="29"/>
        <v>0</v>
      </c>
      <c r="AO22" s="222">
        <f t="shared" si="20"/>
        <v>0</v>
      </c>
      <c r="AP22" s="223">
        <f t="shared" si="19"/>
        <v>0</v>
      </c>
      <c r="AQ22" s="224" t="str">
        <f t="shared" si="21"/>
        <v/>
      </c>
      <c r="AS22" s="232">
        <f>$M$9/SUM($M$4:$M22)</f>
        <v>0</v>
      </c>
      <c r="AT22" s="217">
        <f t="shared" si="22"/>
        <v>0</v>
      </c>
      <c r="AU22" s="218">
        <f t="shared" si="30"/>
        <v>0</v>
      </c>
      <c r="AV22" s="221">
        <f t="shared" si="31"/>
        <v>0</v>
      </c>
      <c r="AW22" s="222">
        <f t="shared" si="32"/>
        <v>0</v>
      </c>
      <c r="AX22" s="223">
        <f t="shared" si="23"/>
        <v>0</v>
      </c>
      <c r="AY22" s="239" t="str">
        <f t="shared" si="33"/>
        <v/>
      </c>
    </row>
    <row r="23" spans="1:51" ht="17">
      <c r="A23" s="109" t="s">
        <v>47</v>
      </c>
      <c r="B23" s="110">
        <f t="shared" ref="B23:C38" si="40">B22-F22+J22</f>
        <v>4000000</v>
      </c>
      <c r="C23" s="111">
        <f t="shared" si="40"/>
        <v>0.93916666666666671</v>
      </c>
      <c r="D23" s="212">
        <f t="shared" si="7"/>
        <v>2.3479166666666669E-7</v>
      </c>
      <c r="F23" s="213"/>
      <c r="G23" s="114">
        <f t="shared" si="36"/>
        <v>0</v>
      </c>
      <c r="H23" s="115">
        <f t="shared" si="37"/>
        <v>2.3479166666666669E-7</v>
      </c>
      <c r="J23" s="213"/>
      <c r="K23" s="214">
        <f t="shared" si="38"/>
        <v>0</v>
      </c>
      <c r="L23" s="215">
        <f t="shared" si="39"/>
        <v>0</v>
      </c>
      <c r="M23" s="118">
        <f>MIN(J23*10^18*SUM($M$3:$M22) / ((B23-F23)*10^18), K23*10^18*SUM($M$3:$M22) / ((C23-G23)*10^18))</f>
        <v>0</v>
      </c>
      <c r="O23" s="216">
        <f t="shared" si="10"/>
        <v>1.8783333333333334</v>
      </c>
      <c r="P23" s="217">
        <f>SUM($J$4:$J23)-SUM($F$4:$F23)</f>
        <v>4000000</v>
      </c>
      <c r="Q23" s="218">
        <f>SUM($K$4:$K23)-SUM($G$4:$G23)</f>
        <v>0.93916666666666671</v>
      </c>
      <c r="R23" s="219">
        <f t="shared" si="4"/>
        <v>0</v>
      </c>
      <c r="S23" s="122"/>
      <c r="U23" s="220">
        <f>$M$6/SUM($M$4:$M23)</f>
        <v>0</v>
      </c>
      <c r="V23" s="217">
        <f t="shared" si="5"/>
        <v>0</v>
      </c>
      <c r="W23" s="218">
        <f t="shared" si="24"/>
        <v>0</v>
      </c>
      <c r="X23" s="221">
        <f t="shared" si="25"/>
        <v>0</v>
      </c>
      <c r="Y23" s="222">
        <f t="shared" si="11"/>
        <v>0</v>
      </c>
      <c r="Z23" s="223">
        <f t="shared" si="12"/>
        <v>0</v>
      </c>
      <c r="AA23" s="224" t="str">
        <f t="shared" si="13"/>
        <v/>
      </c>
      <c r="AC23" s="232">
        <f>$M$7/SUM($M$4:$M23)</f>
        <v>0.14285714285714288</v>
      </c>
      <c r="AD23" s="217">
        <f t="shared" si="14"/>
        <v>571428.57142857148</v>
      </c>
      <c r="AE23" s="218">
        <f t="shared" si="26"/>
        <v>0.13416666666666668</v>
      </c>
      <c r="AF23" s="221">
        <f t="shared" si="27"/>
        <v>0.26833333333333337</v>
      </c>
      <c r="AG23" s="222">
        <f t="shared" si="16"/>
        <v>0.27072916666666669</v>
      </c>
      <c r="AH23" s="223">
        <f t="shared" si="15"/>
        <v>-2.3958333333333193E-3</v>
      </c>
      <c r="AI23" s="224">
        <f t="shared" si="17"/>
        <v>-8.8495575221238416E-3</v>
      </c>
      <c r="AK23" s="232">
        <f>$M$8/SUM($M$4:$M23)</f>
        <v>0</v>
      </c>
      <c r="AL23" s="217">
        <f t="shared" si="18"/>
        <v>0</v>
      </c>
      <c r="AM23" s="218">
        <f t="shared" si="28"/>
        <v>0</v>
      </c>
      <c r="AN23" s="221">
        <f t="shared" si="29"/>
        <v>0</v>
      </c>
      <c r="AO23" s="222">
        <f t="shared" si="20"/>
        <v>0</v>
      </c>
      <c r="AP23" s="223">
        <f t="shared" si="19"/>
        <v>0</v>
      </c>
      <c r="AQ23" s="224" t="str">
        <f t="shared" si="21"/>
        <v/>
      </c>
      <c r="AS23" s="232">
        <f>$M$9/SUM($M$4:$M23)</f>
        <v>0</v>
      </c>
      <c r="AT23" s="217">
        <f t="shared" si="22"/>
        <v>0</v>
      </c>
      <c r="AU23" s="218">
        <f t="shared" si="30"/>
        <v>0</v>
      </c>
      <c r="AV23" s="221">
        <f t="shared" si="31"/>
        <v>0</v>
      </c>
      <c r="AW23" s="222">
        <f t="shared" si="32"/>
        <v>0</v>
      </c>
      <c r="AX23" s="223">
        <f t="shared" si="23"/>
        <v>0</v>
      </c>
      <c r="AY23" s="239" t="str">
        <f t="shared" si="33"/>
        <v/>
      </c>
    </row>
    <row r="24" spans="1:51" ht="17">
      <c r="A24" s="109" t="s">
        <v>49</v>
      </c>
      <c r="B24" s="110">
        <f t="shared" si="40"/>
        <v>4000000</v>
      </c>
      <c r="C24" s="111">
        <f t="shared" si="40"/>
        <v>0.93916666666666671</v>
      </c>
      <c r="D24" s="212">
        <f t="shared" si="7"/>
        <v>2.3479166666666669E-7</v>
      </c>
      <c r="F24" s="213"/>
      <c r="G24" s="114">
        <f t="shared" si="8"/>
        <v>0</v>
      </c>
      <c r="H24" s="115">
        <f t="shared" si="9"/>
        <v>2.3479166666666669E-7</v>
      </c>
      <c r="J24" s="213"/>
      <c r="K24" s="214">
        <f t="shared" si="34"/>
        <v>0</v>
      </c>
      <c r="L24" s="215">
        <f t="shared" si="35"/>
        <v>0</v>
      </c>
      <c r="M24" s="118">
        <f>MIN(J24*10^18*SUM($M$3:$M23) / ((B24-F24)*10^18), K24*10^18*SUM($M$3:$M23) / ((C24-G24)*10^18))</f>
        <v>0</v>
      </c>
      <c r="O24" s="216">
        <f t="shared" si="10"/>
        <v>1.8783333333333334</v>
      </c>
      <c r="P24" s="217">
        <f>SUM($J$4:$J24)-SUM($F$4:$F24)</f>
        <v>4000000</v>
      </c>
      <c r="Q24" s="218">
        <f>SUM($K$4:$K24)-SUM($G$4:$G24)</f>
        <v>0.93916666666666671</v>
      </c>
      <c r="R24" s="219">
        <f t="shared" si="4"/>
        <v>0</v>
      </c>
      <c r="S24" s="122"/>
      <c r="U24" s="220">
        <f>$M$6/SUM($M$4:$M24)</f>
        <v>0</v>
      </c>
      <c r="V24" s="217">
        <f t="shared" si="5"/>
        <v>0</v>
      </c>
      <c r="W24" s="218">
        <f t="shared" si="24"/>
        <v>0</v>
      </c>
      <c r="X24" s="221">
        <f t="shared" si="25"/>
        <v>0</v>
      </c>
      <c r="Y24" s="222">
        <f t="shared" si="11"/>
        <v>0</v>
      </c>
      <c r="Z24" s="223">
        <f t="shared" si="12"/>
        <v>0</v>
      </c>
      <c r="AA24" s="224" t="str">
        <f t="shared" si="13"/>
        <v/>
      </c>
      <c r="AC24" s="232">
        <f>$M$7/SUM($M$4:$M24)</f>
        <v>0.14285714285714288</v>
      </c>
      <c r="AD24" s="217">
        <f t="shared" si="14"/>
        <v>571428.57142857148</v>
      </c>
      <c r="AE24" s="218">
        <f t="shared" si="26"/>
        <v>0.13416666666666668</v>
      </c>
      <c r="AF24" s="221">
        <f t="shared" si="27"/>
        <v>0.26833333333333337</v>
      </c>
      <c r="AG24" s="222">
        <f t="shared" si="16"/>
        <v>0.27072916666666669</v>
      </c>
      <c r="AH24" s="223">
        <f t="shared" si="15"/>
        <v>-2.3958333333333193E-3</v>
      </c>
      <c r="AI24" s="224">
        <f t="shared" si="17"/>
        <v>-8.8495575221238416E-3</v>
      </c>
      <c r="AK24" s="232">
        <f>$M$8/SUM($M$4:$M24)</f>
        <v>0</v>
      </c>
      <c r="AL24" s="217">
        <f t="shared" si="18"/>
        <v>0</v>
      </c>
      <c r="AM24" s="218">
        <f t="shared" si="28"/>
        <v>0</v>
      </c>
      <c r="AN24" s="221">
        <f t="shared" si="29"/>
        <v>0</v>
      </c>
      <c r="AO24" s="222">
        <f t="shared" si="20"/>
        <v>0</v>
      </c>
      <c r="AP24" s="223">
        <f t="shared" si="19"/>
        <v>0</v>
      </c>
      <c r="AQ24" s="224" t="str">
        <f t="shared" si="21"/>
        <v/>
      </c>
      <c r="AS24" s="232">
        <f>$M$9/SUM($M$4:$M24)</f>
        <v>0</v>
      </c>
      <c r="AT24" s="217">
        <f t="shared" si="22"/>
        <v>0</v>
      </c>
      <c r="AU24" s="218">
        <f t="shared" si="30"/>
        <v>0</v>
      </c>
      <c r="AV24" s="221">
        <f t="shared" si="31"/>
        <v>0</v>
      </c>
      <c r="AW24" s="222">
        <f t="shared" si="32"/>
        <v>0</v>
      </c>
      <c r="AX24" s="223">
        <f t="shared" si="23"/>
        <v>0</v>
      </c>
      <c r="AY24" s="239" t="str">
        <f t="shared" si="33"/>
        <v/>
      </c>
    </row>
    <row r="25" spans="1:51" ht="17">
      <c r="A25" s="109" t="s">
        <v>64</v>
      </c>
      <c r="B25" s="110">
        <f t="shared" si="40"/>
        <v>4000000</v>
      </c>
      <c r="C25" s="111">
        <f t="shared" si="40"/>
        <v>0.93916666666666671</v>
      </c>
      <c r="D25" s="212">
        <f t="shared" si="7"/>
        <v>2.3479166666666669E-7</v>
      </c>
      <c r="F25" s="213"/>
      <c r="G25" s="114">
        <f t="shared" si="8"/>
        <v>0</v>
      </c>
      <c r="H25" s="115">
        <f t="shared" si="9"/>
        <v>2.3479166666666669E-7</v>
      </c>
      <c r="J25" s="213"/>
      <c r="K25" s="214">
        <f t="shared" si="34"/>
        <v>0</v>
      </c>
      <c r="L25" s="215">
        <f t="shared" si="35"/>
        <v>0</v>
      </c>
      <c r="M25" s="118">
        <f>MIN(J25*10^18*SUM($M$3:$M24) / ((B25-F25)*10^18), K25*10^18*SUM($M$3:$M24) / ((C25-G25)*10^18))</f>
        <v>0</v>
      </c>
      <c r="O25" s="216">
        <f t="shared" si="10"/>
        <v>1.8783333333333334</v>
      </c>
      <c r="P25" s="217">
        <f>SUM($J$4:$J25)-SUM($F$4:$F25)</f>
        <v>4000000</v>
      </c>
      <c r="Q25" s="218">
        <f>SUM($K$4:$K25)-SUM($G$4:$G25)</f>
        <v>0.93916666666666671</v>
      </c>
      <c r="R25" s="219">
        <f t="shared" si="4"/>
        <v>0</v>
      </c>
      <c r="S25" s="122"/>
      <c r="U25" s="220">
        <f>$M$6/SUM($M$4:$M25)</f>
        <v>0</v>
      </c>
      <c r="V25" s="217">
        <f t="shared" si="5"/>
        <v>0</v>
      </c>
      <c r="W25" s="218">
        <f t="shared" si="24"/>
        <v>0</v>
      </c>
      <c r="X25" s="221">
        <f t="shared" si="25"/>
        <v>0</v>
      </c>
      <c r="Y25" s="222">
        <f t="shared" si="11"/>
        <v>0</v>
      </c>
      <c r="Z25" s="223">
        <f t="shared" si="12"/>
        <v>0</v>
      </c>
      <c r="AA25" s="224" t="str">
        <f t="shared" si="13"/>
        <v/>
      </c>
      <c r="AC25" s="232">
        <f>$M$7/SUM($M$4:$M25)</f>
        <v>0.14285714285714288</v>
      </c>
      <c r="AD25" s="217">
        <f t="shared" si="14"/>
        <v>571428.57142857148</v>
      </c>
      <c r="AE25" s="218">
        <f t="shared" si="26"/>
        <v>0.13416666666666668</v>
      </c>
      <c r="AF25" s="221">
        <f t="shared" si="27"/>
        <v>0.26833333333333337</v>
      </c>
      <c r="AG25" s="222">
        <f t="shared" si="16"/>
        <v>0.27072916666666669</v>
      </c>
      <c r="AH25" s="223">
        <f t="shared" si="15"/>
        <v>-2.3958333333333193E-3</v>
      </c>
      <c r="AI25" s="224">
        <f t="shared" si="17"/>
        <v>-8.8495575221238416E-3</v>
      </c>
      <c r="AK25" s="232">
        <f>$M$8/SUM($M$4:$M25)</f>
        <v>0</v>
      </c>
      <c r="AL25" s="217">
        <f t="shared" si="18"/>
        <v>0</v>
      </c>
      <c r="AM25" s="218">
        <f t="shared" si="28"/>
        <v>0</v>
      </c>
      <c r="AN25" s="221">
        <f t="shared" si="29"/>
        <v>0</v>
      </c>
      <c r="AO25" s="222">
        <f t="shared" si="20"/>
        <v>0</v>
      </c>
      <c r="AP25" s="223">
        <f t="shared" si="19"/>
        <v>0</v>
      </c>
      <c r="AQ25" s="224" t="str">
        <f t="shared" si="21"/>
        <v/>
      </c>
      <c r="AS25" s="232">
        <f>$M$9/SUM($M$4:$M25)</f>
        <v>0</v>
      </c>
      <c r="AT25" s="217">
        <f t="shared" si="22"/>
        <v>0</v>
      </c>
      <c r="AU25" s="218">
        <f t="shared" si="30"/>
        <v>0</v>
      </c>
      <c r="AV25" s="221">
        <f t="shared" si="31"/>
        <v>0</v>
      </c>
      <c r="AW25" s="222">
        <f t="shared" si="32"/>
        <v>0</v>
      </c>
      <c r="AX25" s="223">
        <f t="shared" si="23"/>
        <v>0</v>
      </c>
      <c r="AY25" s="239" t="str">
        <f t="shared" si="33"/>
        <v/>
      </c>
    </row>
    <row r="26" spans="1:51" ht="17">
      <c r="A26" s="109" t="s">
        <v>48</v>
      </c>
      <c r="B26" s="110">
        <f t="shared" si="40"/>
        <v>4000000</v>
      </c>
      <c r="C26" s="111">
        <f t="shared" si="40"/>
        <v>0.93916666666666671</v>
      </c>
      <c r="D26" s="212">
        <f t="shared" si="7"/>
        <v>2.3479166666666669E-7</v>
      </c>
      <c r="F26" s="213"/>
      <c r="G26" s="114">
        <f t="shared" si="8"/>
        <v>0</v>
      </c>
      <c r="H26" s="115">
        <f t="shared" si="9"/>
        <v>2.3479166666666669E-7</v>
      </c>
      <c r="J26" s="213"/>
      <c r="K26" s="214">
        <f t="shared" si="34"/>
        <v>0</v>
      </c>
      <c r="L26" s="215">
        <f t="shared" si="35"/>
        <v>0</v>
      </c>
      <c r="M26" s="118">
        <f>MIN(J26*10^18*SUM($M$3:$M25) / ((B26-F26)*10^18), K26*10^18*SUM($M$3:$M25) / ((C26-G26)*10^18))</f>
        <v>0</v>
      </c>
      <c r="O26" s="216">
        <f t="shared" si="10"/>
        <v>1.8783333333333334</v>
      </c>
      <c r="P26" s="217">
        <f>SUM($J$4:$J26)-SUM($F$4:$F26)</f>
        <v>4000000</v>
      </c>
      <c r="Q26" s="218">
        <f>SUM($K$4:$K26)-SUM($G$4:$G26)</f>
        <v>0.93916666666666671</v>
      </c>
      <c r="R26" s="219">
        <f t="shared" si="4"/>
        <v>0</v>
      </c>
      <c r="S26" s="122"/>
      <c r="U26" s="220">
        <f>$M$6/SUM($M$4:$M26)</f>
        <v>0</v>
      </c>
      <c r="V26" s="217">
        <f t="shared" si="5"/>
        <v>0</v>
      </c>
      <c r="W26" s="218">
        <f t="shared" si="24"/>
        <v>0</v>
      </c>
      <c r="X26" s="221">
        <f t="shared" si="25"/>
        <v>0</v>
      </c>
      <c r="Y26" s="222">
        <f t="shared" si="11"/>
        <v>0</v>
      </c>
      <c r="Z26" s="223">
        <f t="shared" si="12"/>
        <v>0</v>
      </c>
      <c r="AA26" s="224" t="str">
        <f t="shared" si="13"/>
        <v/>
      </c>
      <c r="AC26" s="232">
        <f>$M$7/SUM($M$4:$M26)</f>
        <v>0.14285714285714288</v>
      </c>
      <c r="AD26" s="217">
        <f t="shared" si="14"/>
        <v>571428.57142857148</v>
      </c>
      <c r="AE26" s="218">
        <f t="shared" si="26"/>
        <v>0.13416666666666668</v>
      </c>
      <c r="AF26" s="221">
        <f t="shared" si="27"/>
        <v>0.26833333333333337</v>
      </c>
      <c r="AG26" s="222">
        <f t="shared" si="16"/>
        <v>0.27072916666666669</v>
      </c>
      <c r="AH26" s="223">
        <f t="shared" si="15"/>
        <v>-2.3958333333333193E-3</v>
      </c>
      <c r="AI26" s="224">
        <f t="shared" si="17"/>
        <v>-8.8495575221238416E-3</v>
      </c>
      <c r="AK26" s="232">
        <f>$M$8/SUM($M$4:$M26)</f>
        <v>0</v>
      </c>
      <c r="AL26" s="217">
        <f t="shared" si="18"/>
        <v>0</v>
      </c>
      <c r="AM26" s="218">
        <f t="shared" si="28"/>
        <v>0</v>
      </c>
      <c r="AN26" s="221">
        <f t="shared" si="29"/>
        <v>0</v>
      </c>
      <c r="AO26" s="222">
        <f t="shared" si="20"/>
        <v>0</v>
      </c>
      <c r="AP26" s="223">
        <f t="shared" si="19"/>
        <v>0</v>
      </c>
      <c r="AQ26" s="224" t="str">
        <f t="shared" si="21"/>
        <v/>
      </c>
      <c r="AS26" s="232">
        <f>$M$9/SUM($M$4:$M26)</f>
        <v>0</v>
      </c>
      <c r="AT26" s="217">
        <f t="shared" si="22"/>
        <v>0</v>
      </c>
      <c r="AU26" s="218">
        <f t="shared" si="30"/>
        <v>0</v>
      </c>
      <c r="AV26" s="221">
        <f t="shared" si="31"/>
        <v>0</v>
      </c>
      <c r="AW26" s="222">
        <f t="shared" si="32"/>
        <v>0</v>
      </c>
      <c r="AX26" s="223">
        <f t="shared" si="23"/>
        <v>0</v>
      </c>
      <c r="AY26" s="239" t="str">
        <f t="shared" si="33"/>
        <v/>
      </c>
    </row>
    <row r="27" spans="1:51" ht="17">
      <c r="A27" s="109" t="s">
        <v>50</v>
      </c>
      <c r="B27" s="110">
        <f t="shared" si="40"/>
        <v>4000000</v>
      </c>
      <c r="C27" s="111">
        <f t="shared" si="40"/>
        <v>0.93916666666666671</v>
      </c>
      <c r="D27" s="212">
        <f t="shared" si="7"/>
        <v>2.3479166666666669E-7</v>
      </c>
      <c r="F27" s="213"/>
      <c r="G27" s="114">
        <f t="shared" si="8"/>
        <v>0</v>
      </c>
      <c r="H27" s="115">
        <f t="shared" si="9"/>
        <v>2.3479166666666669E-7</v>
      </c>
      <c r="J27" s="213"/>
      <c r="K27" s="214">
        <f t="shared" si="34"/>
        <v>0</v>
      </c>
      <c r="L27" s="215">
        <f t="shared" si="35"/>
        <v>0</v>
      </c>
      <c r="M27" s="118">
        <f>MIN(J27*10^18*SUM($M$3:$M26) / ((B27-F27)*10^18), K27*10^18*SUM($M$3:$M26) / ((C27-G27)*10^18))</f>
        <v>0</v>
      </c>
      <c r="O27" s="216">
        <f t="shared" si="10"/>
        <v>1.8783333333333334</v>
      </c>
      <c r="P27" s="217">
        <f>SUM($J$4:$J27)-SUM($F$4:$F27)</f>
        <v>4000000</v>
      </c>
      <c r="Q27" s="218">
        <f>SUM($K$4:$K27)-SUM($G$4:$G27)</f>
        <v>0.93916666666666671</v>
      </c>
      <c r="R27" s="219">
        <f t="shared" si="4"/>
        <v>0</v>
      </c>
      <c r="S27" s="122"/>
      <c r="U27" s="220">
        <f>$M$6/SUM($M$4:$M27)</f>
        <v>0</v>
      </c>
      <c r="V27" s="217">
        <f t="shared" si="5"/>
        <v>0</v>
      </c>
      <c r="W27" s="218">
        <f t="shared" si="24"/>
        <v>0</v>
      </c>
      <c r="X27" s="221">
        <f t="shared" si="25"/>
        <v>0</v>
      </c>
      <c r="Y27" s="222">
        <f t="shared" si="11"/>
        <v>0</v>
      </c>
      <c r="Z27" s="223">
        <f t="shared" si="12"/>
        <v>0</v>
      </c>
      <c r="AA27" s="224" t="str">
        <f t="shared" si="13"/>
        <v/>
      </c>
      <c r="AC27" s="232">
        <f>$M$7/SUM($M$4:$M27)</f>
        <v>0.14285714285714288</v>
      </c>
      <c r="AD27" s="217">
        <f t="shared" si="14"/>
        <v>571428.57142857148</v>
      </c>
      <c r="AE27" s="218">
        <f t="shared" si="26"/>
        <v>0.13416666666666668</v>
      </c>
      <c r="AF27" s="221">
        <f t="shared" si="27"/>
        <v>0.26833333333333337</v>
      </c>
      <c r="AG27" s="222">
        <f t="shared" si="16"/>
        <v>0.27072916666666669</v>
      </c>
      <c r="AH27" s="223">
        <f t="shared" si="15"/>
        <v>-2.3958333333333193E-3</v>
      </c>
      <c r="AI27" s="224">
        <f t="shared" si="17"/>
        <v>-8.8495575221238416E-3</v>
      </c>
      <c r="AK27" s="232">
        <f>$M$8/SUM($M$4:$M27)</f>
        <v>0</v>
      </c>
      <c r="AL27" s="217">
        <f t="shared" si="18"/>
        <v>0</v>
      </c>
      <c r="AM27" s="218">
        <f t="shared" si="28"/>
        <v>0</v>
      </c>
      <c r="AN27" s="221">
        <f t="shared" si="29"/>
        <v>0</v>
      </c>
      <c r="AO27" s="222">
        <f t="shared" si="20"/>
        <v>0</v>
      </c>
      <c r="AP27" s="223">
        <f t="shared" si="19"/>
        <v>0</v>
      </c>
      <c r="AQ27" s="224" t="str">
        <f t="shared" si="21"/>
        <v/>
      </c>
      <c r="AS27" s="232">
        <f>$M$9/SUM($M$4:$M27)</f>
        <v>0</v>
      </c>
      <c r="AT27" s="217">
        <f t="shared" si="22"/>
        <v>0</v>
      </c>
      <c r="AU27" s="218">
        <f t="shared" si="30"/>
        <v>0</v>
      </c>
      <c r="AV27" s="221">
        <f t="shared" si="31"/>
        <v>0</v>
      </c>
      <c r="AW27" s="222">
        <f t="shared" si="32"/>
        <v>0</v>
      </c>
      <c r="AX27" s="223">
        <f t="shared" si="23"/>
        <v>0</v>
      </c>
      <c r="AY27" s="239" t="str">
        <f t="shared" si="33"/>
        <v/>
      </c>
    </row>
    <row r="28" spans="1:51" ht="17">
      <c r="A28" s="109" t="s">
        <v>52</v>
      </c>
      <c r="B28" s="110">
        <f t="shared" si="40"/>
        <v>4000000</v>
      </c>
      <c r="C28" s="111">
        <f t="shared" si="40"/>
        <v>0.93916666666666671</v>
      </c>
      <c r="D28" s="212">
        <f t="shared" si="7"/>
        <v>2.3479166666666669E-7</v>
      </c>
      <c r="F28" s="213"/>
      <c r="G28" s="114">
        <f t="shared" si="8"/>
        <v>0</v>
      </c>
      <c r="H28" s="115">
        <f t="shared" si="9"/>
        <v>2.3479166666666669E-7</v>
      </c>
      <c r="J28" s="213"/>
      <c r="K28" s="214">
        <f t="shared" si="34"/>
        <v>0</v>
      </c>
      <c r="L28" s="215">
        <f t="shared" si="35"/>
        <v>0</v>
      </c>
      <c r="M28" s="118">
        <f>MIN(J28*10^18*SUM($M$3:$M27) / ((B28-F28)*10^18), K28*10^18*SUM($M$3:$M27) / ((C28-G28)*10^18))</f>
        <v>0</v>
      </c>
      <c r="O28" s="216">
        <f t="shared" si="10"/>
        <v>1.8783333333333334</v>
      </c>
      <c r="P28" s="217">
        <f>SUM($J$4:$J28)-SUM($F$4:$F28)</f>
        <v>4000000</v>
      </c>
      <c r="Q28" s="218">
        <f>SUM($K$4:$K28)-SUM($G$4:$G28)</f>
        <v>0.93916666666666671</v>
      </c>
      <c r="R28" s="219">
        <f t="shared" si="4"/>
        <v>0</v>
      </c>
      <c r="S28" s="122"/>
      <c r="U28" s="220">
        <f>$M$6/SUM($M$4:$M28)</f>
        <v>0</v>
      </c>
      <c r="V28" s="217">
        <f t="shared" si="5"/>
        <v>0</v>
      </c>
      <c r="W28" s="218">
        <f t="shared" si="24"/>
        <v>0</v>
      </c>
      <c r="X28" s="221">
        <f t="shared" si="25"/>
        <v>0</v>
      </c>
      <c r="Y28" s="222">
        <f t="shared" si="11"/>
        <v>0</v>
      </c>
      <c r="Z28" s="223">
        <f t="shared" si="12"/>
        <v>0</v>
      </c>
      <c r="AA28" s="224" t="str">
        <f t="shared" si="13"/>
        <v/>
      </c>
      <c r="AC28" s="232">
        <f>$M$7/SUM($M$4:$M28)</f>
        <v>0.14285714285714288</v>
      </c>
      <c r="AD28" s="217">
        <f t="shared" si="14"/>
        <v>571428.57142857148</v>
      </c>
      <c r="AE28" s="218">
        <f t="shared" si="26"/>
        <v>0.13416666666666668</v>
      </c>
      <c r="AF28" s="221">
        <f t="shared" si="27"/>
        <v>0.26833333333333337</v>
      </c>
      <c r="AG28" s="222">
        <f t="shared" si="16"/>
        <v>0.27072916666666669</v>
      </c>
      <c r="AH28" s="223">
        <f t="shared" si="15"/>
        <v>-2.3958333333333193E-3</v>
      </c>
      <c r="AI28" s="224">
        <f t="shared" si="17"/>
        <v>-8.8495575221238416E-3</v>
      </c>
      <c r="AK28" s="232">
        <f>$M$8/SUM($M$4:$M28)</f>
        <v>0</v>
      </c>
      <c r="AL28" s="217">
        <f t="shared" si="18"/>
        <v>0</v>
      </c>
      <c r="AM28" s="218">
        <f t="shared" si="28"/>
        <v>0</v>
      </c>
      <c r="AN28" s="221">
        <f t="shared" si="29"/>
        <v>0</v>
      </c>
      <c r="AO28" s="222">
        <f t="shared" si="20"/>
        <v>0</v>
      </c>
      <c r="AP28" s="223">
        <f t="shared" si="19"/>
        <v>0</v>
      </c>
      <c r="AQ28" s="224" t="str">
        <f t="shared" si="21"/>
        <v/>
      </c>
      <c r="AS28" s="232">
        <f>$M$9/SUM($M$4:$M28)</f>
        <v>0</v>
      </c>
      <c r="AT28" s="217">
        <f t="shared" si="22"/>
        <v>0</v>
      </c>
      <c r="AU28" s="218">
        <f t="shared" si="30"/>
        <v>0</v>
      </c>
      <c r="AV28" s="221">
        <f t="shared" si="31"/>
        <v>0</v>
      </c>
      <c r="AW28" s="222">
        <f t="shared" si="32"/>
        <v>0</v>
      </c>
      <c r="AX28" s="223">
        <f t="shared" si="23"/>
        <v>0</v>
      </c>
      <c r="AY28" s="239" t="str">
        <f t="shared" si="33"/>
        <v/>
      </c>
    </row>
    <row r="29" spans="1:51" ht="17">
      <c r="A29" s="109" t="s">
        <v>53</v>
      </c>
      <c r="B29" s="110">
        <f t="shared" si="40"/>
        <v>4000000</v>
      </c>
      <c r="C29" s="111">
        <f t="shared" si="40"/>
        <v>0.93916666666666671</v>
      </c>
      <c r="D29" s="212">
        <f t="shared" si="7"/>
        <v>2.3479166666666669E-7</v>
      </c>
      <c r="F29" s="213"/>
      <c r="G29" s="114">
        <f t="shared" si="8"/>
        <v>0</v>
      </c>
      <c r="H29" s="115">
        <f t="shared" si="9"/>
        <v>2.3479166666666669E-7</v>
      </c>
      <c r="J29" s="213"/>
      <c r="K29" s="214">
        <f t="shared" si="34"/>
        <v>0</v>
      </c>
      <c r="L29" s="215">
        <f t="shared" si="35"/>
        <v>0</v>
      </c>
      <c r="M29" s="118">
        <f>MIN(J29*10^18*SUM($M$3:$M28) / ((B29-F29)*10^18), K29*10^18*SUM($M$3:$M28) / ((C29-G29)*10^18))</f>
        <v>0</v>
      </c>
      <c r="O29" s="216">
        <f t="shared" si="10"/>
        <v>1.8783333333333334</v>
      </c>
      <c r="P29" s="217">
        <f>SUM($J$4:$J29)-SUM($F$4:$F29)</f>
        <v>4000000</v>
      </c>
      <c r="Q29" s="218">
        <f>SUM($K$4:$K29)-SUM($G$4:$G29)</f>
        <v>0.93916666666666671</v>
      </c>
      <c r="R29" s="219">
        <f t="shared" si="4"/>
        <v>0</v>
      </c>
      <c r="S29" s="122"/>
      <c r="U29" s="220">
        <f>$M$6/SUM($M$4:$M29)</f>
        <v>0</v>
      </c>
      <c r="V29" s="217">
        <f t="shared" si="5"/>
        <v>0</v>
      </c>
      <c r="W29" s="218">
        <f t="shared" si="24"/>
        <v>0</v>
      </c>
      <c r="X29" s="221">
        <f t="shared" si="25"/>
        <v>0</v>
      </c>
      <c r="Y29" s="222">
        <f t="shared" si="11"/>
        <v>0</v>
      </c>
      <c r="Z29" s="223">
        <f t="shared" si="12"/>
        <v>0</v>
      </c>
      <c r="AA29" s="224" t="str">
        <f t="shared" si="13"/>
        <v/>
      </c>
      <c r="AC29" s="232">
        <f>$M$7/SUM($M$4:$M29)</f>
        <v>0.14285714285714288</v>
      </c>
      <c r="AD29" s="217">
        <f t="shared" si="14"/>
        <v>571428.57142857148</v>
      </c>
      <c r="AE29" s="218">
        <f t="shared" si="26"/>
        <v>0.13416666666666668</v>
      </c>
      <c r="AF29" s="221">
        <f t="shared" si="27"/>
        <v>0.26833333333333337</v>
      </c>
      <c r="AG29" s="222">
        <f t="shared" si="16"/>
        <v>0.27072916666666669</v>
      </c>
      <c r="AH29" s="223">
        <f t="shared" si="15"/>
        <v>-2.3958333333333193E-3</v>
      </c>
      <c r="AI29" s="224">
        <f t="shared" si="17"/>
        <v>-8.8495575221238416E-3</v>
      </c>
      <c r="AK29" s="232">
        <f>$M$8/SUM($M$4:$M29)</f>
        <v>0</v>
      </c>
      <c r="AL29" s="217">
        <f t="shared" si="18"/>
        <v>0</v>
      </c>
      <c r="AM29" s="218">
        <f t="shared" si="28"/>
        <v>0</v>
      </c>
      <c r="AN29" s="221">
        <f t="shared" si="29"/>
        <v>0</v>
      </c>
      <c r="AO29" s="222">
        <f t="shared" si="20"/>
        <v>0</v>
      </c>
      <c r="AP29" s="223">
        <f t="shared" si="19"/>
        <v>0</v>
      </c>
      <c r="AQ29" s="224" t="str">
        <f t="shared" si="21"/>
        <v/>
      </c>
      <c r="AS29" s="232">
        <f>$M$9/SUM($M$4:$M29)</f>
        <v>0</v>
      </c>
      <c r="AT29" s="217">
        <f t="shared" si="22"/>
        <v>0</v>
      </c>
      <c r="AU29" s="218">
        <f t="shared" si="30"/>
        <v>0</v>
      </c>
      <c r="AV29" s="221">
        <f t="shared" si="31"/>
        <v>0</v>
      </c>
      <c r="AW29" s="222">
        <f t="shared" si="32"/>
        <v>0</v>
      </c>
      <c r="AX29" s="223">
        <f t="shared" si="23"/>
        <v>0</v>
      </c>
      <c r="AY29" s="239" t="str">
        <f t="shared" si="33"/>
        <v/>
      </c>
    </row>
    <row r="30" spans="1:51" ht="17">
      <c r="A30" s="109" t="s">
        <v>54</v>
      </c>
      <c r="B30" s="110">
        <f t="shared" si="40"/>
        <v>4000000</v>
      </c>
      <c r="C30" s="111">
        <f t="shared" si="40"/>
        <v>0.93916666666666671</v>
      </c>
      <c r="D30" s="212">
        <f t="shared" si="7"/>
        <v>2.3479166666666669E-7</v>
      </c>
      <c r="F30" s="213"/>
      <c r="G30" s="114">
        <f t="shared" si="8"/>
        <v>0</v>
      </c>
      <c r="H30" s="115">
        <f t="shared" si="9"/>
        <v>2.3479166666666669E-7</v>
      </c>
      <c r="J30" s="213"/>
      <c r="K30" s="214">
        <f t="shared" si="34"/>
        <v>0</v>
      </c>
      <c r="L30" s="215">
        <f t="shared" si="35"/>
        <v>0</v>
      </c>
      <c r="M30" s="118">
        <f>MIN(J30*10^18*SUM($M$3:$M29) / ((B30-F30)*10^18), K30*10^18*SUM($M$3:$M29) / ((C30-G30)*10^18))</f>
        <v>0</v>
      </c>
      <c r="O30" s="216">
        <f t="shared" si="10"/>
        <v>1.8783333333333334</v>
      </c>
      <c r="P30" s="217">
        <f>SUM($J$4:$J30)-SUM($F$4:$F30)</f>
        <v>4000000</v>
      </c>
      <c r="Q30" s="218">
        <f>SUM($K$4:$K30)-SUM($G$4:$G30)</f>
        <v>0.93916666666666671</v>
      </c>
      <c r="R30" s="219">
        <f t="shared" si="4"/>
        <v>0</v>
      </c>
      <c r="S30" s="122"/>
      <c r="U30" s="220">
        <f>$M$6/SUM($M$4:$M30)</f>
        <v>0</v>
      </c>
      <c r="V30" s="217">
        <f t="shared" si="5"/>
        <v>0</v>
      </c>
      <c r="W30" s="218">
        <f t="shared" si="24"/>
        <v>0</v>
      </c>
      <c r="X30" s="221">
        <f t="shared" si="25"/>
        <v>0</v>
      </c>
      <c r="Y30" s="222">
        <f t="shared" si="11"/>
        <v>0</v>
      </c>
      <c r="Z30" s="223">
        <f t="shared" si="12"/>
        <v>0</v>
      </c>
      <c r="AA30" s="224" t="str">
        <f t="shared" si="13"/>
        <v/>
      </c>
      <c r="AC30" s="232">
        <f>$M$7/SUM($M$4:$M30)</f>
        <v>0.14285714285714288</v>
      </c>
      <c r="AD30" s="217">
        <f t="shared" si="14"/>
        <v>571428.57142857148</v>
      </c>
      <c r="AE30" s="218">
        <f t="shared" si="26"/>
        <v>0.13416666666666668</v>
      </c>
      <c r="AF30" s="221">
        <f t="shared" si="27"/>
        <v>0.26833333333333337</v>
      </c>
      <c r="AG30" s="222">
        <f t="shared" si="16"/>
        <v>0.27072916666666669</v>
      </c>
      <c r="AH30" s="223">
        <f t="shared" si="15"/>
        <v>-2.3958333333333193E-3</v>
      </c>
      <c r="AI30" s="224">
        <f t="shared" si="17"/>
        <v>-8.8495575221238416E-3</v>
      </c>
      <c r="AK30" s="232">
        <f>$M$8/SUM($M$4:$M30)</f>
        <v>0</v>
      </c>
      <c r="AL30" s="217">
        <f t="shared" si="18"/>
        <v>0</v>
      </c>
      <c r="AM30" s="218">
        <f t="shared" si="28"/>
        <v>0</v>
      </c>
      <c r="AN30" s="221">
        <f t="shared" si="29"/>
        <v>0</v>
      </c>
      <c r="AO30" s="222">
        <f t="shared" si="20"/>
        <v>0</v>
      </c>
      <c r="AP30" s="223">
        <f t="shared" si="19"/>
        <v>0</v>
      </c>
      <c r="AQ30" s="224" t="str">
        <f t="shared" si="21"/>
        <v/>
      </c>
      <c r="AS30" s="232">
        <f>$M$9/SUM($M$4:$M30)</f>
        <v>0</v>
      </c>
      <c r="AT30" s="217">
        <f t="shared" si="22"/>
        <v>0</v>
      </c>
      <c r="AU30" s="218">
        <f t="shared" si="30"/>
        <v>0</v>
      </c>
      <c r="AV30" s="221">
        <f t="shared" si="31"/>
        <v>0</v>
      </c>
      <c r="AW30" s="222">
        <f t="shared" si="32"/>
        <v>0</v>
      </c>
      <c r="AX30" s="223">
        <f t="shared" si="23"/>
        <v>0</v>
      </c>
      <c r="AY30" s="239" t="str">
        <f t="shared" si="33"/>
        <v/>
      </c>
    </row>
    <row r="31" spans="1:51" ht="17">
      <c r="A31" s="109" t="s">
        <v>55</v>
      </c>
      <c r="B31" s="110">
        <f t="shared" si="40"/>
        <v>4000000</v>
      </c>
      <c r="C31" s="111">
        <f t="shared" si="40"/>
        <v>0.93916666666666671</v>
      </c>
      <c r="D31" s="212">
        <f t="shared" si="7"/>
        <v>2.3479166666666669E-7</v>
      </c>
      <c r="F31" s="213"/>
      <c r="G31" s="114">
        <f t="shared" si="8"/>
        <v>0</v>
      </c>
      <c r="H31" s="115">
        <f t="shared" si="9"/>
        <v>2.3479166666666669E-7</v>
      </c>
      <c r="J31" s="213"/>
      <c r="K31" s="214">
        <f t="shared" si="34"/>
        <v>0</v>
      </c>
      <c r="L31" s="215">
        <f t="shared" si="35"/>
        <v>0</v>
      </c>
      <c r="M31" s="118">
        <f>MIN(J31*10^18*SUM($M$3:$M30) / ((B31-F31)*10^18), K31*10^18*SUM($M$3:$M30) / ((C31-G31)*10^18))</f>
        <v>0</v>
      </c>
      <c r="O31" s="216">
        <f t="shared" si="10"/>
        <v>1.8783333333333334</v>
      </c>
      <c r="P31" s="217">
        <f>SUM($J$4:$J31)-SUM($F$4:$F31)</f>
        <v>4000000</v>
      </c>
      <c r="Q31" s="218">
        <f>SUM($K$4:$K31)-SUM($G$4:$G31)</f>
        <v>0.93916666666666671</v>
      </c>
      <c r="R31" s="219">
        <f t="shared" si="4"/>
        <v>0</v>
      </c>
      <c r="S31" s="122"/>
      <c r="U31" s="220">
        <f>$M$6/SUM($M$4:$M31)</f>
        <v>0</v>
      </c>
      <c r="V31" s="217">
        <f t="shared" si="5"/>
        <v>0</v>
      </c>
      <c r="W31" s="218">
        <f t="shared" si="24"/>
        <v>0</v>
      </c>
      <c r="X31" s="221">
        <f t="shared" si="25"/>
        <v>0</v>
      </c>
      <c r="Y31" s="222">
        <f t="shared" si="11"/>
        <v>0</v>
      </c>
      <c r="Z31" s="223">
        <f t="shared" si="12"/>
        <v>0</v>
      </c>
      <c r="AA31" s="224" t="str">
        <f t="shared" si="13"/>
        <v/>
      </c>
      <c r="AC31" s="232">
        <f>$M$7/SUM($M$4:$M31)</f>
        <v>0.14285714285714288</v>
      </c>
      <c r="AD31" s="217">
        <f t="shared" si="14"/>
        <v>571428.57142857148</v>
      </c>
      <c r="AE31" s="218">
        <f t="shared" si="26"/>
        <v>0.13416666666666668</v>
      </c>
      <c r="AF31" s="221">
        <f t="shared" si="27"/>
        <v>0.26833333333333337</v>
      </c>
      <c r="AG31" s="222">
        <f t="shared" si="16"/>
        <v>0.27072916666666669</v>
      </c>
      <c r="AH31" s="223">
        <f t="shared" si="15"/>
        <v>-2.3958333333333193E-3</v>
      </c>
      <c r="AI31" s="224">
        <f t="shared" si="17"/>
        <v>-8.8495575221238416E-3</v>
      </c>
      <c r="AK31" s="232">
        <f>$M$8/SUM($M$4:$M31)</f>
        <v>0</v>
      </c>
      <c r="AL31" s="217">
        <f t="shared" si="18"/>
        <v>0</v>
      </c>
      <c r="AM31" s="218">
        <f t="shared" si="28"/>
        <v>0</v>
      </c>
      <c r="AN31" s="221">
        <f t="shared" si="29"/>
        <v>0</v>
      </c>
      <c r="AO31" s="222">
        <f t="shared" si="20"/>
        <v>0</v>
      </c>
      <c r="AP31" s="223">
        <f t="shared" si="19"/>
        <v>0</v>
      </c>
      <c r="AQ31" s="224" t="str">
        <f t="shared" si="21"/>
        <v/>
      </c>
      <c r="AS31" s="232">
        <f>$M$9/SUM($M$4:$M31)</f>
        <v>0</v>
      </c>
      <c r="AT31" s="217">
        <f t="shared" si="22"/>
        <v>0</v>
      </c>
      <c r="AU31" s="218">
        <f t="shared" si="30"/>
        <v>0</v>
      </c>
      <c r="AV31" s="221">
        <f t="shared" si="31"/>
        <v>0</v>
      </c>
      <c r="AW31" s="222">
        <f t="shared" si="32"/>
        <v>0</v>
      </c>
      <c r="AX31" s="223">
        <f t="shared" si="23"/>
        <v>0</v>
      </c>
      <c r="AY31" s="239" t="str">
        <f t="shared" si="33"/>
        <v/>
      </c>
    </row>
    <row r="32" spans="1:51" ht="17">
      <c r="A32" s="109" t="s">
        <v>56</v>
      </c>
      <c r="B32" s="110">
        <f t="shared" si="40"/>
        <v>4000000</v>
      </c>
      <c r="C32" s="111">
        <f t="shared" si="40"/>
        <v>0.93916666666666671</v>
      </c>
      <c r="D32" s="212">
        <f t="shared" si="7"/>
        <v>2.3479166666666669E-7</v>
      </c>
      <c r="F32" s="213"/>
      <c r="G32" s="114">
        <f t="shared" si="8"/>
        <v>0</v>
      </c>
      <c r="H32" s="115">
        <f t="shared" si="9"/>
        <v>2.3479166666666669E-7</v>
      </c>
      <c r="J32" s="213"/>
      <c r="K32" s="214">
        <f t="shared" si="34"/>
        <v>0</v>
      </c>
      <c r="L32" s="215">
        <f t="shared" si="35"/>
        <v>0</v>
      </c>
      <c r="M32" s="118">
        <f>MIN(J32*10^18*SUM($M$3:$M31) / ((B32-F32)*10^18), K32*10^18*SUM($M$3:$M31) / ((C32-G32)*10^18))</f>
        <v>0</v>
      </c>
      <c r="O32" s="216">
        <f t="shared" si="10"/>
        <v>1.8783333333333334</v>
      </c>
      <c r="P32" s="217">
        <f>SUM($J$4:$J32)-SUM($F$4:$F32)</f>
        <v>4000000</v>
      </c>
      <c r="Q32" s="218">
        <f>SUM($K$4:$K32)-SUM($G$4:$G32)</f>
        <v>0.93916666666666671</v>
      </c>
      <c r="R32" s="219">
        <f t="shared" si="4"/>
        <v>0</v>
      </c>
      <c r="S32" s="122"/>
      <c r="U32" s="220">
        <f>$M$6/SUM($M$4:$M32)</f>
        <v>0</v>
      </c>
      <c r="V32" s="217">
        <f t="shared" si="5"/>
        <v>0</v>
      </c>
      <c r="W32" s="218">
        <f t="shared" si="24"/>
        <v>0</v>
      </c>
      <c r="X32" s="221">
        <f t="shared" si="25"/>
        <v>0</v>
      </c>
      <c r="Y32" s="222">
        <f t="shared" si="11"/>
        <v>0</v>
      </c>
      <c r="Z32" s="223">
        <f t="shared" si="12"/>
        <v>0</v>
      </c>
      <c r="AA32" s="224" t="str">
        <f t="shared" si="13"/>
        <v/>
      </c>
      <c r="AC32" s="232">
        <f>$M$7/SUM($M$4:$M32)</f>
        <v>0.14285714285714288</v>
      </c>
      <c r="AD32" s="217">
        <f t="shared" si="14"/>
        <v>571428.57142857148</v>
      </c>
      <c r="AE32" s="218">
        <f t="shared" si="26"/>
        <v>0.13416666666666668</v>
      </c>
      <c r="AF32" s="221">
        <f t="shared" si="27"/>
        <v>0.26833333333333337</v>
      </c>
      <c r="AG32" s="222">
        <f t="shared" si="16"/>
        <v>0.27072916666666669</v>
      </c>
      <c r="AH32" s="223">
        <f t="shared" si="15"/>
        <v>-2.3958333333333193E-3</v>
      </c>
      <c r="AI32" s="224">
        <f t="shared" si="17"/>
        <v>-8.8495575221238416E-3</v>
      </c>
      <c r="AK32" s="232">
        <f>$M$8/SUM($M$4:$M32)</f>
        <v>0</v>
      </c>
      <c r="AL32" s="217">
        <f t="shared" si="18"/>
        <v>0</v>
      </c>
      <c r="AM32" s="218">
        <f t="shared" si="28"/>
        <v>0</v>
      </c>
      <c r="AN32" s="221">
        <f t="shared" si="29"/>
        <v>0</v>
      </c>
      <c r="AO32" s="222">
        <f t="shared" si="20"/>
        <v>0</v>
      </c>
      <c r="AP32" s="223">
        <f t="shared" si="19"/>
        <v>0</v>
      </c>
      <c r="AQ32" s="224" t="str">
        <f t="shared" si="21"/>
        <v/>
      </c>
      <c r="AS32" s="232">
        <f>$M$9/SUM($M$4:$M32)</f>
        <v>0</v>
      </c>
      <c r="AT32" s="217">
        <f t="shared" si="22"/>
        <v>0</v>
      </c>
      <c r="AU32" s="218">
        <f t="shared" si="30"/>
        <v>0</v>
      </c>
      <c r="AV32" s="221">
        <f t="shared" si="31"/>
        <v>0</v>
      </c>
      <c r="AW32" s="222">
        <f t="shared" si="32"/>
        <v>0</v>
      </c>
      <c r="AX32" s="223">
        <f t="shared" si="23"/>
        <v>0</v>
      </c>
      <c r="AY32" s="239" t="str">
        <f t="shared" si="33"/>
        <v/>
      </c>
    </row>
    <row r="33" spans="1:51" ht="17">
      <c r="A33" s="109" t="s">
        <v>57</v>
      </c>
      <c r="B33" s="110">
        <f t="shared" si="40"/>
        <v>4000000</v>
      </c>
      <c r="C33" s="111">
        <f t="shared" si="40"/>
        <v>0.93916666666666671</v>
      </c>
      <c r="D33" s="212">
        <f t="shared" si="7"/>
        <v>2.3479166666666669E-7</v>
      </c>
      <c r="F33" s="213"/>
      <c r="G33" s="114">
        <f t="shared" si="8"/>
        <v>0</v>
      </c>
      <c r="H33" s="115">
        <f t="shared" si="9"/>
        <v>2.3479166666666669E-7</v>
      </c>
      <c r="J33" s="213"/>
      <c r="K33" s="214">
        <f t="shared" si="34"/>
        <v>0</v>
      </c>
      <c r="L33" s="215">
        <f t="shared" si="35"/>
        <v>0</v>
      </c>
      <c r="M33" s="118">
        <f>MIN(J33*10^18*SUM($M$3:$M32) / ((B33-F33)*10^18), K33*10^18*SUM($M$3:$M32) / ((C33-G33)*10^18))</f>
        <v>0</v>
      </c>
      <c r="O33" s="216">
        <f t="shared" si="10"/>
        <v>1.8783333333333334</v>
      </c>
      <c r="P33" s="217">
        <f>SUM($J$4:$J33)-SUM($F$4:$F33)</f>
        <v>4000000</v>
      </c>
      <c r="Q33" s="218">
        <f>SUM($K$4:$K33)-SUM($G$4:$G33)</f>
        <v>0.93916666666666671</v>
      </c>
      <c r="R33" s="219">
        <f t="shared" si="4"/>
        <v>0</v>
      </c>
      <c r="S33" s="122"/>
      <c r="U33" s="220">
        <f>$M$6/SUM($M$4:$M33)</f>
        <v>0</v>
      </c>
      <c r="V33" s="217">
        <f t="shared" si="5"/>
        <v>0</v>
      </c>
      <c r="W33" s="218">
        <f t="shared" si="24"/>
        <v>0</v>
      </c>
      <c r="X33" s="221">
        <f t="shared" si="25"/>
        <v>0</v>
      </c>
      <c r="Y33" s="222">
        <f t="shared" si="11"/>
        <v>0</v>
      </c>
      <c r="Z33" s="223">
        <f t="shared" si="12"/>
        <v>0</v>
      </c>
      <c r="AA33" s="224" t="str">
        <f t="shared" si="13"/>
        <v/>
      </c>
      <c r="AC33" s="232">
        <f>$M$7/SUM($M$4:$M33)</f>
        <v>0.14285714285714288</v>
      </c>
      <c r="AD33" s="217">
        <f t="shared" si="14"/>
        <v>571428.57142857148</v>
      </c>
      <c r="AE33" s="218">
        <f t="shared" si="26"/>
        <v>0.13416666666666668</v>
      </c>
      <c r="AF33" s="221">
        <f t="shared" si="27"/>
        <v>0.26833333333333337</v>
      </c>
      <c r="AG33" s="222">
        <f t="shared" si="16"/>
        <v>0.27072916666666669</v>
      </c>
      <c r="AH33" s="223">
        <f t="shared" si="15"/>
        <v>-2.3958333333333193E-3</v>
      </c>
      <c r="AI33" s="224">
        <f t="shared" si="17"/>
        <v>-8.8495575221238416E-3</v>
      </c>
      <c r="AK33" s="232">
        <f>$M$8/SUM($M$4:$M33)</f>
        <v>0</v>
      </c>
      <c r="AL33" s="217">
        <f t="shared" si="18"/>
        <v>0</v>
      </c>
      <c r="AM33" s="218">
        <f t="shared" si="28"/>
        <v>0</v>
      </c>
      <c r="AN33" s="221">
        <f t="shared" si="29"/>
        <v>0</v>
      </c>
      <c r="AO33" s="222">
        <f t="shared" si="20"/>
        <v>0</v>
      </c>
      <c r="AP33" s="223">
        <f t="shared" si="19"/>
        <v>0</v>
      </c>
      <c r="AQ33" s="224" t="str">
        <f t="shared" si="21"/>
        <v/>
      </c>
      <c r="AS33" s="232">
        <f>$M$9/SUM($M$4:$M33)</f>
        <v>0</v>
      </c>
      <c r="AT33" s="217">
        <f t="shared" si="22"/>
        <v>0</v>
      </c>
      <c r="AU33" s="218">
        <f t="shared" si="30"/>
        <v>0</v>
      </c>
      <c r="AV33" s="221">
        <f t="shared" si="31"/>
        <v>0</v>
      </c>
      <c r="AW33" s="222">
        <f t="shared" si="32"/>
        <v>0</v>
      </c>
      <c r="AX33" s="223">
        <f t="shared" si="23"/>
        <v>0</v>
      </c>
      <c r="AY33" s="239" t="str">
        <f t="shared" si="33"/>
        <v/>
      </c>
    </row>
    <row r="34" spans="1:51" ht="17">
      <c r="A34" s="109" t="s">
        <v>58</v>
      </c>
      <c r="B34" s="110">
        <f t="shared" si="40"/>
        <v>4000000</v>
      </c>
      <c r="C34" s="111">
        <f t="shared" si="40"/>
        <v>0.93916666666666671</v>
      </c>
      <c r="D34" s="212">
        <f t="shared" si="7"/>
        <v>2.3479166666666669E-7</v>
      </c>
      <c r="F34" s="213"/>
      <c r="G34" s="114">
        <f t="shared" si="8"/>
        <v>0</v>
      </c>
      <c r="H34" s="115">
        <f t="shared" si="9"/>
        <v>2.3479166666666669E-7</v>
      </c>
      <c r="J34" s="213"/>
      <c r="K34" s="214">
        <f t="shared" si="34"/>
        <v>0</v>
      </c>
      <c r="L34" s="215">
        <f t="shared" si="35"/>
        <v>0</v>
      </c>
      <c r="M34" s="118">
        <f>MIN(J34*10^18*SUM($M$3:$M33) / ((B34-F34)*10^18), K34*10^18*SUM($M$3:$M33) / ((C34-G34)*10^18))</f>
        <v>0</v>
      </c>
      <c r="O34" s="216">
        <f t="shared" si="10"/>
        <v>1.8783333333333334</v>
      </c>
      <c r="P34" s="217">
        <f>SUM($J$4:$J34)-SUM($F$4:$F34)</f>
        <v>4000000</v>
      </c>
      <c r="Q34" s="218">
        <f>SUM($K$4:$K34)-SUM($G$4:$G34)</f>
        <v>0.93916666666666671</v>
      </c>
      <c r="R34" s="219">
        <f t="shared" si="4"/>
        <v>0</v>
      </c>
      <c r="S34" s="122"/>
      <c r="U34" s="220">
        <f>$M$6/SUM($M$4:$M34)</f>
        <v>0</v>
      </c>
      <c r="V34" s="217">
        <f t="shared" si="5"/>
        <v>0</v>
      </c>
      <c r="W34" s="218">
        <f t="shared" si="24"/>
        <v>0</v>
      </c>
      <c r="X34" s="221">
        <f t="shared" si="25"/>
        <v>0</v>
      </c>
      <c r="Y34" s="222">
        <f t="shared" si="11"/>
        <v>0</v>
      </c>
      <c r="Z34" s="223">
        <f t="shared" si="12"/>
        <v>0</v>
      </c>
      <c r="AA34" s="224" t="str">
        <f t="shared" si="13"/>
        <v/>
      </c>
      <c r="AC34" s="232">
        <f>$M$7/SUM($M$4:$M34)</f>
        <v>0.14285714285714288</v>
      </c>
      <c r="AD34" s="217">
        <f t="shared" si="14"/>
        <v>571428.57142857148</v>
      </c>
      <c r="AE34" s="218">
        <f t="shared" si="26"/>
        <v>0.13416666666666668</v>
      </c>
      <c r="AF34" s="221">
        <f t="shared" si="27"/>
        <v>0.26833333333333337</v>
      </c>
      <c r="AG34" s="222">
        <f t="shared" si="16"/>
        <v>0.27072916666666669</v>
      </c>
      <c r="AH34" s="223">
        <f t="shared" si="15"/>
        <v>-2.3958333333333193E-3</v>
      </c>
      <c r="AI34" s="224">
        <f t="shared" si="17"/>
        <v>-8.8495575221238416E-3</v>
      </c>
      <c r="AK34" s="232">
        <f>$M$8/SUM($M$4:$M34)</f>
        <v>0</v>
      </c>
      <c r="AL34" s="217">
        <f t="shared" si="18"/>
        <v>0</v>
      </c>
      <c r="AM34" s="218">
        <f t="shared" si="28"/>
        <v>0</v>
      </c>
      <c r="AN34" s="221">
        <f t="shared" si="29"/>
        <v>0</v>
      </c>
      <c r="AO34" s="222">
        <f t="shared" si="20"/>
        <v>0</v>
      </c>
      <c r="AP34" s="223">
        <f t="shared" si="19"/>
        <v>0</v>
      </c>
      <c r="AQ34" s="224" t="str">
        <f t="shared" si="21"/>
        <v/>
      </c>
      <c r="AS34" s="232">
        <f>$M$9/SUM($M$4:$M34)</f>
        <v>0</v>
      </c>
      <c r="AT34" s="217">
        <f t="shared" si="22"/>
        <v>0</v>
      </c>
      <c r="AU34" s="218">
        <f t="shared" si="30"/>
        <v>0</v>
      </c>
      <c r="AV34" s="221">
        <f t="shared" si="31"/>
        <v>0</v>
      </c>
      <c r="AW34" s="222">
        <f t="shared" si="32"/>
        <v>0</v>
      </c>
      <c r="AX34" s="223">
        <f t="shared" si="23"/>
        <v>0</v>
      </c>
      <c r="AY34" s="239" t="str">
        <f t="shared" si="33"/>
        <v/>
      </c>
    </row>
    <row r="35" spans="1:51" ht="17">
      <c r="A35" s="109" t="s">
        <v>62</v>
      </c>
      <c r="B35" s="110">
        <f t="shared" si="40"/>
        <v>4000000</v>
      </c>
      <c r="C35" s="111">
        <f t="shared" si="40"/>
        <v>0.93916666666666671</v>
      </c>
      <c r="D35" s="212">
        <f t="shared" si="7"/>
        <v>2.3479166666666669E-7</v>
      </c>
      <c r="F35" s="213"/>
      <c r="G35" s="114">
        <f t="shared" si="8"/>
        <v>0</v>
      </c>
      <c r="H35" s="115">
        <f t="shared" si="9"/>
        <v>2.3479166666666669E-7</v>
      </c>
      <c r="J35" s="213"/>
      <c r="K35" s="214">
        <f t="shared" si="34"/>
        <v>0</v>
      </c>
      <c r="L35" s="215">
        <f t="shared" si="35"/>
        <v>0</v>
      </c>
      <c r="M35" s="118">
        <f>MIN(J35*10^18*SUM($M$3:$M34) / ((B35-F35)*10^18), K35*10^18*SUM($M$3:$M34) / ((C35-G35)*10^18))</f>
        <v>0</v>
      </c>
      <c r="O35" s="216">
        <f t="shared" si="10"/>
        <v>1.8783333333333334</v>
      </c>
      <c r="P35" s="217">
        <f>SUM($J$4:$J35)-SUM($F$4:$F35)</f>
        <v>4000000</v>
      </c>
      <c r="Q35" s="218">
        <f>SUM($K$4:$K35)-SUM($G$4:$G35)</f>
        <v>0.93916666666666671</v>
      </c>
      <c r="R35" s="219">
        <f t="shared" si="4"/>
        <v>0</v>
      </c>
      <c r="S35" s="122"/>
      <c r="U35" s="220">
        <f>$M$6/SUM($M$4:$M35)</f>
        <v>0</v>
      </c>
      <c r="V35" s="217">
        <f t="shared" si="5"/>
        <v>0</v>
      </c>
      <c r="W35" s="218">
        <f t="shared" si="24"/>
        <v>0</v>
      </c>
      <c r="X35" s="221">
        <f t="shared" si="25"/>
        <v>0</v>
      </c>
      <c r="Y35" s="222">
        <f t="shared" si="11"/>
        <v>0</v>
      </c>
      <c r="Z35" s="223">
        <f t="shared" si="12"/>
        <v>0</v>
      </c>
      <c r="AA35" s="224" t="str">
        <f t="shared" si="13"/>
        <v/>
      </c>
      <c r="AC35" s="232">
        <f>$M$7/SUM($M$4:$M35)</f>
        <v>0.14285714285714288</v>
      </c>
      <c r="AD35" s="217">
        <f t="shared" si="14"/>
        <v>571428.57142857148</v>
      </c>
      <c r="AE35" s="218">
        <f t="shared" si="26"/>
        <v>0.13416666666666668</v>
      </c>
      <c r="AF35" s="221">
        <f t="shared" si="27"/>
        <v>0.26833333333333337</v>
      </c>
      <c r="AG35" s="222">
        <f t="shared" si="16"/>
        <v>0.27072916666666669</v>
      </c>
      <c r="AH35" s="223">
        <f t="shared" si="15"/>
        <v>-2.3958333333333193E-3</v>
      </c>
      <c r="AI35" s="224">
        <f t="shared" si="17"/>
        <v>-8.8495575221238416E-3</v>
      </c>
      <c r="AK35" s="232">
        <f>$M$8/SUM($M$4:$M35)</f>
        <v>0</v>
      </c>
      <c r="AL35" s="217">
        <f t="shared" si="18"/>
        <v>0</v>
      </c>
      <c r="AM35" s="218">
        <f t="shared" si="28"/>
        <v>0</v>
      </c>
      <c r="AN35" s="221">
        <f t="shared" si="29"/>
        <v>0</v>
      </c>
      <c r="AO35" s="222">
        <f t="shared" si="20"/>
        <v>0</v>
      </c>
      <c r="AP35" s="223">
        <f t="shared" si="19"/>
        <v>0</v>
      </c>
      <c r="AQ35" s="224" t="str">
        <f t="shared" si="21"/>
        <v/>
      </c>
      <c r="AS35" s="232">
        <f>$M$9/SUM($M$4:$M35)</f>
        <v>0</v>
      </c>
      <c r="AT35" s="217">
        <f t="shared" si="22"/>
        <v>0</v>
      </c>
      <c r="AU35" s="218">
        <f t="shared" si="30"/>
        <v>0</v>
      </c>
      <c r="AV35" s="221">
        <f t="shared" si="31"/>
        <v>0</v>
      </c>
      <c r="AW35" s="222">
        <f t="shared" si="32"/>
        <v>0</v>
      </c>
      <c r="AX35" s="223">
        <f t="shared" si="23"/>
        <v>0</v>
      </c>
      <c r="AY35" s="239" t="str">
        <f t="shared" si="33"/>
        <v/>
      </c>
    </row>
    <row r="36" spans="1:51" ht="17">
      <c r="A36" s="109" t="s">
        <v>59</v>
      </c>
      <c r="B36" s="110">
        <f t="shared" si="40"/>
        <v>4000000</v>
      </c>
      <c r="C36" s="111">
        <f t="shared" si="40"/>
        <v>0.93916666666666671</v>
      </c>
      <c r="D36" s="212">
        <f t="shared" si="7"/>
        <v>2.3479166666666669E-7</v>
      </c>
      <c r="F36" s="213"/>
      <c r="G36" s="114">
        <f t="shared" si="8"/>
        <v>0</v>
      </c>
      <c r="H36" s="115">
        <f t="shared" si="9"/>
        <v>2.3479166666666669E-7</v>
      </c>
      <c r="J36" s="213"/>
      <c r="K36" s="214">
        <f t="shared" si="34"/>
        <v>0</v>
      </c>
      <c r="L36" s="215">
        <f t="shared" si="35"/>
        <v>0</v>
      </c>
      <c r="M36" s="118">
        <f>MIN(J36*10^18*SUM($M$3:$M35) / ((B36-F36)*10^18), K36*10^18*SUM($M$3:$M35) / ((C36-G36)*10^18))</f>
        <v>0</v>
      </c>
      <c r="O36" s="216">
        <f t="shared" si="10"/>
        <v>1.8783333333333334</v>
      </c>
      <c r="P36" s="217">
        <f>SUM($J$4:$J36)-SUM($F$4:$F36)</f>
        <v>4000000</v>
      </c>
      <c r="Q36" s="218">
        <f>SUM($K$4:$K36)-SUM($G$4:$G36)</f>
        <v>0.93916666666666671</v>
      </c>
      <c r="R36" s="219">
        <f t="shared" si="4"/>
        <v>0</v>
      </c>
      <c r="S36" s="122"/>
      <c r="U36" s="220">
        <f>$M$6/SUM($M$4:$M36)</f>
        <v>0</v>
      </c>
      <c r="V36" s="217">
        <f t="shared" si="5"/>
        <v>0</v>
      </c>
      <c r="W36" s="218">
        <f t="shared" si="24"/>
        <v>0</v>
      </c>
      <c r="X36" s="221">
        <f t="shared" si="25"/>
        <v>0</v>
      </c>
      <c r="Y36" s="222">
        <f t="shared" si="11"/>
        <v>0</v>
      </c>
      <c r="Z36" s="223">
        <f t="shared" si="12"/>
        <v>0</v>
      </c>
      <c r="AA36" s="224" t="str">
        <f t="shared" si="13"/>
        <v/>
      </c>
      <c r="AC36" s="232">
        <f>$M$7/SUM($M$4:$M36)</f>
        <v>0.14285714285714288</v>
      </c>
      <c r="AD36" s="217">
        <f t="shared" si="14"/>
        <v>571428.57142857148</v>
      </c>
      <c r="AE36" s="218">
        <f t="shared" si="26"/>
        <v>0.13416666666666668</v>
      </c>
      <c r="AF36" s="221">
        <f t="shared" si="27"/>
        <v>0.26833333333333337</v>
      </c>
      <c r="AG36" s="222">
        <f t="shared" si="16"/>
        <v>0.27072916666666669</v>
      </c>
      <c r="AH36" s="223">
        <f t="shared" si="15"/>
        <v>-2.3958333333333193E-3</v>
      </c>
      <c r="AI36" s="224">
        <f t="shared" si="17"/>
        <v>-8.8495575221238416E-3</v>
      </c>
      <c r="AK36" s="232">
        <f>$M$8/SUM($M$4:$M36)</f>
        <v>0</v>
      </c>
      <c r="AL36" s="217">
        <f t="shared" si="18"/>
        <v>0</v>
      </c>
      <c r="AM36" s="218">
        <f t="shared" si="28"/>
        <v>0</v>
      </c>
      <c r="AN36" s="221">
        <f t="shared" si="29"/>
        <v>0</v>
      </c>
      <c r="AO36" s="222">
        <f t="shared" si="20"/>
        <v>0</v>
      </c>
      <c r="AP36" s="223">
        <f t="shared" si="19"/>
        <v>0</v>
      </c>
      <c r="AQ36" s="224" t="str">
        <f t="shared" si="21"/>
        <v/>
      </c>
      <c r="AS36" s="232">
        <f>$M$9/SUM($M$4:$M36)</f>
        <v>0</v>
      </c>
      <c r="AT36" s="217">
        <f t="shared" si="22"/>
        <v>0</v>
      </c>
      <c r="AU36" s="218">
        <f t="shared" si="30"/>
        <v>0</v>
      </c>
      <c r="AV36" s="221">
        <f t="shared" si="31"/>
        <v>0</v>
      </c>
      <c r="AW36" s="222">
        <f t="shared" si="32"/>
        <v>0</v>
      </c>
      <c r="AX36" s="223">
        <f t="shared" si="23"/>
        <v>0</v>
      </c>
      <c r="AY36" s="239" t="str">
        <f t="shared" si="33"/>
        <v/>
      </c>
    </row>
    <row r="37" spans="1:51" ht="17">
      <c r="A37" s="109" t="s">
        <v>60</v>
      </c>
      <c r="B37" s="110">
        <f t="shared" si="40"/>
        <v>4000000</v>
      </c>
      <c r="C37" s="111">
        <f t="shared" si="40"/>
        <v>0.93916666666666671</v>
      </c>
      <c r="D37" s="212">
        <f t="shared" si="7"/>
        <v>2.3479166666666669E-7</v>
      </c>
      <c r="F37" s="213"/>
      <c r="G37" s="114">
        <f t="shared" si="8"/>
        <v>0</v>
      </c>
      <c r="H37" s="115">
        <f t="shared" si="9"/>
        <v>2.3479166666666669E-7</v>
      </c>
      <c r="J37" s="213"/>
      <c r="K37" s="214">
        <f t="shared" si="34"/>
        <v>0</v>
      </c>
      <c r="L37" s="215">
        <f t="shared" si="35"/>
        <v>0</v>
      </c>
      <c r="M37" s="118">
        <f>MIN(J37*10^18*SUM($M$3:$M36) / ((B37-F37)*10^18), K37*10^18*SUM($M$3:$M36) / ((C37-G37)*10^18))</f>
        <v>0</v>
      </c>
      <c r="O37" s="216">
        <f t="shared" si="10"/>
        <v>1.8783333333333334</v>
      </c>
      <c r="P37" s="217">
        <f>SUM($J$4:$J37)-SUM($F$4:$F37)</f>
        <v>4000000</v>
      </c>
      <c r="Q37" s="218">
        <f>SUM($K$4:$K37)-SUM($G$4:$G37)</f>
        <v>0.93916666666666671</v>
      </c>
      <c r="R37" s="219">
        <f t="shared" si="4"/>
        <v>0</v>
      </c>
      <c r="S37" s="122"/>
      <c r="U37" s="220">
        <f>$M$6/SUM($M$4:$M37)</f>
        <v>0</v>
      </c>
      <c r="V37" s="217">
        <f t="shared" si="5"/>
        <v>0</v>
      </c>
      <c r="W37" s="218">
        <f t="shared" si="24"/>
        <v>0</v>
      </c>
      <c r="X37" s="221">
        <f t="shared" si="25"/>
        <v>0</v>
      </c>
      <c r="Y37" s="222">
        <f t="shared" si="11"/>
        <v>0</v>
      </c>
      <c r="Z37" s="223">
        <f t="shared" si="12"/>
        <v>0</v>
      </c>
      <c r="AA37" s="224" t="str">
        <f t="shared" si="13"/>
        <v/>
      </c>
      <c r="AC37" s="232">
        <f>$M$7/SUM($M$4:$M37)</f>
        <v>0.14285714285714288</v>
      </c>
      <c r="AD37" s="217">
        <f t="shared" si="14"/>
        <v>571428.57142857148</v>
      </c>
      <c r="AE37" s="218">
        <f t="shared" si="26"/>
        <v>0.13416666666666668</v>
      </c>
      <c r="AF37" s="221">
        <f t="shared" si="27"/>
        <v>0.26833333333333337</v>
      </c>
      <c r="AG37" s="222">
        <f t="shared" si="16"/>
        <v>0.27072916666666669</v>
      </c>
      <c r="AH37" s="223">
        <f t="shared" si="15"/>
        <v>-2.3958333333333193E-3</v>
      </c>
      <c r="AI37" s="224">
        <f t="shared" si="17"/>
        <v>-8.8495575221238416E-3</v>
      </c>
      <c r="AK37" s="232">
        <f>$M$8/SUM($M$4:$M37)</f>
        <v>0</v>
      </c>
      <c r="AL37" s="217">
        <f t="shared" si="18"/>
        <v>0</v>
      </c>
      <c r="AM37" s="218">
        <f t="shared" si="28"/>
        <v>0</v>
      </c>
      <c r="AN37" s="221">
        <f t="shared" si="29"/>
        <v>0</v>
      </c>
      <c r="AO37" s="222">
        <f t="shared" si="20"/>
        <v>0</v>
      </c>
      <c r="AP37" s="223">
        <f t="shared" si="19"/>
        <v>0</v>
      </c>
      <c r="AQ37" s="224" t="str">
        <f t="shared" si="21"/>
        <v/>
      </c>
      <c r="AS37" s="232">
        <f>$M$9/SUM($M$4:$M37)</f>
        <v>0</v>
      </c>
      <c r="AT37" s="217">
        <f t="shared" si="22"/>
        <v>0</v>
      </c>
      <c r="AU37" s="218">
        <f t="shared" si="30"/>
        <v>0</v>
      </c>
      <c r="AV37" s="221">
        <f t="shared" si="31"/>
        <v>0</v>
      </c>
      <c r="AW37" s="222">
        <f t="shared" si="32"/>
        <v>0</v>
      </c>
      <c r="AX37" s="223">
        <f t="shared" si="23"/>
        <v>0</v>
      </c>
      <c r="AY37" s="239" t="str">
        <f t="shared" si="33"/>
        <v/>
      </c>
    </row>
    <row r="38" spans="1:51" ht="17">
      <c r="A38" s="109" t="s">
        <v>61</v>
      </c>
      <c r="B38" s="110">
        <f t="shared" si="40"/>
        <v>4000000</v>
      </c>
      <c r="C38" s="111">
        <f t="shared" si="40"/>
        <v>0.93916666666666671</v>
      </c>
      <c r="D38" s="212">
        <f t="shared" si="7"/>
        <v>2.3479166666666669E-7</v>
      </c>
      <c r="F38" s="213"/>
      <c r="G38" s="114">
        <f t="shared" si="8"/>
        <v>0</v>
      </c>
      <c r="H38" s="115">
        <f t="shared" si="9"/>
        <v>2.3479166666666669E-7</v>
      </c>
      <c r="J38" s="213"/>
      <c r="K38" s="214">
        <f t="shared" si="34"/>
        <v>0</v>
      </c>
      <c r="L38" s="215">
        <f t="shared" si="35"/>
        <v>0</v>
      </c>
      <c r="M38" s="118">
        <f>MIN(J38*10^18*SUM($M$3:$M37) / ((B38-F38)*10^18), K38*10^18*SUM($M$3:$M37) / ((C38-G38)*10^18))</f>
        <v>0</v>
      </c>
      <c r="O38" s="216">
        <f t="shared" si="10"/>
        <v>1.8783333333333334</v>
      </c>
      <c r="P38" s="217">
        <f>SUM($J$4:$J38)-SUM($F$4:$F38)</f>
        <v>4000000</v>
      </c>
      <c r="Q38" s="218">
        <f>SUM($K$4:$K38)-SUM($G$4:$G38)</f>
        <v>0.93916666666666671</v>
      </c>
      <c r="R38" s="219">
        <f t="shared" si="4"/>
        <v>0</v>
      </c>
      <c r="S38" s="122"/>
      <c r="U38" s="220">
        <f>$M$6/SUM($M$4:$M38)</f>
        <v>0</v>
      </c>
      <c r="V38" s="217">
        <f t="shared" si="5"/>
        <v>0</v>
      </c>
      <c r="W38" s="218">
        <f t="shared" si="24"/>
        <v>0</v>
      </c>
      <c r="X38" s="221">
        <f t="shared" si="25"/>
        <v>0</v>
      </c>
      <c r="Y38" s="222">
        <f t="shared" si="11"/>
        <v>0</v>
      </c>
      <c r="Z38" s="223">
        <f t="shared" si="12"/>
        <v>0</v>
      </c>
      <c r="AA38" s="224" t="str">
        <f t="shared" si="13"/>
        <v/>
      </c>
      <c r="AC38" s="232">
        <f>$M$7/SUM($M$4:$M38)</f>
        <v>0.14285714285714288</v>
      </c>
      <c r="AD38" s="217">
        <f t="shared" si="14"/>
        <v>571428.57142857148</v>
      </c>
      <c r="AE38" s="218">
        <f t="shared" si="26"/>
        <v>0.13416666666666668</v>
      </c>
      <c r="AF38" s="221">
        <f t="shared" si="27"/>
        <v>0.26833333333333337</v>
      </c>
      <c r="AG38" s="222">
        <f t="shared" si="16"/>
        <v>0.27072916666666669</v>
      </c>
      <c r="AH38" s="223">
        <f t="shared" si="15"/>
        <v>-2.3958333333333193E-3</v>
      </c>
      <c r="AI38" s="224">
        <f t="shared" si="17"/>
        <v>-8.8495575221238416E-3</v>
      </c>
      <c r="AK38" s="232">
        <f>$M$8/SUM($M$4:$M38)</f>
        <v>0</v>
      </c>
      <c r="AL38" s="217">
        <f t="shared" si="18"/>
        <v>0</v>
      </c>
      <c r="AM38" s="218">
        <f t="shared" si="28"/>
        <v>0</v>
      </c>
      <c r="AN38" s="221">
        <f t="shared" si="29"/>
        <v>0</v>
      </c>
      <c r="AO38" s="222">
        <f t="shared" si="20"/>
        <v>0</v>
      </c>
      <c r="AP38" s="223">
        <f t="shared" si="19"/>
        <v>0</v>
      </c>
      <c r="AQ38" s="224" t="str">
        <f t="shared" si="21"/>
        <v/>
      </c>
      <c r="AS38" s="232">
        <f>$M$9/SUM($M$4:$M38)</f>
        <v>0</v>
      </c>
      <c r="AT38" s="217">
        <f t="shared" si="22"/>
        <v>0</v>
      </c>
      <c r="AU38" s="218">
        <f t="shared" si="30"/>
        <v>0</v>
      </c>
      <c r="AV38" s="221">
        <f t="shared" si="31"/>
        <v>0</v>
      </c>
      <c r="AW38" s="222">
        <f t="shared" si="32"/>
        <v>0</v>
      </c>
      <c r="AX38" s="223">
        <f t="shared" si="23"/>
        <v>0</v>
      </c>
      <c r="AY38" s="239" t="str">
        <f t="shared" si="33"/>
        <v/>
      </c>
    </row>
    <row r="39" spans="1:51" ht="17">
      <c r="A39" s="109" t="s">
        <v>63</v>
      </c>
      <c r="B39" s="110">
        <f t="shared" ref="B39:C39" si="41">B38-F38+J38</f>
        <v>4000000</v>
      </c>
      <c r="C39" s="111">
        <f t="shared" si="41"/>
        <v>0.93916666666666671</v>
      </c>
      <c r="D39" s="212">
        <f t="shared" si="7"/>
        <v>2.3479166666666669E-7</v>
      </c>
      <c r="F39" s="213"/>
      <c r="G39" s="114">
        <f t="shared" si="8"/>
        <v>0</v>
      </c>
      <c r="H39" s="115">
        <f t="shared" si="9"/>
        <v>2.3479166666666669E-7</v>
      </c>
      <c r="J39" s="213"/>
      <c r="K39" s="214">
        <f t="shared" si="34"/>
        <v>0</v>
      </c>
      <c r="L39" s="215">
        <f t="shared" si="35"/>
        <v>0</v>
      </c>
      <c r="M39" s="118">
        <f>MIN(J39*10^18*SUM($M$3:$M38) / ((B39-F39)*10^18), K39*10^18*SUM($M$3:$M38) / ((C39-G39)*10^18))</f>
        <v>0</v>
      </c>
      <c r="O39" s="216">
        <f t="shared" si="10"/>
        <v>1.8783333333333334</v>
      </c>
      <c r="P39" s="217">
        <f>SUM($J$4:$J39)-SUM($F$4:$F39)</f>
        <v>4000000</v>
      </c>
      <c r="Q39" s="218">
        <f>SUM($K$4:$K39)-SUM($G$4:$G39)</f>
        <v>0.93916666666666671</v>
      </c>
      <c r="R39" s="219">
        <f t="shared" si="4"/>
        <v>0</v>
      </c>
      <c r="S39" s="122"/>
      <c r="U39" s="220">
        <f>$M$6/SUM($M$4:$M39)</f>
        <v>0</v>
      </c>
      <c r="V39" s="217">
        <f t="shared" si="5"/>
        <v>0</v>
      </c>
      <c r="W39" s="218">
        <f t="shared" si="24"/>
        <v>0</v>
      </c>
      <c r="X39" s="221">
        <f t="shared" si="25"/>
        <v>0</v>
      </c>
      <c r="Y39" s="222">
        <f t="shared" si="11"/>
        <v>0</v>
      </c>
      <c r="Z39" s="223">
        <f t="shared" si="12"/>
        <v>0</v>
      </c>
      <c r="AA39" s="224" t="str">
        <f t="shared" si="13"/>
        <v/>
      </c>
      <c r="AC39" s="232">
        <f>$M$7/SUM($M$4:$M39)</f>
        <v>0.14285714285714288</v>
      </c>
      <c r="AD39" s="217">
        <f t="shared" si="14"/>
        <v>571428.57142857148</v>
      </c>
      <c r="AE39" s="218">
        <f t="shared" si="26"/>
        <v>0.13416666666666668</v>
      </c>
      <c r="AF39" s="221">
        <f t="shared" si="27"/>
        <v>0.26833333333333337</v>
      </c>
      <c r="AG39" s="222">
        <f t="shared" si="16"/>
        <v>0.27072916666666669</v>
      </c>
      <c r="AH39" s="223">
        <f t="shared" si="15"/>
        <v>-2.3958333333333193E-3</v>
      </c>
      <c r="AI39" s="224">
        <f t="shared" si="17"/>
        <v>-8.8495575221238416E-3</v>
      </c>
      <c r="AK39" s="232">
        <f>$M$8/SUM($M$4:$M39)</f>
        <v>0</v>
      </c>
      <c r="AL39" s="217">
        <f t="shared" si="18"/>
        <v>0</v>
      </c>
      <c r="AM39" s="218">
        <f t="shared" si="28"/>
        <v>0</v>
      </c>
      <c r="AN39" s="221">
        <f t="shared" si="29"/>
        <v>0</v>
      </c>
      <c r="AO39" s="222">
        <f t="shared" si="20"/>
        <v>0</v>
      </c>
      <c r="AP39" s="223">
        <f t="shared" si="19"/>
        <v>0</v>
      </c>
      <c r="AQ39" s="224" t="str">
        <f t="shared" si="21"/>
        <v/>
      </c>
      <c r="AS39" s="232">
        <f>$M$9/SUM($M$4:$M39)</f>
        <v>0</v>
      </c>
      <c r="AT39" s="217">
        <f t="shared" si="22"/>
        <v>0</v>
      </c>
      <c r="AU39" s="218">
        <f t="shared" si="30"/>
        <v>0</v>
      </c>
      <c r="AV39" s="221">
        <f t="shared" si="31"/>
        <v>0</v>
      </c>
      <c r="AW39" s="222">
        <f t="shared" si="32"/>
        <v>0</v>
      </c>
      <c r="AX39" s="223">
        <f t="shared" si="23"/>
        <v>0</v>
      </c>
      <c r="AY39" s="239" t="str">
        <f t="shared" si="33"/>
        <v/>
      </c>
    </row>
    <row r="40" spans="1:51" s="132" customFormat="1">
      <c r="A40" s="109"/>
      <c r="B40" s="129"/>
      <c r="C40" s="114"/>
      <c r="D40" s="241"/>
      <c r="E40" s="95"/>
      <c r="F40" s="66"/>
      <c r="G40" s="114"/>
      <c r="H40" s="134"/>
      <c r="I40" s="95"/>
      <c r="J40" s="114"/>
      <c r="K40" s="114"/>
      <c r="L40" s="66"/>
      <c r="M40" s="242"/>
      <c r="N40" s="168"/>
      <c r="O40" s="216"/>
      <c r="P40" s="243"/>
      <c r="Q40" s="243"/>
      <c r="R40" s="244"/>
      <c r="S40" s="138"/>
      <c r="T40" s="95"/>
      <c r="U40" s="245"/>
      <c r="V40" s="246"/>
      <c r="W40" s="246"/>
      <c r="X40" s="55"/>
      <c r="Y40" s="244"/>
      <c r="Z40" s="223"/>
      <c r="AA40" s="247"/>
      <c r="AB40" s="140"/>
      <c r="AC40" s="248"/>
      <c r="AD40" s="246"/>
      <c r="AE40" s="246"/>
      <c r="AF40" s="55"/>
      <c r="AG40" s="244"/>
      <c r="AH40" s="223"/>
      <c r="AI40" s="247"/>
      <c r="AJ40" s="140"/>
      <c r="AK40" s="248"/>
      <c r="AL40" s="246"/>
      <c r="AM40" s="246"/>
      <c r="AN40" s="55"/>
      <c r="AO40" s="244"/>
      <c r="AP40" s="223"/>
      <c r="AQ40" s="247"/>
      <c r="AR40" s="140"/>
      <c r="AS40" s="248"/>
      <c r="AT40" s="246"/>
      <c r="AU40" s="246"/>
      <c r="AV40" s="55"/>
      <c r="AW40" s="244"/>
      <c r="AX40" s="223"/>
      <c r="AY40" s="249"/>
    </row>
  </sheetData>
  <sheetProtection algorithmName="SHA-512" hashValue="qeGf9DHzlDP5HL2+ky1tUgCWiTek56nOfP79eSEhndLX3NqVjBW5GCxdPg5gwyH1CPFwrb4v9X2wvOOj00eSvg==" saltValue="n4442gu1T1j9Im5Nv67zkA==" spinCount="100000" sheet="1" objects="1" scenarios="1" selectLockedCells="1"/>
  <mergeCells count="19">
    <mergeCell ref="AK7:AQ7"/>
    <mergeCell ref="AS7:AY7"/>
    <mergeCell ref="AS8:AY8"/>
    <mergeCell ref="AP3:AQ3"/>
    <mergeCell ref="AS3:AW3"/>
    <mergeCell ref="AX3:AY3"/>
    <mergeCell ref="AC6:AI6"/>
    <mergeCell ref="AK6:AQ6"/>
    <mergeCell ref="AS6:AY6"/>
    <mergeCell ref="A1:AS1"/>
    <mergeCell ref="B3:D3"/>
    <mergeCell ref="F3:H3"/>
    <mergeCell ref="J3:M3"/>
    <mergeCell ref="O3:R3"/>
    <mergeCell ref="U3:Y3"/>
    <mergeCell ref="Z3:AA3"/>
    <mergeCell ref="AC3:AG3"/>
    <mergeCell ref="AH3:AI3"/>
    <mergeCell ref="AK3:AO3"/>
  </mergeCells>
  <conditionalFormatting sqref="F30:F39">
    <cfRule type="expression" dxfId="79" priority="111">
      <formula>F30&gt;B30</formula>
    </cfRule>
  </conditionalFormatting>
  <conditionalFormatting sqref="V7:Z9 U7:U39 U6:AA6 AA7:AA39 O6:S39">
    <cfRule type="expression" dxfId="78" priority="109">
      <formula>AND($F6=0,$J6=0)</formula>
    </cfRule>
  </conditionalFormatting>
  <conditionalFormatting sqref="H6:H39">
    <cfRule type="expression" dxfId="77" priority="108">
      <formula>$F6=0</formula>
    </cfRule>
  </conditionalFormatting>
  <conditionalFormatting sqref="AD10:AF39 AH10:AH39">
    <cfRule type="expression" dxfId="76" priority="103">
      <formula>AND($F10=0,$J10=0)</formula>
    </cfRule>
  </conditionalFormatting>
  <conditionalFormatting sqref="AC7:AI7 AD8:AF9 AC8:AC39 AH8:AH9 AG8:AG39 AI8:AI39">
    <cfRule type="expression" dxfId="75" priority="107">
      <formula>AND($F7=0,$J7=0)</formula>
    </cfRule>
  </conditionalFormatting>
  <conditionalFormatting sqref="AK8:AQ8 AL9:AN9 AK9:AK39 AP9 AO9:AO39 AQ9:AQ39">
    <cfRule type="expression" dxfId="74" priority="106">
      <formula>AND($F8=0,$J8=0)</formula>
    </cfRule>
  </conditionalFormatting>
  <conditionalFormatting sqref="AS9:AY9 AS10:AS39 AW10:AW39 AY10:AY39">
    <cfRule type="expression" dxfId="73" priority="105">
      <formula>AND($F9=0,$J9=0)</formula>
    </cfRule>
  </conditionalFormatting>
  <conditionalFormatting sqref="V10:Z39">
    <cfRule type="expression" dxfId="72" priority="104">
      <formula>AND($F10=0,$J10=0)</formula>
    </cfRule>
  </conditionalFormatting>
  <conditionalFormatting sqref="AL10:AN39 AP10:AP39">
    <cfRule type="expression" dxfId="71" priority="102">
      <formula>AND($F10=0,$J10=0)</formula>
    </cfRule>
  </conditionalFormatting>
  <conditionalFormatting sqref="AT10:AV39 AX10:AX39">
    <cfRule type="expression" dxfId="70" priority="101">
      <formula>AND($F10=0,$J10=0)</formula>
    </cfRule>
  </conditionalFormatting>
  <conditionalFormatting sqref="F30:F39">
    <cfRule type="cellIs" dxfId="69" priority="97" operator="lessThan">
      <formula>0</formula>
    </cfRule>
    <cfRule type="cellIs" dxfId="68" priority="98" operator="greaterThan">
      <formula>0</formula>
    </cfRule>
  </conditionalFormatting>
  <conditionalFormatting sqref="J29:J39">
    <cfRule type="expression" dxfId="67" priority="96">
      <formula>J29&lt;(B29*-1)</formula>
    </cfRule>
  </conditionalFormatting>
  <conditionalFormatting sqref="J29:J39">
    <cfRule type="cellIs" dxfId="66" priority="94" operator="lessThan">
      <formula>0</formula>
    </cfRule>
    <cfRule type="cellIs" dxfId="65" priority="95" operator="greaterThan">
      <formula>0</formula>
    </cfRule>
  </conditionalFormatting>
  <conditionalFormatting sqref="G6:G39">
    <cfRule type="expression" dxfId="64" priority="93">
      <formula>$F6=0</formula>
    </cfRule>
  </conditionalFormatting>
  <conditionalFormatting sqref="G6:G39">
    <cfRule type="cellIs" dxfId="63" priority="91" operator="lessThan">
      <formula>0</formula>
    </cfRule>
    <cfRule type="cellIs" dxfId="62" priority="92" operator="greaterThan">
      <formula>0</formula>
    </cfRule>
  </conditionalFormatting>
  <conditionalFormatting sqref="K6:K39">
    <cfRule type="expression" dxfId="61" priority="90">
      <formula>K6&lt;(C6*-1)</formula>
    </cfRule>
  </conditionalFormatting>
  <conditionalFormatting sqref="K6:K39">
    <cfRule type="cellIs" dxfId="60" priority="88" operator="lessThan">
      <formula>0</formula>
    </cfRule>
    <cfRule type="cellIs" dxfId="59" priority="89" operator="greaterThan">
      <formula>0</formula>
    </cfRule>
  </conditionalFormatting>
  <conditionalFormatting sqref="M6:M39">
    <cfRule type="expression" dxfId="58" priority="84">
      <formula>$J6=0</formula>
    </cfRule>
  </conditionalFormatting>
  <conditionalFormatting sqref="M6:M39">
    <cfRule type="cellIs" dxfId="57" priority="82" operator="lessThan">
      <formula>0</formula>
    </cfRule>
    <cfRule type="cellIs" dxfId="56" priority="83" operator="greaterThan">
      <formula>0</formula>
    </cfRule>
  </conditionalFormatting>
  <conditionalFormatting sqref="K6:K39">
    <cfRule type="expression" dxfId="55" priority="80">
      <formula>J6=0</formula>
    </cfRule>
  </conditionalFormatting>
  <conditionalFormatting sqref="L6:L39">
    <cfRule type="expression" dxfId="54" priority="74">
      <formula>J6=0</formula>
    </cfRule>
  </conditionalFormatting>
  <conditionalFormatting sqref="F6:F7">
    <cfRule type="expression" dxfId="53" priority="67">
      <formula>F6&lt;(B6*-1)</formula>
    </cfRule>
  </conditionalFormatting>
  <conditionalFormatting sqref="F6:F7">
    <cfRule type="cellIs" dxfId="52" priority="65" operator="lessThan">
      <formula>0</formula>
    </cfRule>
    <cfRule type="cellIs" dxfId="51" priority="66" operator="greaterThan">
      <formula>0</formula>
    </cfRule>
  </conditionalFormatting>
  <conditionalFormatting sqref="J12">
    <cfRule type="expression" dxfId="50" priority="31">
      <formula>J12&lt;(B12*-1)</formula>
    </cfRule>
  </conditionalFormatting>
  <conditionalFormatting sqref="J12">
    <cfRule type="cellIs" dxfId="49" priority="29" operator="lessThan">
      <formula>0</formula>
    </cfRule>
    <cfRule type="cellIs" dxfId="48" priority="30" operator="greaterThan">
      <formula>0</formula>
    </cfRule>
  </conditionalFormatting>
  <conditionalFormatting sqref="J13:J23 J6:J11">
    <cfRule type="expression" dxfId="47" priority="28">
      <formula>J6&lt;(B6*-1)</formula>
    </cfRule>
  </conditionalFormatting>
  <conditionalFormatting sqref="J13:J23 J6:J11">
    <cfRule type="cellIs" dxfId="46" priority="26" operator="lessThan">
      <formula>0</formula>
    </cfRule>
    <cfRule type="cellIs" dxfId="45" priority="27" operator="greaterThan">
      <formula>0</formula>
    </cfRule>
  </conditionalFormatting>
  <conditionalFormatting sqref="F8 F10 F12">
    <cfRule type="expression" dxfId="44" priority="25">
      <formula>F8&gt;B8</formula>
    </cfRule>
  </conditionalFormatting>
  <conditionalFormatting sqref="F8 F10 F12">
    <cfRule type="cellIs" dxfId="43" priority="23" operator="lessThan">
      <formula>0</formula>
    </cfRule>
    <cfRule type="cellIs" dxfId="42" priority="24" operator="greaterThan">
      <formula>0</formula>
    </cfRule>
  </conditionalFormatting>
  <conditionalFormatting sqref="F9 F11 F13:F23">
    <cfRule type="expression" dxfId="41" priority="22">
      <formula>F9&lt;(XFB9*-1)</formula>
    </cfRule>
  </conditionalFormatting>
  <conditionalFormatting sqref="F9 F11 F13:F23">
    <cfRule type="cellIs" dxfId="40" priority="20" operator="lessThan">
      <formula>0</formula>
    </cfRule>
    <cfRule type="cellIs" dxfId="39" priority="21" operator="greaterThan">
      <formula>0</formula>
    </cfRule>
  </conditionalFormatting>
  <conditionalFormatting sqref="J24 J26 J28">
    <cfRule type="expression" dxfId="38" priority="19">
      <formula>J24&lt;(B24*-1)</formula>
    </cfRule>
  </conditionalFormatting>
  <conditionalFormatting sqref="J24 J26 J28">
    <cfRule type="cellIs" dxfId="37" priority="17" operator="lessThan">
      <formula>0</formula>
    </cfRule>
    <cfRule type="cellIs" dxfId="36" priority="18" operator="greaterThan">
      <formula>0</formula>
    </cfRule>
  </conditionalFormatting>
  <conditionalFormatting sqref="J25 J27">
    <cfRule type="expression" dxfId="35" priority="16">
      <formula>J25&lt;(B25*-1)</formula>
    </cfRule>
  </conditionalFormatting>
  <conditionalFormatting sqref="J25 J27">
    <cfRule type="cellIs" dxfId="34" priority="14" operator="lessThan">
      <formula>0</formula>
    </cfRule>
    <cfRule type="cellIs" dxfId="33" priority="15" operator="greaterThan">
      <formula>0</formula>
    </cfRule>
  </conditionalFormatting>
  <conditionalFormatting sqref="F25 F27 F29">
    <cfRule type="expression" dxfId="32" priority="13">
      <formula>F25&lt;(XFB25*-1)</formula>
    </cfRule>
  </conditionalFormatting>
  <conditionalFormatting sqref="F25 F27 F29">
    <cfRule type="cellIs" dxfId="31" priority="11" operator="lessThan">
      <formula>0</formula>
    </cfRule>
    <cfRule type="cellIs" dxfId="30" priority="12" operator="greaterThan">
      <formula>0</formula>
    </cfRule>
  </conditionalFormatting>
  <conditionalFormatting sqref="F24 F26 F28">
    <cfRule type="expression" dxfId="29" priority="10">
      <formula>F24&lt;(XFB24*-1)</formula>
    </cfRule>
  </conditionalFormatting>
  <conditionalFormatting sqref="F24 F26 F28">
    <cfRule type="cellIs" dxfId="28" priority="8" operator="lessThan">
      <formula>0</formula>
    </cfRule>
    <cfRule type="cellIs" dxfId="27" priority="9" operator="greaterThan">
      <formula>0</formula>
    </cfRule>
  </conditionalFormatting>
  <pageMargins left="0.7" right="0.7" top="0.75" bottom="0.75" header="0.3" footer="0.3"/>
  <ignoredErrors>
    <ignoredError sqref="A1:XFD1 A34:XFD1048576 A8:E8 N8:XFD8 A9:E9 G9:I9 A10:E10 N10:XFD10 A11:E11 G11:I11 A3:XFD3 A2:G2 I2:K2 A7:E7 D4:E4 H4:I4 L4:O4 R4:U4 X4:AC4 AF4:AK4 AN4:AS4 AV4:XFD4 A5:I5 L5:XFD5 A6:E6 N6:XFD6 A17:D17 K12:XFD13 N9:XFD9 K11:XFD11 G8 G7:I7 G10:I10 A12:E12 G12:I12 A13:E13 G13:I13 A15:D16 A18:D18 A19:D23 P22:XFD23 A24:E28 K24:XFD28 A29:E29 G29:I29 G24:I28 A30:E31 K30:XFD31 N7:XFD7 K29:XFD29 A32:E33 G32:XFD33 I6 G30:I31 N2:XFD2 P17:XFD17 P16:XFD16 P19:XFD20 P18:XFD18 P14:XFD15 P21:XFD21 A14:D14 I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product pricing</vt:lpstr>
      <vt:lpstr>Token calcs</vt:lpstr>
      <vt:lpstr>constant prod pricing prev 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</dc:creator>
  <cp:lastModifiedBy>Mike K</cp:lastModifiedBy>
  <dcterms:created xsi:type="dcterms:W3CDTF">2020-09-18T20:31:32Z</dcterms:created>
  <dcterms:modified xsi:type="dcterms:W3CDTF">2020-10-16T09:07:13Z</dcterms:modified>
</cp:coreProperties>
</file>