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pietz/Dropbox/Documents/Freelance current/Trading &amp; Crypto/"/>
    </mc:Choice>
  </mc:AlternateContent>
  <xr:revisionPtr revIDLastSave="0" documentId="13_ncr:1_{1BAFF4A6-0A90-C746-AAB6-2373F5AE41E4}" xr6:coauthVersionLast="47" xr6:coauthVersionMax="47" xr10:uidLastSave="{00000000-0000-0000-0000-000000000000}"/>
  <bookViews>
    <workbookView xWindow="-240" yWindow="860" windowWidth="24640" windowHeight="14000" xr2:uid="{D3BB197E-30B3-C041-9F67-DBD6CC30B0F5}"/>
  </bookViews>
  <sheets>
    <sheet name="Sheet1" sheetId="1" r:id="rId1"/>
    <sheet name="Licen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13" i="1" l="1"/>
  <c r="AV13" i="1"/>
  <c r="AU13" i="1"/>
  <c r="AT13" i="1"/>
  <c r="AS13" i="1"/>
  <c r="AR13" i="1"/>
  <c r="AQ13" i="1"/>
  <c r="AW12" i="1"/>
  <c r="AV12" i="1"/>
  <c r="AU12" i="1"/>
  <c r="AT12" i="1"/>
  <c r="AS12" i="1"/>
  <c r="AR12" i="1"/>
  <c r="AQ12" i="1"/>
  <c r="AO12" i="1"/>
  <c r="AN12" i="1"/>
  <c r="AM12" i="1"/>
  <c r="AL12" i="1"/>
  <c r="AK12" i="1"/>
  <c r="AJ12" i="1"/>
  <c r="AI12" i="1"/>
  <c r="AW11" i="1"/>
  <c r="AV11" i="1"/>
  <c r="AU11" i="1"/>
  <c r="AT11" i="1"/>
  <c r="AS11" i="1"/>
  <c r="AR11" i="1"/>
  <c r="AQ11" i="1"/>
  <c r="AO11" i="1"/>
  <c r="AN11" i="1"/>
  <c r="AM11" i="1"/>
  <c r="AL11" i="1"/>
  <c r="AK11" i="1"/>
  <c r="AJ11" i="1"/>
  <c r="AI11" i="1"/>
  <c r="AG11" i="1"/>
  <c r="AF11" i="1"/>
  <c r="AE11" i="1"/>
  <c r="AD11" i="1"/>
  <c r="AC11" i="1"/>
  <c r="AB11" i="1"/>
  <c r="AA11" i="1"/>
  <c r="J10" i="1"/>
  <c r="I10" i="1"/>
  <c r="B11" i="1" s="1"/>
  <c r="AU9" i="1"/>
  <c r="AT9" i="1"/>
  <c r="AS9" i="1"/>
  <c r="AR9" i="1"/>
  <c r="AQ9" i="1"/>
  <c r="AM9" i="1"/>
  <c r="AL9" i="1"/>
  <c r="AK9" i="1"/>
  <c r="AJ9" i="1"/>
  <c r="AI9" i="1"/>
  <c r="AE9" i="1"/>
  <c r="AD9" i="1"/>
  <c r="AC9" i="1"/>
  <c r="AB9" i="1"/>
  <c r="AA9" i="1"/>
  <c r="W9" i="1"/>
  <c r="V9" i="1"/>
  <c r="U9" i="1"/>
  <c r="T9" i="1"/>
  <c r="S9" i="1"/>
  <c r="P9" i="1"/>
  <c r="O9" i="1"/>
  <c r="N9" i="1"/>
  <c r="K9" i="1"/>
  <c r="J9" i="1"/>
  <c r="I9" i="1"/>
  <c r="H9" i="1"/>
  <c r="G9" i="1"/>
  <c r="F9" i="1"/>
  <c r="D9" i="1"/>
  <c r="C9" i="1"/>
  <c r="B9" i="1"/>
  <c r="AV8" i="1"/>
  <c r="AQ8" i="1"/>
  <c r="AN8" i="1"/>
  <c r="AI8" i="1"/>
  <c r="AF8" i="1"/>
  <c r="AA8" i="1"/>
  <c r="X8" i="1"/>
  <c r="S8" i="1"/>
  <c r="AS7" i="1"/>
  <c r="AK7" i="1"/>
  <c r="AC7" i="1"/>
  <c r="U7" i="1"/>
  <c r="O21" i="1" l="1"/>
  <c r="O11" i="1"/>
  <c r="O17" i="1"/>
  <c r="O13" i="1"/>
  <c r="O14" i="1"/>
  <c r="O18" i="1"/>
  <c r="O22" i="1"/>
  <c r="O12" i="1"/>
  <c r="O15" i="1"/>
  <c r="O19" i="1"/>
  <c r="O23" i="1"/>
  <c r="O25" i="1"/>
  <c r="O10" i="1"/>
  <c r="O16" i="1"/>
  <c r="O20" i="1"/>
  <c r="O24" i="1"/>
  <c r="N10" i="1"/>
  <c r="L10" i="1"/>
  <c r="P10" i="1"/>
  <c r="K10" i="1"/>
  <c r="C11" i="1"/>
  <c r="B12" i="1"/>
  <c r="G11" i="1"/>
  <c r="J11" i="1" s="1"/>
  <c r="O38" i="1"/>
  <c r="O44" i="1"/>
  <c r="O43" i="1"/>
  <c r="O42" i="1"/>
  <c r="O41" i="1"/>
  <c r="O40" i="1"/>
  <c r="O39" i="1"/>
  <c r="O37" i="1"/>
  <c r="O31" i="1"/>
  <c r="O29" i="1"/>
  <c r="O36" i="1"/>
  <c r="O35" i="1"/>
  <c r="O34" i="1"/>
  <c r="O33" i="1"/>
  <c r="O32" i="1"/>
  <c r="O30" i="1"/>
  <c r="O28" i="1"/>
  <c r="O27" i="1"/>
  <c r="O26" i="1"/>
  <c r="Q10" i="1" l="1"/>
  <c r="W11" i="1"/>
  <c r="K11" i="1"/>
  <c r="L11" i="1"/>
  <c r="P11" i="1"/>
  <c r="B13" i="1"/>
  <c r="N11" i="1"/>
  <c r="D11" i="1"/>
  <c r="H11" i="1" s="1"/>
  <c r="C12" i="1"/>
  <c r="B14" i="1" l="1"/>
  <c r="Q11" i="1"/>
  <c r="S11" i="1"/>
  <c r="D12" i="1"/>
  <c r="G12" i="1"/>
  <c r="B15" i="1" l="1"/>
  <c r="V11" i="1"/>
  <c r="X11" i="1" s="1"/>
  <c r="Y11" i="1" s="1"/>
  <c r="U11" i="1"/>
  <c r="T11" i="1"/>
  <c r="H12" i="1"/>
  <c r="J12" i="1"/>
  <c r="W12" i="1"/>
  <c r="AE12" i="1" l="1"/>
  <c r="AG12" i="1" s="1"/>
  <c r="K12" i="1"/>
  <c r="P12" i="1"/>
  <c r="L12" i="1"/>
  <c r="N12" i="1"/>
  <c r="C13" i="1"/>
  <c r="B16" i="1"/>
  <c r="B17" i="1" l="1"/>
  <c r="Q12" i="1"/>
  <c r="D13" i="1"/>
  <c r="H13" i="1" s="1"/>
  <c r="G13" i="1"/>
  <c r="J13" i="1" s="1"/>
  <c r="AA12" i="1"/>
  <c r="S12" i="1"/>
  <c r="C14" i="1" l="1"/>
  <c r="AE13" i="1"/>
  <c r="AG13" i="1" s="1"/>
  <c r="N13" i="1"/>
  <c r="W13" i="1"/>
  <c r="AB12" i="1"/>
  <c r="AD12" i="1"/>
  <c r="AF12" i="1" s="1"/>
  <c r="AC12" i="1"/>
  <c r="AM13" i="1"/>
  <c r="K13" i="1"/>
  <c r="L13" i="1"/>
  <c r="P13" i="1"/>
  <c r="D14" i="1"/>
  <c r="G14" i="1"/>
  <c r="H14" i="1" s="1"/>
  <c r="V12" i="1"/>
  <c r="X12" i="1" s="1"/>
  <c r="Y12" i="1" s="1"/>
  <c r="U12" i="1"/>
  <c r="T12" i="1"/>
  <c r="B18" i="1"/>
  <c r="Q13" i="1" l="1"/>
  <c r="J14" i="1"/>
  <c r="N14" i="1"/>
  <c r="AM14" i="1"/>
  <c r="B19" i="1"/>
  <c r="W14" i="1"/>
  <c r="AI13" i="1"/>
  <c r="S13" i="1"/>
  <c r="AA13" i="1"/>
  <c r="AB13" i="1" l="1"/>
  <c r="AD13" i="1"/>
  <c r="AF13" i="1" s="1"/>
  <c r="AC13" i="1"/>
  <c r="V13" i="1"/>
  <c r="X13" i="1" s="1"/>
  <c r="Y13" i="1" s="1"/>
  <c r="U13" i="1"/>
  <c r="T13" i="1"/>
  <c r="AK13" i="1"/>
  <c r="AJ13" i="1"/>
  <c r="AL13" i="1"/>
  <c r="AN13" i="1" s="1"/>
  <c r="AO13" i="1" s="1"/>
  <c r="B20" i="1"/>
  <c r="K14" i="1"/>
  <c r="Q14" i="1" s="1"/>
  <c r="AU14" i="1"/>
  <c r="L14" i="1"/>
  <c r="C15" i="1"/>
  <c r="P14" i="1"/>
  <c r="AE14" i="1"/>
  <c r="AG14" i="1" s="1"/>
  <c r="AQ14" i="1" l="1"/>
  <c r="S14" i="1"/>
  <c r="AA14" i="1"/>
  <c r="AI14" i="1"/>
  <c r="B21" i="1"/>
  <c r="D15" i="1"/>
  <c r="G15" i="1"/>
  <c r="H15" i="1" s="1"/>
  <c r="J15" i="1"/>
  <c r="AE15" i="1" s="1"/>
  <c r="AG15" i="1" s="1"/>
  <c r="C16" i="1" l="1"/>
  <c r="AB14" i="1"/>
  <c r="AD14" i="1"/>
  <c r="AF14" i="1" s="1"/>
  <c r="AC14" i="1"/>
  <c r="V14" i="1"/>
  <c r="X14" i="1" s="1"/>
  <c r="Y14" i="1" s="1"/>
  <c r="U14" i="1"/>
  <c r="T14" i="1"/>
  <c r="AT14" i="1"/>
  <c r="AV14" i="1" s="1"/>
  <c r="AW14" i="1" s="1"/>
  <c r="AS14" i="1"/>
  <c r="AR14" i="1"/>
  <c r="AK14" i="1"/>
  <c r="AJ14" i="1"/>
  <c r="AL14" i="1"/>
  <c r="AN14" i="1" s="1"/>
  <c r="AO14" i="1" s="1"/>
  <c r="N15" i="1"/>
  <c r="K15" i="1"/>
  <c r="Q15" i="1" s="1"/>
  <c r="L15" i="1"/>
  <c r="P15" i="1"/>
  <c r="AU15" i="1"/>
  <c r="B22" i="1"/>
  <c r="AM15" i="1"/>
  <c r="W15" i="1"/>
  <c r="AA15" i="1" l="1"/>
  <c r="AQ15" i="1"/>
  <c r="S15" i="1"/>
  <c r="AI15" i="1"/>
  <c r="B23" i="1"/>
  <c r="D16" i="1"/>
  <c r="G16" i="1"/>
  <c r="H16" i="1" s="1"/>
  <c r="AT15" i="1" l="1"/>
  <c r="AV15" i="1" s="1"/>
  <c r="AW15" i="1" s="1"/>
  <c r="AS15" i="1"/>
  <c r="AR15" i="1"/>
  <c r="B24" i="1"/>
  <c r="J16" i="1"/>
  <c r="AK15" i="1"/>
  <c r="AJ15" i="1"/>
  <c r="AL15" i="1"/>
  <c r="AN15" i="1" s="1"/>
  <c r="AO15" i="1" s="1"/>
  <c r="V15" i="1"/>
  <c r="X15" i="1" s="1"/>
  <c r="Y15" i="1" s="1"/>
  <c r="U15" i="1"/>
  <c r="T15" i="1"/>
  <c r="AB15" i="1"/>
  <c r="AD15" i="1"/>
  <c r="AF15" i="1" s="1"/>
  <c r="AC15" i="1"/>
  <c r="K16" i="1" l="1"/>
  <c r="L16" i="1"/>
  <c r="P16" i="1"/>
  <c r="AM16" i="1"/>
  <c r="N16" i="1"/>
  <c r="AE16" i="1"/>
  <c r="AG16" i="1" s="1"/>
  <c r="W16" i="1"/>
  <c r="AU16" i="1"/>
  <c r="B25" i="1"/>
  <c r="C17" i="1"/>
  <c r="B26" i="1" l="1"/>
  <c r="S16" i="1"/>
  <c r="AQ16" i="1"/>
  <c r="AI16" i="1"/>
  <c r="AA16" i="1"/>
  <c r="D17" i="1"/>
  <c r="H17" i="1" s="1"/>
  <c r="G17" i="1"/>
  <c r="Q16" i="1"/>
  <c r="J17" i="1" l="1"/>
  <c r="AK16" i="1"/>
  <c r="AJ16" i="1"/>
  <c r="AL16" i="1"/>
  <c r="AN16" i="1" s="1"/>
  <c r="AO16" i="1" s="1"/>
  <c r="AB16" i="1"/>
  <c r="AD16" i="1"/>
  <c r="AF16" i="1" s="1"/>
  <c r="AC16" i="1"/>
  <c r="AT16" i="1"/>
  <c r="AV16" i="1" s="1"/>
  <c r="AW16" i="1" s="1"/>
  <c r="AS16" i="1"/>
  <c r="AR16" i="1"/>
  <c r="V16" i="1"/>
  <c r="X16" i="1" s="1"/>
  <c r="Y16" i="1" s="1"/>
  <c r="U16" i="1"/>
  <c r="T16" i="1"/>
  <c r="B27" i="1"/>
  <c r="L17" i="1"/>
  <c r="P17" i="1"/>
  <c r="AU17" i="1" l="1"/>
  <c r="AE17" i="1"/>
  <c r="AG17" i="1" s="1"/>
  <c r="K17" i="1"/>
  <c r="Q17" i="1" s="1"/>
  <c r="W17" i="1"/>
  <c r="N17" i="1"/>
  <c r="AM17" i="1"/>
  <c r="C18" i="1"/>
  <c r="S17" i="1"/>
  <c r="AA17" i="1"/>
  <c r="AI17" i="1"/>
  <c r="AQ17" i="1"/>
  <c r="B28" i="1"/>
  <c r="G18" i="1" l="1"/>
  <c r="J18" i="1"/>
  <c r="AU18" i="1" s="1"/>
  <c r="D18" i="1"/>
  <c r="H18" i="1" s="1"/>
  <c r="AE18" i="1"/>
  <c r="AG18" i="1" s="1"/>
  <c r="AM18" i="1"/>
  <c r="AB17" i="1"/>
  <c r="AD17" i="1"/>
  <c r="AF17" i="1" s="1"/>
  <c r="AC17" i="1"/>
  <c r="AT17" i="1"/>
  <c r="AV17" i="1" s="1"/>
  <c r="AW17" i="1" s="1"/>
  <c r="AS17" i="1"/>
  <c r="AR17" i="1"/>
  <c r="AK17" i="1"/>
  <c r="AJ17" i="1"/>
  <c r="AL17" i="1"/>
  <c r="AN17" i="1" s="1"/>
  <c r="AO17" i="1" s="1"/>
  <c r="B29" i="1"/>
  <c r="V17" i="1"/>
  <c r="X17" i="1" s="1"/>
  <c r="Y17" i="1" s="1"/>
  <c r="T17" i="1"/>
  <c r="U17" i="1"/>
  <c r="L18" i="1" l="1"/>
  <c r="P18" i="1"/>
  <c r="K18" i="1"/>
  <c r="Q18" i="1" s="1"/>
  <c r="W18" i="1"/>
  <c r="N18" i="1"/>
  <c r="C19" i="1"/>
  <c r="B30" i="1"/>
  <c r="D19" i="1" l="1"/>
  <c r="H19" i="1" s="1"/>
  <c r="G19" i="1"/>
  <c r="J19" i="1" s="1"/>
  <c r="C20" i="1" s="1"/>
  <c r="G20" i="1" s="1"/>
  <c r="AI18" i="1"/>
  <c r="AQ18" i="1"/>
  <c r="S18" i="1"/>
  <c r="AA18" i="1"/>
  <c r="B31" i="1"/>
  <c r="K19" i="1"/>
  <c r="AU19" i="1"/>
  <c r="N19" i="1"/>
  <c r="AM19" i="1"/>
  <c r="W19" i="1"/>
  <c r="AE19" i="1" l="1"/>
  <c r="AG19" i="1" s="1"/>
  <c r="P19" i="1"/>
  <c r="J20" i="1"/>
  <c r="N20" i="1" s="1"/>
  <c r="AU20" i="1"/>
  <c r="D20" i="1"/>
  <c r="H20" i="1" s="1"/>
  <c r="AK18" i="1"/>
  <c r="AJ18" i="1"/>
  <c r="AL18" i="1"/>
  <c r="AN18" i="1" s="1"/>
  <c r="AO18" i="1" s="1"/>
  <c r="AS18" i="1"/>
  <c r="AR18" i="1"/>
  <c r="AT18" i="1"/>
  <c r="AV18" i="1" s="1"/>
  <c r="AW18" i="1" s="1"/>
  <c r="AB18" i="1"/>
  <c r="AC18" i="1"/>
  <c r="AD18" i="1"/>
  <c r="AF18" i="1" s="1"/>
  <c r="L19" i="1"/>
  <c r="AQ19" i="1" s="1"/>
  <c r="V18" i="1"/>
  <c r="X18" i="1" s="1"/>
  <c r="Y18" i="1" s="1"/>
  <c r="U18" i="1"/>
  <c r="T18" i="1"/>
  <c r="W20" i="1"/>
  <c r="S19" i="1"/>
  <c r="Q19" i="1"/>
  <c r="B32" i="1"/>
  <c r="AM20" i="1"/>
  <c r="P20" i="1"/>
  <c r="AE20" i="1"/>
  <c r="AG20" i="1" s="1"/>
  <c r="K20" i="1" l="1"/>
  <c r="C21" i="1"/>
  <c r="D21" i="1" s="1"/>
  <c r="H21" i="1" s="1"/>
  <c r="AI19" i="1"/>
  <c r="AK19" i="1" s="1"/>
  <c r="AA19" i="1"/>
  <c r="AC19" i="1" s="1"/>
  <c r="Q20" i="1"/>
  <c r="L20" i="1"/>
  <c r="AA20" i="1" s="1"/>
  <c r="S20" i="1"/>
  <c r="AT19" i="1"/>
  <c r="AV19" i="1" s="1"/>
  <c r="AW19" i="1" s="1"/>
  <c r="AS19" i="1"/>
  <c r="AR19" i="1"/>
  <c r="G21" i="1"/>
  <c r="T19" i="1"/>
  <c r="V19" i="1"/>
  <c r="X19" i="1" s="1"/>
  <c r="Y19" i="1" s="1"/>
  <c r="U19" i="1"/>
  <c r="AJ19" i="1"/>
  <c r="B33" i="1"/>
  <c r="AD19" i="1" l="1"/>
  <c r="AF19" i="1" s="1"/>
  <c r="AL19" i="1"/>
  <c r="AN19" i="1" s="1"/>
  <c r="AO19" i="1" s="1"/>
  <c r="AB19" i="1"/>
  <c r="AI20" i="1"/>
  <c r="AL20" i="1" s="1"/>
  <c r="AN20" i="1" s="1"/>
  <c r="AO20" i="1" s="1"/>
  <c r="AQ20" i="1"/>
  <c r="AS20" i="1" s="1"/>
  <c r="B34" i="1"/>
  <c r="AB20" i="1"/>
  <c r="AC20" i="1"/>
  <c r="AD20" i="1"/>
  <c r="AF20" i="1" s="1"/>
  <c r="J21" i="1"/>
  <c r="AM21" i="1" s="1"/>
  <c r="V20" i="1"/>
  <c r="X20" i="1" s="1"/>
  <c r="Y20" i="1" s="1"/>
  <c r="U20" i="1"/>
  <c r="T20" i="1"/>
  <c r="AT20" i="1" l="1"/>
  <c r="AV20" i="1" s="1"/>
  <c r="AW20" i="1" s="1"/>
  <c r="AJ20" i="1"/>
  <c r="AK20" i="1"/>
  <c r="AR20" i="1"/>
  <c r="K21" i="1"/>
  <c r="P21" i="1"/>
  <c r="L21" i="1"/>
  <c r="AU21" i="1"/>
  <c r="AE21" i="1"/>
  <c r="AG21" i="1" s="1"/>
  <c r="N21" i="1"/>
  <c r="C22" i="1"/>
  <c r="B35" i="1"/>
  <c r="W21" i="1"/>
  <c r="D22" i="1" l="1"/>
  <c r="H22" i="1" s="1"/>
  <c r="G22" i="1"/>
  <c r="S21" i="1"/>
  <c r="AA21" i="1"/>
  <c r="AI21" i="1"/>
  <c r="AQ21" i="1"/>
  <c r="B36" i="1"/>
  <c r="Q21" i="1"/>
  <c r="AK21" i="1" l="1"/>
  <c r="AL21" i="1"/>
  <c r="AN21" i="1" s="1"/>
  <c r="AO21" i="1" s="1"/>
  <c r="AJ21" i="1"/>
  <c r="AB21" i="1"/>
  <c r="AD21" i="1"/>
  <c r="AF21" i="1" s="1"/>
  <c r="AC21" i="1"/>
  <c r="B37" i="1"/>
  <c r="V21" i="1"/>
  <c r="X21" i="1" s="1"/>
  <c r="Y21" i="1" s="1"/>
  <c r="T21" i="1"/>
  <c r="U21" i="1"/>
  <c r="AT21" i="1"/>
  <c r="AV21" i="1" s="1"/>
  <c r="AW21" i="1" s="1"/>
  <c r="AS21" i="1"/>
  <c r="AR21" i="1"/>
  <c r="J22" i="1"/>
  <c r="C23" i="1" s="1"/>
  <c r="D23" i="1" l="1"/>
  <c r="H23" i="1" s="1"/>
  <c r="G23" i="1"/>
  <c r="AU22" i="1"/>
  <c r="AE22" i="1"/>
  <c r="AG22" i="1" s="1"/>
  <c r="K22" i="1"/>
  <c r="P22" i="1"/>
  <c r="L22" i="1"/>
  <c r="AM22" i="1"/>
  <c r="W22" i="1"/>
  <c r="B38" i="1"/>
  <c r="N22" i="1"/>
  <c r="Q22" i="1" l="1"/>
  <c r="J23" i="1"/>
  <c r="N23" i="1" s="1"/>
  <c r="B39" i="1"/>
  <c r="L23" i="1"/>
  <c r="W23" i="1"/>
  <c r="S22" i="1"/>
  <c r="AA22" i="1"/>
  <c r="AI22" i="1"/>
  <c r="AQ22" i="1"/>
  <c r="AM23" i="1"/>
  <c r="C24" i="1"/>
  <c r="AE23" i="1"/>
  <c r="AG23" i="1" s="1"/>
  <c r="P23" i="1" l="1"/>
  <c r="AU23" i="1"/>
  <c r="K23" i="1"/>
  <c r="Q23" i="1" s="1"/>
  <c r="AT22" i="1"/>
  <c r="AV22" i="1" s="1"/>
  <c r="AW22" i="1" s="1"/>
  <c r="AS22" i="1"/>
  <c r="AR22" i="1"/>
  <c r="B40" i="1"/>
  <c r="D24" i="1"/>
  <c r="H24" i="1" s="1"/>
  <c r="G24" i="1"/>
  <c r="AK22" i="1"/>
  <c r="AJ22" i="1"/>
  <c r="AL22" i="1"/>
  <c r="AN22" i="1" s="1"/>
  <c r="AO22" i="1" s="1"/>
  <c r="AB22" i="1"/>
  <c r="AC22" i="1"/>
  <c r="AD22" i="1"/>
  <c r="AF22" i="1" s="1"/>
  <c r="V22" i="1"/>
  <c r="X22" i="1" s="1"/>
  <c r="Y22" i="1" s="1"/>
  <c r="T22" i="1"/>
  <c r="U22" i="1"/>
  <c r="S23" i="1"/>
  <c r="AA23" i="1"/>
  <c r="AI23" i="1"/>
  <c r="AQ23" i="1"/>
  <c r="J24" i="1" l="1"/>
  <c r="W24" i="1" s="1"/>
  <c r="AK23" i="1"/>
  <c r="AL23" i="1"/>
  <c r="AN23" i="1" s="1"/>
  <c r="AO23" i="1" s="1"/>
  <c r="AJ23" i="1"/>
  <c r="B41" i="1"/>
  <c r="AB23" i="1"/>
  <c r="AC23" i="1"/>
  <c r="AD23" i="1"/>
  <c r="AF23" i="1" s="1"/>
  <c r="V23" i="1"/>
  <c r="X23" i="1" s="1"/>
  <c r="Y23" i="1" s="1"/>
  <c r="T23" i="1"/>
  <c r="U23" i="1"/>
  <c r="P24" i="1"/>
  <c r="L24" i="1"/>
  <c r="AT23" i="1"/>
  <c r="AV23" i="1" s="1"/>
  <c r="AW23" i="1" s="1"/>
  <c r="AS23" i="1"/>
  <c r="AR23" i="1"/>
  <c r="N24" i="1" l="1"/>
  <c r="K24" i="1"/>
  <c r="AM24" i="1"/>
  <c r="AE24" i="1"/>
  <c r="AG24" i="1" s="1"/>
  <c r="AU24" i="1"/>
  <c r="C25" i="1"/>
  <c r="B42" i="1"/>
  <c r="S24" i="1"/>
  <c r="AA24" i="1"/>
  <c r="AI24" i="1"/>
  <c r="AQ24" i="1"/>
  <c r="Q24" i="1"/>
  <c r="D25" i="1" l="1"/>
  <c r="H25" i="1" s="1"/>
  <c r="G25" i="1"/>
  <c r="J25" i="1" s="1"/>
  <c r="K25" i="1" s="1"/>
  <c r="AK24" i="1"/>
  <c r="AJ24" i="1"/>
  <c r="AL24" i="1"/>
  <c r="AN24" i="1" s="1"/>
  <c r="AO24" i="1" s="1"/>
  <c r="B43" i="1"/>
  <c r="AB24" i="1"/>
  <c r="AD24" i="1"/>
  <c r="AF24" i="1" s="1"/>
  <c r="AC24" i="1"/>
  <c r="T24" i="1"/>
  <c r="V24" i="1"/>
  <c r="X24" i="1" s="1"/>
  <c r="Y24" i="1" s="1"/>
  <c r="U24" i="1"/>
  <c r="P25" i="1"/>
  <c r="L25" i="1"/>
  <c r="AM25" i="1"/>
  <c r="N25" i="1"/>
  <c r="AU25" i="1"/>
  <c r="AE25" i="1"/>
  <c r="AG25" i="1" s="1"/>
  <c r="AS24" i="1"/>
  <c r="AT24" i="1"/>
  <c r="AV24" i="1" s="1"/>
  <c r="AW24" i="1" s="1"/>
  <c r="AR24" i="1"/>
  <c r="W25" i="1"/>
  <c r="C26" i="1" l="1"/>
  <c r="Q25" i="1"/>
  <c r="S25" i="1"/>
  <c r="AA25" i="1"/>
  <c r="AI25" i="1"/>
  <c r="AQ25" i="1"/>
  <c r="D26" i="1"/>
  <c r="H26" i="1" s="1"/>
  <c r="G26" i="1"/>
  <c r="B44" i="1"/>
  <c r="J26" i="1" l="1"/>
  <c r="N26" i="1" s="1"/>
  <c r="AD25" i="1"/>
  <c r="AF25" i="1" s="1"/>
  <c r="AC25" i="1"/>
  <c r="AB25" i="1"/>
  <c r="AE26" i="1"/>
  <c r="AG26" i="1" s="1"/>
  <c r="V25" i="1"/>
  <c r="X25" i="1" s="1"/>
  <c r="Y25" i="1" s="1"/>
  <c r="U25" i="1"/>
  <c r="T25" i="1"/>
  <c r="W26" i="1"/>
  <c r="AS25" i="1"/>
  <c r="AR25" i="1"/>
  <c r="AT25" i="1"/>
  <c r="AV25" i="1" s="1"/>
  <c r="AW25" i="1" s="1"/>
  <c r="AU26" i="1"/>
  <c r="AJ25" i="1"/>
  <c r="AL25" i="1"/>
  <c r="AN25" i="1" s="1"/>
  <c r="AO25" i="1" s="1"/>
  <c r="AK25" i="1"/>
  <c r="K26" i="1" l="1"/>
  <c r="C27" i="1"/>
  <c r="L26" i="1"/>
  <c r="AI26" i="1" s="1"/>
  <c r="AM26" i="1"/>
  <c r="Q26" i="1"/>
  <c r="P26" i="1"/>
  <c r="S26" i="1"/>
  <c r="AA26" i="1"/>
  <c r="D27" i="1"/>
  <c r="H27" i="1" s="1"/>
  <c r="G27" i="1"/>
  <c r="AQ26" i="1" l="1"/>
  <c r="AS26" i="1" s="1"/>
  <c r="V26" i="1"/>
  <c r="X26" i="1" s="1"/>
  <c r="Y26" i="1" s="1"/>
  <c r="U26" i="1"/>
  <c r="T26" i="1"/>
  <c r="J27" i="1"/>
  <c r="AE27" i="1" s="1"/>
  <c r="AG27" i="1" s="1"/>
  <c r="AD26" i="1"/>
  <c r="AF26" i="1" s="1"/>
  <c r="AC26" i="1"/>
  <c r="AB26" i="1"/>
  <c r="AU27" i="1"/>
  <c r="AJ26" i="1"/>
  <c r="AL26" i="1"/>
  <c r="AN26" i="1" s="1"/>
  <c r="AO26" i="1" s="1"/>
  <c r="AK26" i="1"/>
  <c r="AT26" i="1" l="1"/>
  <c r="AV26" i="1" s="1"/>
  <c r="AW26" i="1" s="1"/>
  <c r="AR26" i="1"/>
  <c r="W27" i="1"/>
  <c r="K27" i="1"/>
  <c r="P27" i="1"/>
  <c r="L27" i="1"/>
  <c r="C28" i="1"/>
  <c r="AM27" i="1"/>
  <c r="N27" i="1"/>
  <c r="Q27" i="1" l="1"/>
  <c r="D28" i="1"/>
  <c r="H28" i="1" s="1"/>
  <c r="G28" i="1"/>
  <c r="S27" i="1"/>
  <c r="AA27" i="1"/>
  <c r="AI27" i="1"/>
  <c r="AQ27" i="1"/>
  <c r="AJ27" i="1" l="1"/>
  <c r="AL27" i="1"/>
  <c r="AN27" i="1" s="1"/>
  <c r="AO27" i="1" s="1"/>
  <c r="AK27" i="1"/>
  <c r="V27" i="1"/>
  <c r="X27" i="1" s="1"/>
  <c r="Y27" i="1" s="1"/>
  <c r="U27" i="1"/>
  <c r="T27" i="1"/>
  <c r="AS27" i="1"/>
  <c r="AR27" i="1"/>
  <c r="AT27" i="1"/>
  <c r="AV27" i="1" s="1"/>
  <c r="AW27" i="1" s="1"/>
  <c r="J28" i="1"/>
  <c r="AD27" i="1"/>
  <c r="AF27" i="1" s="1"/>
  <c r="AC27" i="1"/>
  <c r="AB27" i="1"/>
  <c r="K28" i="1" l="1"/>
  <c r="P28" i="1"/>
  <c r="L28" i="1"/>
  <c r="C29" i="1"/>
  <c r="AM28" i="1"/>
  <c r="AE28" i="1"/>
  <c r="AG28" i="1" s="1"/>
  <c r="AU28" i="1"/>
  <c r="W28" i="1"/>
  <c r="N28" i="1"/>
  <c r="D29" i="1" l="1"/>
  <c r="H29" i="1" s="1"/>
  <c r="G29" i="1"/>
  <c r="S28" i="1"/>
  <c r="AA28" i="1"/>
  <c r="AI28" i="1"/>
  <c r="AQ28" i="1"/>
  <c r="Q28" i="1"/>
  <c r="J29" i="1" l="1"/>
  <c r="AM29" i="1" s="1"/>
  <c r="C30" i="1"/>
  <c r="G30" i="1" s="1"/>
  <c r="V28" i="1"/>
  <c r="X28" i="1" s="1"/>
  <c r="Y28" i="1" s="1"/>
  <c r="U28" i="1"/>
  <c r="T28" i="1"/>
  <c r="AT28" i="1"/>
  <c r="AV28" i="1" s="1"/>
  <c r="AW28" i="1" s="1"/>
  <c r="AS28" i="1"/>
  <c r="AR28" i="1"/>
  <c r="K29" i="1"/>
  <c r="P29" i="1"/>
  <c r="AK28" i="1"/>
  <c r="AJ28" i="1"/>
  <c r="AL28" i="1"/>
  <c r="AN28" i="1" s="1"/>
  <c r="AO28" i="1" s="1"/>
  <c r="N29" i="1"/>
  <c r="AB28" i="1"/>
  <c r="AD28" i="1"/>
  <c r="AF28" i="1" s="1"/>
  <c r="AC28" i="1"/>
  <c r="J30" i="1" l="1"/>
  <c r="AU30" i="1" s="1"/>
  <c r="AE29" i="1"/>
  <c r="AG29" i="1" s="1"/>
  <c r="D30" i="1"/>
  <c r="H30" i="1" s="1"/>
  <c r="AU29" i="1"/>
  <c r="W29" i="1"/>
  <c r="L29" i="1"/>
  <c r="S29" i="1" s="1"/>
  <c r="AE30" i="1"/>
  <c r="AG30" i="1" s="1"/>
  <c r="N30" i="1"/>
  <c r="Q29" i="1"/>
  <c r="P30" i="1"/>
  <c r="L30" i="1"/>
  <c r="AQ29" i="1"/>
  <c r="AA29" i="1" l="1"/>
  <c r="K30" i="1"/>
  <c r="Q30" i="1" s="1"/>
  <c r="W30" i="1"/>
  <c r="AI29" i="1"/>
  <c r="AL29" i="1" s="1"/>
  <c r="AN29" i="1" s="1"/>
  <c r="AO29" i="1" s="1"/>
  <c r="AM30" i="1"/>
  <c r="C31" i="1"/>
  <c r="AB29" i="1"/>
  <c r="AD29" i="1"/>
  <c r="AF29" i="1" s="1"/>
  <c r="AC29" i="1"/>
  <c r="U29" i="1"/>
  <c r="T29" i="1"/>
  <c r="V29" i="1"/>
  <c r="X29" i="1" s="1"/>
  <c r="Y29" i="1" s="1"/>
  <c r="AT29" i="1"/>
  <c r="AV29" i="1" s="1"/>
  <c r="AW29" i="1" s="1"/>
  <c r="AS29" i="1"/>
  <c r="AR29" i="1"/>
  <c r="S30" i="1"/>
  <c r="AA30" i="1"/>
  <c r="AI30" i="1"/>
  <c r="AQ30" i="1"/>
  <c r="AJ29" i="1"/>
  <c r="AK29" i="1" l="1"/>
  <c r="D31" i="1"/>
  <c r="H31" i="1" s="1"/>
  <c r="G31" i="1"/>
  <c r="V30" i="1"/>
  <c r="X30" i="1" s="1"/>
  <c r="Y30" i="1" s="1"/>
  <c r="U30" i="1"/>
  <c r="T30" i="1"/>
  <c r="AT30" i="1"/>
  <c r="AV30" i="1" s="1"/>
  <c r="AW30" i="1" s="1"/>
  <c r="AS30" i="1"/>
  <c r="AR30" i="1"/>
  <c r="AB30" i="1"/>
  <c r="AD30" i="1"/>
  <c r="AF30" i="1" s="1"/>
  <c r="AC30" i="1"/>
  <c r="AK30" i="1"/>
  <c r="AJ30" i="1"/>
  <c r="AL30" i="1"/>
  <c r="AN30" i="1" s="1"/>
  <c r="AO30" i="1" s="1"/>
  <c r="J31" i="1" l="1"/>
  <c r="AE31" i="1"/>
  <c r="AG31" i="1" s="1"/>
  <c r="AU31" i="1"/>
  <c r="K31" i="1" l="1"/>
  <c r="W31" i="1"/>
  <c r="L31" i="1"/>
  <c r="AM31" i="1"/>
  <c r="P31" i="1"/>
  <c r="C32" i="1"/>
  <c r="N31" i="1"/>
  <c r="G32" i="1" l="1"/>
  <c r="D32" i="1"/>
  <c r="H32" i="1" s="1"/>
  <c r="AQ31" i="1"/>
  <c r="S31" i="1"/>
  <c r="AA31" i="1"/>
  <c r="AI31" i="1"/>
  <c r="Q31" i="1"/>
  <c r="AD31" i="1" l="1"/>
  <c r="AF31" i="1" s="1"/>
  <c r="AC31" i="1"/>
  <c r="AB31" i="1"/>
  <c r="AT31" i="1"/>
  <c r="AV31" i="1" s="1"/>
  <c r="AW31" i="1" s="1"/>
  <c r="AS31" i="1"/>
  <c r="AR31" i="1"/>
  <c r="AJ31" i="1"/>
  <c r="AK31" i="1"/>
  <c r="AL31" i="1"/>
  <c r="AN31" i="1" s="1"/>
  <c r="AO31" i="1" s="1"/>
  <c r="V31" i="1"/>
  <c r="X31" i="1" s="1"/>
  <c r="Y31" i="1" s="1"/>
  <c r="U31" i="1"/>
  <c r="T31" i="1"/>
  <c r="J32" i="1"/>
  <c r="W32" i="1" s="1"/>
  <c r="AU32" i="1" l="1"/>
  <c r="N32" i="1"/>
  <c r="C33" i="1"/>
  <c r="L32" i="1"/>
  <c r="P32" i="1"/>
  <c r="K32" i="1"/>
  <c r="Q32" i="1" s="1"/>
  <c r="AE32" i="1"/>
  <c r="AG32" i="1" s="1"/>
  <c r="AM32" i="1"/>
  <c r="S32" i="1" l="1"/>
  <c r="AQ32" i="1"/>
  <c r="AA32" i="1"/>
  <c r="AI32" i="1"/>
  <c r="G33" i="1"/>
  <c r="D33" i="1"/>
  <c r="H33" i="1" s="1"/>
  <c r="J33" i="1"/>
  <c r="W33" i="1"/>
  <c r="L33" i="1" l="1"/>
  <c r="K33" i="1"/>
  <c r="P33" i="1"/>
  <c r="N33" i="1"/>
  <c r="AC32" i="1"/>
  <c r="AD32" i="1"/>
  <c r="AF32" i="1" s="1"/>
  <c r="AB32" i="1"/>
  <c r="AU33" i="1"/>
  <c r="AR32" i="1"/>
  <c r="AT32" i="1"/>
  <c r="AV32" i="1" s="1"/>
  <c r="AW32" i="1" s="1"/>
  <c r="AS32" i="1"/>
  <c r="AJ32" i="1"/>
  <c r="AK32" i="1"/>
  <c r="AL32" i="1"/>
  <c r="AN32" i="1" s="1"/>
  <c r="AO32" i="1" s="1"/>
  <c r="AE33" i="1"/>
  <c r="AG33" i="1" s="1"/>
  <c r="C34" i="1"/>
  <c r="AM33" i="1"/>
  <c r="T32" i="1"/>
  <c r="V32" i="1"/>
  <c r="X32" i="1" s="1"/>
  <c r="Y32" i="1" s="1"/>
  <c r="U32" i="1"/>
  <c r="G34" i="1" l="1"/>
  <c r="D34" i="1"/>
  <c r="H34" i="1" s="1"/>
  <c r="J34" i="1"/>
  <c r="N34" i="1" s="1"/>
  <c r="AU34" i="1"/>
  <c r="Q33" i="1"/>
  <c r="C35" i="1"/>
  <c r="D35" i="1" s="1"/>
  <c r="H35" i="1" s="1"/>
  <c r="AI33" i="1"/>
  <c r="AA33" i="1"/>
  <c r="AQ33" i="1"/>
  <c r="S33" i="1"/>
  <c r="U33" i="1" l="1"/>
  <c r="T33" i="1"/>
  <c r="V33" i="1"/>
  <c r="X33" i="1" s="1"/>
  <c r="Y33" i="1" s="1"/>
  <c r="J35" i="1"/>
  <c r="K35" i="1" s="1"/>
  <c r="AT33" i="1"/>
  <c r="AV33" i="1" s="1"/>
  <c r="AW33" i="1" s="1"/>
  <c r="AS33" i="1"/>
  <c r="AR33" i="1"/>
  <c r="K34" i="1"/>
  <c r="Q34" i="1" s="1"/>
  <c r="L34" i="1"/>
  <c r="P34" i="1"/>
  <c r="G35" i="1"/>
  <c r="AU35" i="1" s="1"/>
  <c r="AD33" i="1"/>
  <c r="AF33" i="1" s="1"/>
  <c r="AB33" i="1"/>
  <c r="AC33" i="1"/>
  <c r="AE34" i="1"/>
  <c r="AG34" i="1" s="1"/>
  <c r="AJ33" i="1"/>
  <c r="AL33" i="1"/>
  <c r="AN33" i="1" s="1"/>
  <c r="AO33" i="1" s="1"/>
  <c r="AK33" i="1"/>
  <c r="W34" i="1"/>
  <c r="AM34" i="1"/>
  <c r="AM35" i="1" l="1"/>
  <c r="N35" i="1"/>
  <c r="P35" i="1"/>
  <c r="W35" i="1"/>
  <c r="L35" i="1"/>
  <c r="AE35" i="1"/>
  <c r="AG35" i="1" s="1"/>
  <c r="C36" i="1"/>
  <c r="D36" i="1" s="1"/>
  <c r="H36" i="1" s="1"/>
  <c r="S34" i="1"/>
  <c r="AA34" i="1"/>
  <c r="AI34" i="1"/>
  <c r="AQ34" i="1"/>
  <c r="S35" i="1"/>
  <c r="AA35" i="1"/>
  <c r="AI35" i="1"/>
  <c r="AQ35" i="1"/>
  <c r="G36" i="1"/>
  <c r="J36" i="1" s="1"/>
  <c r="N36" i="1" s="1"/>
  <c r="Q35" i="1"/>
  <c r="W36" i="1" l="1"/>
  <c r="AR34" i="1"/>
  <c r="AS34" i="1"/>
  <c r="AT34" i="1"/>
  <c r="AV34" i="1" s="1"/>
  <c r="AW34" i="1" s="1"/>
  <c r="AL34" i="1"/>
  <c r="AN34" i="1" s="1"/>
  <c r="AO34" i="1" s="1"/>
  <c r="AK34" i="1"/>
  <c r="AJ34" i="1"/>
  <c r="U34" i="1"/>
  <c r="T34" i="1"/>
  <c r="V34" i="1"/>
  <c r="X34" i="1" s="1"/>
  <c r="Y34" i="1" s="1"/>
  <c r="AM36" i="1"/>
  <c r="AD34" i="1"/>
  <c r="AF34" i="1" s="1"/>
  <c r="AB34" i="1"/>
  <c r="AC34" i="1"/>
  <c r="AB35" i="1"/>
  <c r="AD35" i="1"/>
  <c r="AF35" i="1" s="1"/>
  <c r="AC35" i="1"/>
  <c r="K36" i="1"/>
  <c r="Q36" i="1" s="1"/>
  <c r="P36" i="1"/>
  <c r="L36" i="1"/>
  <c r="V35" i="1"/>
  <c r="X35" i="1" s="1"/>
  <c r="Y35" i="1" s="1"/>
  <c r="U35" i="1"/>
  <c r="T35" i="1"/>
  <c r="AT35" i="1"/>
  <c r="AV35" i="1" s="1"/>
  <c r="AW35" i="1" s="1"/>
  <c r="AS35" i="1"/>
  <c r="AR35" i="1"/>
  <c r="AU36" i="1"/>
  <c r="AK35" i="1"/>
  <c r="AJ35" i="1"/>
  <c r="AL35" i="1"/>
  <c r="AN35" i="1" s="1"/>
  <c r="AO35" i="1" s="1"/>
  <c r="AE36" i="1"/>
  <c r="AG36" i="1" s="1"/>
  <c r="C37" i="1"/>
  <c r="D37" i="1" l="1"/>
  <c r="H37" i="1" s="1"/>
  <c r="G37" i="1"/>
  <c r="S36" i="1"/>
  <c r="AA36" i="1"/>
  <c r="AI36" i="1"/>
  <c r="AQ36" i="1"/>
  <c r="AJ36" i="1" l="1"/>
  <c r="AL36" i="1"/>
  <c r="AN36" i="1" s="1"/>
  <c r="AO36" i="1" s="1"/>
  <c r="AK36" i="1"/>
  <c r="AB36" i="1"/>
  <c r="AD36" i="1"/>
  <c r="AF36" i="1" s="1"/>
  <c r="AC36" i="1"/>
  <c r="V36" i="1"/>
  <c r="X36" i="1" s="1"/>
  <c r="Y36" i="1" s="1"/>
  <c r="U36" i="1"/>
  <c r="T36" i="1"/>
  <c r="AS36" i="1"/>
  <c r="AT36" i="1"/>
  <c r="AV36" i="1" s="1"/>
  <c r="AW36" i="1" s="1"/>
  <c r="AR36" i="1"/>
  <c r="J37" i="1"/>
  <c r="K37" i="1" l="1"/>
  <c r="P37" i="1"/>
  <c r="L37" i="1"/>
  <c r="AM37" i="1"/>
  <c r="AU37" i="1"/>
  <c r="N37" i="1"/>
  <c r="AE37" i="1"/>
  <c r="AG37" i="1" s="1"/>
  <c r="W37" i="1"/>
  <c r="C38" i="1"/>
  <c r="S37" i="1" l="1"/>
  <c r="AA37" i="1"/>
  <c r="AI37" i="1"/>
  <c r="AQ37" i="1"/>
  <c r="D38" i="1"/>
  <c r="H38" i="1" s="1"/>
  <c r="G38" i="1"/>
  <c r="Q37" i="1"/>
  <c r="AJ37" i="1" l="1"/>
  <c r="AK37" i="1"/>
  <c r="AL37" i="1"/>
  <c r="AN37" i="1" s="1"/>
  <c r="AO37" i="1" s="1"/>
  <c r="W38" i="1"/>
  <c r="V37" i="1"/>
  <c r="X37" i="1" s="1"/>
  <c r="Y37" i="1" s="1"/>
  <c r="U37" i="1"/>
  <c r="T37" i="1"/>
  <c r="AD37" i="1"/>
  <c r="AF37" i="1" s="1"/>
  <c r="AC37" i="1"/>
  <c r="AB37" i="1"/>
  <c r="J38" i="1"/>
  <c r="AS37" i="1"/>
  <c r="AT37" i="1"/>
  <c r="AV37" i="1" s="1"/>
  <c r="AW37" i="1" s="1"/>
  <c r="AR37" i="1"/>
  <c r="K38" i="1" l="1"/>
  <c r="P38" i="1"/>
  <c r="L38" i="1"/>
  <c r="N38" i="1"/>
  <c r="AM38" i="1"/>
  <c r="C39" i="1"/>
  <c r="AE38" i="1"/>
  <c r="AG38" i="1" s="1"/>
  <c r="AU38" i="1"/>
  <c r="Q38" i="1" l="1"/>
  <c r="S38" i="1"/>
  <c r="AA38" i="1"/>
  <c r="AI38" i="1"/>
  <c r="AQ38" i="1"/>
  <c r="D39" i="1"/>
  <c r="H39" i="1" s="1"/>
  <c r="G39" i="1"/>
  <c r="AJ38" i="1" l="1"/>
  <c r="AL38" i="1"/>
  <c r="AN38" i="1" s="1"/>
  <c r="AO38" i="1" s="1"/>
  <c r="AK38" i="1"/>
  <c r="AB38" i="1"/>
  <c r="AD38" i="1"/>
  <c r="AF38" i="1" s="1"/>
  <c r="AC38" i="1"/>
  <c r="V38" i="1"/>
  <c r="X38" i="1" s="1"/>
  <c r="Y38" i="1" s="1"/>
  <c r="U38" i="1"/>
  <c r="T38" i="1"/>
  <c r="J39" i="1"/>
  <c r="AS38" i="1"/>
  <c r="AT38" i="1"/>
  <c r="AV38" i="1" s="1"/>
  <c r="AW38" i="1" s="1"/>
  <c r="AR38" i="1"/>
  <c r="K39" i="1" l="1"/>
  <c r="P39" i="1"/>
  <c r="L39" i="1"/>
  <c r="AU39" i="1"/>
  <c r="C40" i="1"/>
  <c r="N39" i="1"/>
  <c r="AE39" i="1"/>
  <c r="AG39" i="1" s="1"/>
  <c r="AM39" i="1"/>
  <c r="W39" i="1"/>
  <c r="S39" i="1" l="1"/>
  <c r="AA39" i="1"/>
  <c r="AI39" i="1"/>
  <c r="AQ39" i="1"/>
  <c r="D40" i="1"/>
  <c r="H40" i="1" s="1"/>
  <c r="G40" i="1"/>
  <c r="Q39" i="1"/>
  <c r="J40" i="1" l="1"/>
  <c r="W40" i="1" s="1"/>
  <c r="V39" i="1"/>
  <c r="X39" i="1" s="1"/>
  <c r="Y39" i="1" s="1"/>
  <c r="U39" i="1"/>
  <c r="T39" i="1"/>
  <c r="N40" i="1"/>
  <c r="AU40" i="1"/>
  <c r="AS39" i="1"/>
  <c r="AT39" i="1"/>
  <c r="AV39" i="1" s="1"/>
  <c r="AW39" i="1" s="1"/>
  <c r="AR39" i="1"/>
  <c r="AB39" i="1"/>
  <c r="AD39" i="1"/>
  <c r="AF39" i="1" s="1"/>
  <c r="AC39" i="1"/>
  <c r="AJ39" i="1"/>
  <c r="AK39" i="1"/>
  <c r="AL39" i="1"/>
  <c r="AN39" i="1" s="1"/>
  <c r="AO39" i="1" s="1"/>
  <c r="K40" i="1" l="1"/>
  <c r="Q40" i="1" s="1"/>
  <c r="P40" i="1"/>
  <c r="L40" i="1"/>
  <c r="AE40" i="1"/>
  <c r="AG40" i="1" s="1"/>
  <c r="C41" i="1"/>
  <c r="AM40" i="1"/>
  <c r="D41" i="1" l="1"/>
  <c r="H41" i="1" s="1"/>
  <c r="G41" i="1"/>
  <c r="S40" i="1"/>
  <c r="AA40" i="1"/>
  <c r="AI40" i="1"/>
  <c r="AQ40" i="1"/>
  <c r="AB40" i="1" l="1"/>
  <c r="AD40" i="1"/>
  <c r="AF40" i="1" s="1"/>
  <c r="AC40" i="1"/>
  <c r="AS40" i="1"/>
  <c r="AT40" i="1"/>
  <c r="AV40" i="1" s="1"/>
  <c r="AW40" i="1" s="1"/>
  <c r="AR40" i="1"/>
  <c r="V40" i="1"/>
  <c r="X40" i="1" s="1"/>
  <c r="Y40" i="1" s="1"/>
  <c r="U40" i="1"/>
  <c r="T40" i="1"/>
  <c r="AJ40" i="1"/>
  <c r="AK40" i="1"/>
  <c r="AL40" i="1"/>
  <c r="AN40" i="1" s="1"/>
  <c r="AO40" i="1" s="1"/>
  <c r="J41" i="1"/>
  <c r="AE41" i="1" s="1"/>
  <c r="AG41" i="1" s="1"/>
  <c r="K41" i="1" l="1"/>
  <c r="P41" i="1"/>
  <c r="L41" i="1"/>
  <c r="AU41" i="1"/>
  <c r="AM41" i="1"/>
  <c r="C42" i="1"/>
  <c r="N41" i="1"/>
  <c r="W41" i="1"/>
  <c r="S41" i="1" l="1"/>
  <c r="AA41" i="1"/>
  <c r="AI41" i="1"/>
  <c r="AQ41" i="1"/>
  <c r="D42" i="1"/>
  <c r="H42" i="1" s="1"/>
  <c r="G42" i="1"/>
  <c r="J42" i="1"/>
  <c r="AE42" i="1" s="1"/>
  <c r="AG42" i="1" s="1"/>
  <c r="Q41" i="1"/>
  <c r="AM42" i="1" l="1"/>
  <c r="C43" i="1"/>
  <c r="D43" i="1" s="1"/>
  <c r="H43" i="1" s="1"/>
  <c r="G43" i="1"/>
  <c r="N42" i="1"/>
  <c r="V41" i="1"/>
  <c r="X41" i="1" s="1"/>
  <c r="Y41" i="1" s="1"/>
  <c r="U41" i="1"/>
  <c r="T41" i="1"/>
  <c r="AB41" i="1"/>
  <c r="AD41" i="1"/>
  <c r="AF41" i="1" s="1"/>
  <c r="AC41" i="1"/>
  <c r="W42" i="1"/>
  <c r="AS41" i="1"/>
  <c r="AT41" i="1"/>
  <c r="AV41" i="1" s="1"/>
  <c r="AW41" i="1" s="1"/>
  <c r="AR41" i="1"/>
  <c r="K42" i="1"/>
  <c r="P42" i="1"/>
  <c r="L42" i="1"/>
  <c r="AU42" i="1"/>
  <c r="AJ41" i="1"/>
  <c r="AK41" i="1"/>
  <c r="AL41" i="1"/>
  <c r="AN41" i="1" s="1"/>
  <c r="AO41" i="1" s="1"/>
  <c r="Q42" i="1" l="1"/>
  <c r="S42" i="1"/>
  <c r="AA42" i="1"/>
  <c r="AI42" i="1"/>
  <c r="AQ42" i="1"/>
  <c r="J43" i="1"/>
  <c r="AM43" i="1" s="1"/>
  <c r="AE43" i="1"/>
  <c r="AG43" i="1" s="1"/>
  <c r="K43" i="1" l="1"/>
  <c r="P43" i="1"/>
  <c r="L43" i="1"/>
  <c r="W43" i="1"/>
  <c r="C44" i="1"/>
  <c r="AU43" i="1"/>
  <c r="AS42" i="1"/>
  <c r="AT42" i="1"/>
  <c r="AV42" i="1" s="1"/>
  <c r="AW42" i="1" s="1"/>
  <c r="AR42" i="1"/>
  <c r="AJ42" i="1"/>
  <c r="AK42" i="1"/>
  <c r="AL42" i="1"/>
  <c r="AN42" i="1" s="1"/>
  <c r="AO42" i="1" s="1"/>
  <c r="AB42" i="1"/>
  <c r="AD42" i="1"/>
  <c r="AF42" i="1" s="1"/>
  <c r="AC42" i="1"/>
  <c r="V42" i="1"/>
  <c r="X42" i="1" s="1"/>
  <c r="Y42" i="1" s="1"/>
  <c r="U42" i="1"/>
  <c r="T42" i="1"/>
  <c r="N43" i="1"/>
  <c r="S43" i="1" l="1"/>
  <c r="AA43" i="1"/>
  <c r="AI43" i="1"/>
  <c r="AQ43" i="1"/>
  <c r="D44" i="1"/>
  <c r="H44" i="1" s="1"/>
  <c r="G44" i="1"/>
  <c r="Q43" i="1"/>
  <c r="AJ43" i="1" l="1"/>
  <c r="AK43" i="1"/>
  <c r="AL43" i="1"/>
  <c r="AN43" i="1" s="1"/>
  <c r="AO43" i="1" s="1"/>
  <c r="AB43" i="1"/>
  <c r="AD43" i="1"/>
  <c r="AF43" i="1" s="1"/>
  <c r="AC43" i="1"/>
  <c r="V43" i="1"/>
  <c r="X43" i="1" s="1"/>
  <c r="Y43" i="1" s="1"/>
  <c r="U43" i="1"/>
  <c r="T43" i="1"/>
  <c r="J44" i="1"/>
  <c r="W44" i="1" s="1"/>
  <c r="AS43" i="1"/>
  <c r="AT43" i="1"/>
  <c r="AV43" i="1" s="1"/>
  <c r="AW43" i="1" s="1"/>
  <c r="AR43" i="1"/>
  <c r="AM44" i="1" l="1"/>
  <c r="AU44" i="1"/>
  <c r="K44" i="1"/>
  <c r="P44" i="1"/>
  <c r="L44" i="1"/>
  <c r="N44" i="1"/>
  <c r="AE44" i="1"/>
  <c r="AG44" i="1" s="1"/>
  <c r="S44" i="1" l="1"/>
  <c r="AA44" i="1"/>
  <c r="AI44" i="1"/>
  <c r="AQ44" i="1"/>
  <c r="Q44" i="1"/>
  <c r="AJ44" i="1" l="1"/>
  <c r="AK44" i="1"/>
  <c r="AL44" i="1"/>
  <c r="AN44" i="1" s="1"/>
  <c r="AO44" i="1" s="1"/>
  <c r="AD44" i="1"/>
  <c r="AF44" i="1" s="1"/>
  <c r="AB44" i="1"/>
  <c r="AC44" i="1"/>
  <c r="AS44" i="1"/>
  <c r="AR44" i="1"/>
  <c r="AT44" i="1"/>
  <c r="AV44" i="1" s="1"/>
  <c r="AW44" i="1" s="1"/>
  <c r="V44" i="1"/>
  <c r="X44" i="1" s="1"/>
  <c r="Y44" i="1" s="1"/>
  <c r="U44" i="1"/>
  <c r="T44" i="1"/>
</calcChain>
</file>

<file path=xl/sharedStrings.xml><?xml version="1.0" encoding="utf-8"?>
<sst xmlns="http://schemas.openxmlformats.org/spreadsheetml/2006/main" count="64" uniqueCount="55">
  <si>
    <t>POOL SETUP:</t>
  </si>
  <si>
    <t>Symbol</t>
  </si>
  <si>
    <t>Initial Liquidity</t>
  </si>
  <si>
    <t>Pair liquidity token:</t>
  </si>
  <si>
    <t>ETH</t>
  </si>
  <si>
    <t>Pair base:</t>
  </si>
  <si>
    <t>USD</t>
  </si>
  <si>
    <t>Transactions</t>
  </si>
  <si>
    <t>Pool state before transaction</t>
  </si>
  <si>
    <t>Transaction</t>
  </si>
  <si>
    <t>Pool state after transaction</t>
  </si>
  <si>
    <t>Track row:</t>
  </si>
  <si>
    <r>
      <t xml:space="preserve">Buy/Sell </t>
    </r>
    <r>
      <rPr>
        <sz val="12"/>
        <color theme="1"/>
        <rFont val="Calibri"/>
        <family val="2"/>
        <scheme val="minor"/>
      </rPr>
      <t>(+amt for buy, -amt for sell)</t>
    </r>
  </si>
  <si>
    <r>
      <t>Add/remove liquidity</t>
    </r>
    <r>
      <rPr>
        <sz val="12"/>
        <color rgb="FF000000"/>
        <rFont val="Calibri"/>
        <family val="2"/>
        <scheme val="minor"/>
      </rPr>
      <t xml:space="preserve"> (+amt for add, -amt for remove)</t>
    </r>
  </si>
  <si>
    <t>Receive / redeem LP tokens</t>
  </si>
  <si>
    <t>% pool liquidity added this step</t>
  </si>
  <si>
    <t>Abs diff</t>
  </si>
  <si>
    <t>%</t>
  </si>
  <si>
    <t>Initial liquidity</t>
  </si>
  <si>
    <t>Alice</t>
  </si>
  <si>
    <t>Bob</t>
  </si>
  <si>
    <t>Carol</t>
  </si>
  <si>
    <t>Dennis</t>
  </si>
  <si>
    <t>Eric</t>
  </si>
  <si>
    <t>Fred</t>
  </si>
  <si>
    <t>George</t>
  </si>
  <si>
    <t>Hayden</t>
  </si>
  <si>
    <t>Ian</t>
  </si>
  <si>
    <t>Jan</t>
  </si>
  <si>
    <t>Kim</t>
  </si>
  <si>
    <t>Mo</t>
  </si>
  <si>
    <t>Ned</t>
  </si>
  <si>
    <t>Ozzie</t>
  </si>
  <si>
    <t>Pam</t>
  </si>
  <si>
    <t>Qbert</t>
  </si>
  <si>
    <t>Ron</t>
  </si>
  <si>
    <t>Sally</t>
  </si>
  <si>
    <t>Ted</t>
  </si>
  <si>
    <t>Ultron</t>
  </si>
  <si>
    <t>Val</t>
  </si>
  <si>
    <t>Wanda</t>
  </si>
  <si>
    <t>Xanthippe</t>
  </si>
  <si>
    <t>Yves</t>
  </si>
  <si>
    <t>Zed</t>
  </si>
  <si>
    <t>Aaron</t>
  </si>
  <si>
    <t>Abed</t>
  </si>
  <si>
    <t>Achilles</t>
  </si>
  <si>
    <t>Adam</t>
  </si>
  <si>
    <t>Aeolus</t>
  </si>
  <si>
    <t>Afton</t>
  </si>
  <si>
    <t>Agatha</t>
  </si>
  <si>
    <t>Ahmet</t>
  </si>
  <si>
    <t>Aidan</t>
  </si>
  <si>
    <t>Liquidity Pool simulator v4.1 by Michael Kupietz     LPS41-SP@kupietz.com</t>
  </si>
  <si>
    <t>Copyright (c) 2019-2023, Michael Kupietz. All rights reserved.
1.) This file is not licensed for use by the user of Github account @Beechfuzz, their associates, representatives, assignees, or associations or organizations of which they are a member. 
2.) For anyone not included in #1 above, this file is licensed under the same rules as the GPL3.0, which is included as "LICENSE" in the original repository of this file and must remain included with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</si>
</sst>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00%"/>
    <numFmt numFmtId="167" formatCode="_(* #,##0.000_);_(* \(#,##0.000\);_(* &quot;-&quot;???_);_(@_)"/>
    <numFmt numFmtId="168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rgb="FF9C570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2"/>
      <color rgb="FF5A6169"/>
      <name val="Helvetica Neue"/>
      <family val="2"/>
    </font>
    <font>
      <i/>
      <sz val="12"/>
      <color theme="2" tint="-0.74999237037263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132">
    <xf numFmtId="0" fontId="0" fillId="0" borderId="0" xfId="0"/>
    <xf numFmtId="0" fontId="2" fillId="2" borderId="1" xfId="3" applyBorder="1" applyAlignment="1" applyProtection="1">
      <alignment horizontal="center" vertical="center" wrapText="1"/>
      <protection locked="0"/>
    </xf>
    <xf numFmtId="0" fontId="2" fillId="2" borderId="1" xfId="3" applyBorder="1" applyAlignment="1" applyProtection="1">
      <alignment horizontal="center" vertical="center"/>
      <protection locked="0"/>
    </xf>
    <xf numFmtId="0" fontId="2" fillId="2" borderId="7" xfId="3" applyNumberFormat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2" fontId="2" fillId="2" borderId="0" xfId="3" applyNumberFormat="1" applyBorder="1" applyAlignment="1" applyProtection="1">
      <alignment vertical="top" wrapText="1"/>
      <protection locked="0"/>
    </xf>
    <xf numFmtId="2" fontId="2" fillId="2" borderId="13" xfId="3" applyNumberFormat="1" applyBorder="1" applyAlignment="1" applyProtection="1">
      <alignment vertical="top" wrapText="1"/>
      <protection locked="0"/>
    </xf>
    <xf numFmtId="0" fontId="0" fillId="0" borderId="0" xfId="0" applyAlignment="1">
      <alignment horizontal="left" vertical="top" wrapText="1"/>
    </xf>
    <xf numFmtId="0" fontId="6" fillId="3" borderId="0" xfId="4" applyFont="1" applyAlignment="1" applyProtection="1">
      <alignment horizontal="left"/>
      <protection locked="0"/>
    </xf>
    <xf numFmtId="0" fontId="1" fillId="4" borderId="0" xfId="5" applyAlignment="1" applyProtection="1">
      <alignment horizontal="left"/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2" fillId="0" borderId="0" xfId="3" applyFill="1" applyBorder="1" applyProtection="1">
      <protection locked="0"/>
    </xf>
    <xf numFmtId="2" fontId="0" fillId="0" borderId="0" xfId="0" applyNumberFormat="1" applyProtection="1">
      <protection locked="0"/>
    </xf>
    <xf numFmtId="0" fontId="7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8" fillId="0" borderId="0" xfId="3" applyFont="1" applyFill="1" applyBorder="1" applyAlignment="1" applyProtection="1">
      <alignment horizontal="right" vertical="center" wrapText="1"/>
      <protection locked="0"/>
    </xf>
    <xf numFmtId="164" fontId="4" fillId="0" borderId="0" xfId="0" applyNumberFormat="1" applyFont="1" applyAlignment="1" applyProtection="1">
      <alignment wrapText="1"/>
      <protection locked="0"/>
    </xf>
    <xf numFmtId="0" fontId="2" fillId="0" borderId="0" xfId="3" applyFill="1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166" fontId="0" fillId="0" borderId="0" xfId="2" applyNumberFormat="1" applyFont="1" applyProtection="1">
      <protection locked="0"/>
    </xf>
    <xf numFmtId="167" fontId="0" fillId="0" borderId="0" xfId="0" applyNumberFormat="1" applyProtection="1">
      <protection locked="0"/>
    </xf>
    <xf numFmtId="0" fontId="2" fillId="0" borderId="0" xfId="3" applyFill="1" applyProtection="1">
      <protection locked="0"/>
    </xf>
    <xf numFmtId="0" fontId="10" fillId="0" borderId="2" xfId="3" applyFont="1" applyFill="1" applyBorder="1" applyAlignment="1" applyProtection="1">
      <alignment horizontal="center" wrapText="1"/>
      <protection locked="0"/>
    </xf>
    <xf numFmtId="0" fontId="3" fillId="3" borderId="3" xfId="4" applyFont="1" applyBorder="1" applyAlignment="1" applyProtection="1">
      <alignment horizontal="center" vertical="center" wrapText="1"/>
      <protection locked="0"/>
    </xf>
    <xf numFmtId="0" fontId="3" fillId="3" borderId="4" xfId="4" applyFont="1" applyBorder="1" applyAlignment="1" applyProtection="1">
      <alignment horizontal="center" vertical="center" wrapText="1"/>
      <protection locked="0"/>
    </xf>
    <xf numFmtId="0" fontId="3" fillId="3" borderId="5" xfId="4" applyFont="1" applyBorder="1" applyAlignment="1" applyProtection="1">
      <alignment horizontal="center" vertical="center" wrapText="1"/>
      <protection locked="0"/>
    </xf>
    <xf numFmtId="0" fontId="11" fillId="0" borderId="0" xfId="3" applyFont="1" applyFill="1" applyBorder="1" applyAlignment="1" applyProtection="1">
      <alignment vertical="center" wrapText="1"/>
      <protection locked="0"/>
    </xf>
    <xf numFmtId="0" fontId="3" fillId="3" borderId="6" xfId="4" applyFont="1" applyBorder="1" applyAlignment="1" applyProtection="1">
      <alignment horizontal="center" vertical="center" wrapText="1"/>
      <protection locked="0"/>
    </xf>
    <xf numFmtId="0" fontId="3" fillId="3" borderId="7" xfId="4" applyFont="1" applyBorder="1" applyAlignment="1" applyProtection="1">
      <alignment horizontal="center" vertical="center" wrapText="1"/>
      <protection locked="0"/>
    </xf>
    <xf numFmtId="0" fontId="3" fillId="3" borderId="8" xfId="4" applyFont="1" applyBorder="1" applyAlignment="1" applyProtection="1">
      <alignment horizontal="center" vertical="center" wrapText="1"/>
      <protection locked="0"/>
    </xf>
    <xf numFmtId="0" fontId="11" fillId="0" borderId="0" xfId="3" applyFont="1" applyFill="1" applyBorder="1" applyAlignment="1" applyProtection="1">
      <alignment horizontal="left" vertical="center" wrapText="1"/>
      <protection locked="0"/>
    </xf>
    <xf numFmtId="166" fontId="3" fillId="3" borderId="6" xfId="4" applyNumberFormat="1" applyFont="1" applyBorder="1" applyAlignment="1" applyProtection="1">
      <alignment horizontal="right" vertical="center" wrapText="1"/>
      <protection locked="0"/>
    </xf>
    <xf numFmtId="0" fontId="12" fillId="3" borderId="7" xfId="4" applyFont="1" applyBorder="1" applyAlignment="1" applyProtection="1">
      <alignment vertical="center"/>
      <protection locked="0"/>
    </xf>
    <xf numFmtId="167" fontId="3" fillId="3" borderId="7" xfId="4" applyNumberFormat="1" applyFont="1" applyBorder="1" applyAlignment="1" applyProtection="1">
      <alignment horizontal="left" vertical="center" wrapText="1"/>
      <protection locked="0"/>
    </xf>
    <xf numFmtId="166" fontId="3" fillId="3" borderId="8" xfId="4" applyNumberFormat="1" applyFont="1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164" fontId="0" fillId="0" borderId="5" xfId="0" applyNumberFormat="1" applyBorder="1" applyAlignment="1" applyProtection="1">
      <alignment wrapText="1"/>
      <protection locked="0"/>
    </xf>
    <xf numFmtId="0" fontId="4" fillId="0" borderId="2" xfId="0" applyFont="1" applyBorder="1" applyAlignment="1" applyProtection="1">
      <alignment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13" fillId="0" borderId="7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wrapText="1"/>
      <protection locked="0"/>
    </xf>
    <xf numFmtId="0" fontId="13" fillId="0" borderId="3" xfId="0" applyFont="1" applyBorder="1" applyAlignment="1" applyProtection="1">
      <alignment vertical="center" wrapText="1"/>
      <protection locked="0"/>
    </xf>
    <xf numFmtId="0" fontId="13" fillId="0" borderId="4" xfId="0" applyFont="1" applyBorder="1" applyAlignment="1" applyProtection="1">
      <alignment vertical="center" wrapText="1"/>
      <protection locked="0"/>
    </xf>
    <xf numFmtId="0" fontId="13" fillId="0" borderId="5" xfId="0" applyFont="1" applyBorder="1" applyAlignment="1" applyProtection="1">
      <alignment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168" fontId="4" fillId="0" borderId="6" xfId="2" applyNumberFormat="1" applyFont="1" applyBorder="1" applyAlignment="1" applyProtection="1">
      <alignment horizontal="center" vertical="center" wrapText="1"/>
      <protection locked="0"/>
    </xf>
    <xf numFmtId="168" fontId="4" fillId="0" borderId="7" xfId="2" applyNumberFormat="1" applyFont="1" applyBorder="1" applyAlignment="1" applyProtection="1">
      <alignment horizontal="center" vertical="center" wrapText="1"/>
      <protection locked="0"/>
    </xf>
    <xf numFmtId="168" fontId="4" fillId="0" borderId="8" xfId="2" applyNumberFormat="1" applyFont="1" applyBorder="1" applyAlignment="1" applyProtection="1">
      <alignment horizontal="center" vertical="center" wrapText="1"/>
      <protection locked="0"/>
    </xf>
    <xf numFmtId="0" fontId="15" fillId="7" borderId="6" xfId="0" applyFont="1" applyFill="1" applyBorder="1" applyAlignment="1" applyProtection="1">
      <alignment horizontal="center" vertical="center" wrapText="1"/>
      <protection locked="0"/>
    </xf>
    <xf numFmtId="0" fontId="15" fillId="7" borderId="8" xfId="0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10" xfId="0" applyBorder="1" applyAlignment="1" applyProtection="1">
      <alignment horizontal="center" wrapText="1"/>
      <protection locked="0"/>
    </xf>
    <xf numFmtId="2" fontId="0" fillId="0" borderId="11" xfId="0" applyNumberFormat="1" applyBorder="1" applyAlignment="1" applyProtection="1">
      <alignment horizontal="center" wrapText="1"/>
      <protection locked="0"/>
    </xf>
    <xf numFmtId="164" fontId="9" fillId="0" borderId="12" xfId="0" applyNumberFormat="1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1" fillId="0" borderId="0" xfId="3" applyFont="1" applyFill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9" fillId="0" borderId="0" xfId="0" applyFont="1" applyAlignment="1" applyProtection="1">
      <alignment horizontal="center" wrapText="1"/>
      <protection locked="0"/>
    </xf>
    <xf numFmtId="0" fontId="1" fillId="0" borderId="6" xfId="3" applyFont="1" applyFill="1" applyBorder="1" applyAlignment="1" applyProtection="1">
      <alignment horizontal="center" wrapText="1"/>
      <protection locked="0"/>
    </xf>
    <xf numFmtId="2" fontId="0" fillId="0" borderId="7" xfId="0" applyNumberFormat="1" applyBorder="1" applyAlignment="1" applyProtection="1">
      <alignment horizontal="center" wrapText="1"/>
      <protection locked="0"/>
    </xf>
    <xf numFmtId="2" fontId="9" fillId="0" borderId="7" xfId="1" applyNumberFormat="1" applyFont="1" applyFill="1" applyBorder="1" applyAlignment="1" applyProtection="1">
      <alignment horizontal="center" wrapText="1"/>
      <protection locked="0"/>
    </xf>
    <xf numFmtId="164" fontId="9" fillId="0" borderId="8" xfId="0" applyNumberFormat="1" applyFont="1" applyBorder="1" applyAlignment="1" applyProtection="1">
      <alignment horizontal="center" wrapText="1"/>
      <protection locked="0"/>
    </xf>
    <xf numFmtId="165" fontId="0" fillId="0" borderId="10" xfId="0" applyNumberFormat="1" applyBorder="1" applyAlignment="1" applyProtection="1">
      <alignment horizontal="center" wrapText="1"/>
      <protection locked="0"/>
    </xf>
    <xf numFmtId="165" fontId="16" fillId="0" borderId="11" xfId="0" applyNumberFormat="1" applyFont="1" applyBorder="1" applyAlignment="1" applyProtection="1">
      <alignment horizontal="center" wrapText="1"/>
      <protection locked="0"/>
    </xf>
    <xf numFmtId="0" fontId="9" fillId="0" borderId="12" xfId="0" applyFont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166" fontId="0" fillId="0" borderId="3" xfId="2" applyNumberFormat="1" applyFont="1" applyFill="1" applyBorder="1" applyAlignment="1" applyProtection="1">
      <alignment horizontal="center" wrapText="1"/>
      <protection locked="0"/>
    </xf>
    <xf numFmtId="167" fontId="16" fillId="0" borderId="0" xfId="0" applyNumberFormat="1" applyFont="1" applyAlignment="1" applyProtection="1">
      <alignment horizontal="center" wrapText="1"/>
      <protection locked="0"/>
    </xf>
    <xf numFmtId="167" fontId="0" fillId="0" borderId="4" xfId="0" applyNumberFormat="1" applyBorder="1" applyAlignment="1" applyProtection="1">
      <alignment horizontal="center" wrapText="1"/>
      <protection locked="0"/>
    </xf>
    <xf numFmtId="167" fontId="0" fillId="0" borderId="5" xfId="0" applyNumberFormat="1" applyBorder="1" applyAlignment="1" applyProtection="1">
      <alignment horizontal="center" wrapText="1"/>
      <protection locked="0"/>
    </xf>
    <xf numFmtId="167" fontId="17" fillId="7" borderId="6" xfId="1" applyNumberFormat="1" applyFont="1" applyFill="1" applyBorder="1" applyAlignment="1" applyProtection="1">
      <alignment horizontal="center" wrapText="1"/>
      <protection locked="0"/>
    </xf>
    <xf numFmtId="166" fontId="17" fillId="7" borderId="8" xfId="2" applyNumberFormat="1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167" fontId="17" fillId="7" borderId="4" xfId="1" applyNumberFormat="1" applyFont="1" applyFill="1" applyBorder="1" applyAlignment="1" applyProtection="1">
      <alignment horizontal="center" wrapText="1"/>
      <protection locked="0"/>
    </xf>
    <xf numFmtId="166" fontId="17" fillId="7" borderId="4" xfId="2" applyNumberFormat="1" applyFont="1" applyFill="1" applyBorder="1" applyAlignment="1" applyProtection="1">
      <alignment horizontal="center" wrapText="1"/>
      <protection locked="0"/>
    </xf>
    <xf numFmtId="0" fontId="3" fillId="5" borderId="0" xfId="6" applyFont="1" applyBorder="1" applyAlignment="1" applyProtection="1">
      <alignment vertical="top" wrapText="1"/>
      <protection locked="0"/>
    </xf>
    <xf numFmtId="4" fontId="5" fillId="5" borderId="10" xfId="6" applyNumberFormat="1" applyBorder="1" applyAlignment="1" applyProtection="1">
      <alignment wrapText="1"/>
      <protection locked="0"/>
    </xf>
    <xf numFmtId="2" fontId="5" fillId="5" borderId="11" xfId="6" applyNumberFormat="1" applyBorder="1" applyAlignment="1" applyProtection="1">
      <alignment wrapText="1"/>
      <protection locked="0"/>
    </xf>
    <xf numFmtId="164" fontId="12" fillId="5" borderId="12" xfId="6" applyNumberFormat="1" applyFont="1" applyBorder="1" applyAlignment="1" applyProtection="1">
      <alignment wrapText="1"/>
      <protection locked="0"/>
    </xf>
    <xf numFmtId="0" fontId="4" fillId="0" borderId="9" xfId="0" applyFont="1" applyBorder="1" applyAlignment="1" applyProtection="1">
      <alignment wrapText="1"/>
      <protection locked="0"/>
    </xf>
    <xf numFmtId="2" fontId="12" fillId="5" borderId="7" xfId="6" applyNumberFormat="1" applyFont="1" applyBorder="1" applyAlignment="1" applyProtection="1">
      <alignment wrapText="1"/>
      <protection locked="0"/>
    </xf>
    <xf numFmtId="0" fontId="12" fillId="5" borderId="7" xfId="6" applyFont="1" applyBorder="1" applyProtection="1">
      <protection locked="0"/>
    </xf>
    <xf numFmtId="2" fontId="12" fillId="5" borderId="6" xfId="6" applyNumberFormat="1" applyFont="1" applyBorder="1" applyAlignment="1" applyProtection="1">
      <alignment wrapText="1"/>
      <protection locked="0"/>
    </xf>
    <xf numFmtId="2" fontId="12" fillId="5" borderId="7" xfId="6" applyNumberFormat="1" applyFont="1" applyBorder="1" applyProtection="1">
      <protection locked="0"/>
    </xf>
    <xf numFmtId="2" fontId="12" fillId="5" borderId="8" xfId="6" applyNumberFormat="1" applyFont="1" applyBorder="1" applyProtection="1">
      <protection locked="0"/>
    </xf>
    <xf numFmtId="165" fontId="12" fillId="5" borderId="10" xfId="6" applyNumberFormat="1" applyFont="1" applyBorder="1" applyAlignment="1" applyProtection="1">
      <alignment wrapText="1"/>
      <protection locked="0"/>
    </xf>
    <xf numFmtId="165" fontId="12" fillId="5" borderId="11" xfId="6" applyNumberFormat="1" applyFont="1" applyBorder="1" applyAlignment="1" applyProtection="1">
      <alignment wrapText="1"/>
      <protection locked="0"/>
    </xf>
    <xf numFmtId="168" fontId="12" fillId="5" borderId="12" xfId="6" applyNumberFormat="1" applyFont="1" applyBorder="1" applyAlignment="1" applyProtection="1">
      <alignment wrapText="1"/>
      <protection locked="0"/>
    </xf>
    <xf numFmtId="168" fontId="5" fillId="0" borderId="0" xfId="6" applyNumberFormat="1" applyFill="1" applyBorder="1" applyAlignment="1" applyProtection="1">
      <alignment wrapText="1"/>
      <protection locked="0"/>
    </xf>
    <xf numFmtId="166" fontId="5" fillId="5" borderId="6" xfId="2" applyNumberFormat="1" applyFont="1" applyFill="1" applyBorder="1" applyAlignment="1" applyProtection="1">
      <alignment wrapText="1"/>
      <protection locked="0"/>
    </xf>
    <xf numFmtId="167" fontId="5" fillId="5" borderId="7" xfId="6" applyNumberFormat="1" applyBorder="1" applyAlignment="1" applyProtection="1">
      <alignment wrapText="1"/>
      <protection locked="0"/>
    </xf>
    <xf numFmtId="167" fontId="5" fillId="5" borderId="7" xfId="6" applyNumberFormat="1" applyBorder="1" applyAlignment="1" applyProtection="1">
      <alignment horizontal="center" wrapText="1"/>
      <protection locked="0"/>
    </xf>
    <xf numFmtId="166" fontId="5" fillId="5" borderId="7" xfId="2" applyNumberFormat="1" applyFont="1" applyFill="1" applyBorder="1" applyAlignment="1" applyProtection="1">
      <alignment horizontal="center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4" fontId="18" fillId="0" borderId="13" xfId="0" applyNumberFormat="1" applyFont="1" applyBorder="1" applyAlignment="1" applyProtection="1">
      <alignment wrapText="1"/>
      <protection locked="0"/>
    </xf>
    <xf numFmtId="2" fontId="18" fillId="0" borderId="0" xfId="0" applyNumberFormat="1" applyFont="1" applyAlignment="1" applyProtection="1">
      <alignment wrapText="1"/>
      <protection locked="0"/>
    </xf>
    <xf numFmtId="164" fontId="19" fillId="7" borderId="0" xfId="7" applyNumberFormat="1" applyFont="1" applyFill="1" applyBorder="1" applyAlignment="1" applyProtection="1">
      <alignment wrapText="1"/>
      <protection locked="0"/>
    </xf>
    <xf numFmtId="2" fontId="0" fillId="0" borderId="0" xfId="0" applyNumberFormat="1" applyAlignment="1" applyProtection="1">
      <alignment wrapText="1"/>
      <protection locked="0"/>
    </xf>
    <xf numFmtId="2" fontId="19" fillId="7" borderId="0" xfId="7" applyNumberFormat="1" applyFont="1" applyFill="1" applyBorder="1" applyAlignment="1" applyProtection="1">
      <alignment wrapText="1"/>
      <protection locked="0"/>
    </xf>
    <xf numFmtId="2" fontId="1" fillId="4" borderId="0" xfId="5" applyNumberFormat="1" applyBorder="1" applyAlignment="1" applyProtection="1">
      <alignment wrapText="1"/>
      <protection locked="0"/>
    </xf>
    <xf numFmtId="2" fontId="1" fillId="4" borderId="2" xfId="5" applyNumberFormat="1" applyBorder="1" applyAlignment="1" applyProtection="1">
      <alignment wrapText="1"/>
      <protection locked="0"/>
    </xf>
    <xf numFmtId="165" fontId="0" fillId="0" borderId="13" xfId="1" applyNumberFormat="1" applyFont="1" applyBorder="1" applyAlignment="1" applyProtection="1">
      <alignment wrapText="1"/>
      <protection locked="0"/>
    </xf>
    <xf numFmtId="165" fontId="16" fillId="8" borderId="0" xfId="7" applyNumberFormat="1" applyFont="1" applyFill="1" applyBorder="1" applyAlignment="1" applyProtection="1">
      <alignment wrapText="1"/>
      <protection locked="0"/>
    </xf>
    <xf numFmtId="10" fontId="9" fillId="0" borderId="2" xfId="0" applyNumberFormat="1" applyFont="1" applyBorder="1" applyAlignment="1" applyProtection="1">
      <alignment wrapText="1"/>
      <protection locked="0"/>
    </xf>
    <xf numFmtId="10" fontId="0" fillId="0" borderId="0" xfId="0" applyNumberFormat="1" applyAlignment="1" applyProtection="1">
      <alignment wrapText="1"/>
      <protection locked="0"/>
    </xf>
    <xf numFmtId="166" fontId="0" fillId="0" borderId="13" xfId="2" applyNumberFormat="1" applyFont="1" applyBorder="1" applyAlignment="1" applyProtection="1">
      <alignment wrapText="1"/>
      <protection locked="0"/>
    </xf>
    <xf numFmtId="167" fontId="16" fillId="8" borderId="0" xfId="7" applyNumberFormat="1" applyFont="1" applyFill="1" applyBorder="1" applyAlignment="1" applyProtection="1">
      <alignment wrapText="1"/>
      <protection locked="0"/>
    </xf>
    <xf numFmtId="167" fontId="4" fillId="0" borderId="0" xfId="0" applyNumberFormat="1" applyFont="1" applyAlignment="1" applyProtection="1">
      <alignment wrapText="1"/>
      <protection locked="0"/>
    </xf>
    <xf numFmtId="167" fontId="0" fillId="0" borderId="2" xfId="0" applyNumberFormat="1" applyBorder="1" applyAlignment="1" applyProtection="1">
      <alignment wrapText="1"/>
      <protection locked="0"/>
    </xf>
    <xf numFmtId="167" fontId="17" fillId="7" borderId="0" xfId="1" applyNumberFormat="1" applyFont="1" applyFill="1" applyBorder="1" applyAlignment="1" applyProtection="1">
      <alignment horizontal="center" wrapText="1"/>
      <protection locked="0"/>
    </xf>
    <xf numFmtId="166" fontId="17" fillId="7" borderId="0" xfId="2" applyNumberFormat="1" applyFont="1" applyFill="1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wrapText="1"/>
      <protection locked="0"/>
    </xf>
    <xf numFmtId="0" fontId="0" fillId="0" borderId="0" xfId="0" applyAlignment="1" applyProtection="1">
      <alignment vertical="top" wrapText="1"/>
      <protection locked="0"/>
    </xf>
    <xf numFmtId="164" fontId="19" fillId="7" borderId="0" xfId="0" applyNumberFormat="1" applyFont="1" applyFill="1" applyAlignment="1" applyProtection="1">
      <alignment wrapText="1"/>
      <protection locked="0"/>
    </xf>
    <xf numFmtId="0" fontId="2" fillId="2" borderId="0" xfId="3" applyBorder="1" applyAlignment="1" applyProtection="1">
      <alignment wrapText="1"/>
      <protection locked="0"/>
    </xf>
    <xf numFmtId="0" fontId="19" fillId="7" borderId="0" xfId="0" applyFont="1" applyFill="1" applyProtection="1">
      <protection locked="0"/>
    </xf>
    <xf numFmtId="2" fontId="2" fillId="2" borderId="13" xfId="3" applyNumberFormat="1" applyBorder="1" applyAlignment="1" applyProtection="1">
      <alignment wrapText="1"/>
      <protection locked="0"/>
    </xf>
    <xf numFmtId="164" fontId="1" fillId="4" borderId="2" xfId="5" applyNumberFormat="1" applyBorder="1" applyAlignment="1" applyProtection="1">
      <alignment wrapText="1"/>
      <protection locked="0"/>
    </xf>
    <xf numFmtId="165" fontId="16" fillId="8" borderId="0" xfId="1" applyNumberFormat="1" applyFont="1" applyFill="1" applyBorder="1" applyAlignment="1" applyProtection="1">
      <alignment wrapText="1"/>
      <protection locked="0"/>
    </xf>
    <xf numFmtId="0" fontId="9" fillId="0" borderId="2" xfId="0" applyFont="1" applyBorder="1" applyAlignment="1" applyProtection="1">
      <alignment wrapText="1"/>
      <protection locked="0"/>
    </xf>
    <xf numFmtId="167" fontId="16" fillId="8" borderId="0" xfId="0" applyNumberFormat="1" applyFont="1" applyFill="1" applyAlignment="1" applyProtection="1">
      <alignment wrapText="1"/>
      <protection locked="0"/>
    </xf>
    <xf numFmtId="0" fontId="0" fillId="0" borderId="9" xfId="0" applyBorder="1" applyAlignment="1" applyProtection="1">
      <alignment vertical="top" wrapText="1"/>
      <protection locked="0"/>
    </xf>
    <xf numFmtId="0" fontId="0" fillId="0" borderId="13" xfId="0" applyBorder="1" applyAlignment="1" applyProtection="1">
      <alignment vertical="top" wrapText="1"/>
      <protection locked="0"/>
    </xf>
  </cellXfs>
  <cellStyles count="8">
    <cellStyle name="20% - Accent2" xfId="5" builtinId="34"/>
    <cellStyle name="60% - Accent3" xfId="7" builtinId="40"/>
    <cellStyle name="Accent1" xfId="4" builtinId="29"/>
    <cellStyle name="Accent3" xfId="6" builtinId="37"/>
    <cellStyle name="Currency" xfId="1" builtinId="4"/>
    <cellStyle name="Neutral" xfId="3" builtinId="28"/>
    <cellStyle name="Normal" xfId="0" builtinId="0"/>
    <cellStyle name="Percent" xfId="2" builtinId="5"/>
  </cellStyles>
  <dxfs count="49"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font>
        <color theme="2" tint="-0.499984740745262"/>
      </font>
      <fill>
        <patternFill>
          <bgColor theme="0" tint="-0.24994659260841701"/>
        </patternFill>
      </fill>
    </dxf>
    <dxf>
      <font>
        <color theme="2" tint="-0.499984740745262"/>
      </font>
      <fill>
        <patternFill>
          <bgColor theme="0" tint="-0.24994659260841701"/>
        </patternFill>
      </fill>
    </dxf>
    <dxf>
      <numFmt numFmtId="169" formatCode=";;;"/>
    </dxf>
    <dxf>
      <numFmt numFmtId="169" formatCode=";;;"/>
    </dxf>
    <dxf>
      <numFmt numFmtId="169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numFmt numFmtId="169" formatCode=";;;"/>
    </dxf>
    <dxf>
      <numFmt numFmtId="169" formatCode=";;;"/>
    </dxf>
    <dxf>
      <font>
        <color theme="9"/>
      </font>
    </dxf>
    <dxf>
      <font>
        <color rgb="FF9C0006"/>
      </font>
    </dxf>
    <dxf>
      <numFmt numFmtId="169" formatCode=";;;"/>
    </dxf>
    <dxf>
      <font>
        <color theme="9"/>
      </font>
    </dxf>
    <dxf>
      <font>
        <color rgb="FF9C0006"/>
      </font>
    </dxf>
    <dxf>
      <numFmt numFmtId="169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rgb="FF9C0006"/>
      </font>
    </dxf>
    <dxf>
      <numFmt numFmtId="169" formatCode=";;;"/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numFmt numFmtId="169" formatCode=";;;"/>
    </dxf>
    <dxf>
      <numFmt numFmtId="169" formatCode=";;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12BC4-8C7E-C149-8F05-A350D77C8A81}">
  <dimension ref="A1:AX45"/>
  <sheetViews>
    <sheetView tabSelected="1" workbookViewId="0">
      <selection sqref="A1:XFD1048576"/>
    </sheetView>
  </sheetViews>
  <sheetFormatPr baseColWidth="10" defaultRowHeight="16" x14ac:dyDescent="0.2"/>
  <cols>
    <col min="1" max="1" width="14" style="102" bestFit="1" customWidth="1"/>
    <col min="2" max="2" width="14" style="120" bestFit="1" customWidth="1"/>
    <col min="3" max="3" width="12.33203125" style="106" customWidth="1"/>
    <col min="4" max="4" width="11.1640625" style="122" customWidth="1"/>
    <col min="5" max="5" width="2.33203125" style="88" customWidth="1"/>
    <col min="6" max="6" width="9.83203125" style="123" customWidth="1"/>
    <col min="7" max="7" width="10.5" style="106" customWidth="1"/>
    <col min="8" max="8" width="11.33203125" style="124" customWidth="1"/>
    <col min="9" max="9" width="11.5" style="125" customWidth="1"/>
    <col min="10" max="10" width="10.83203125" style="106"/>
    <col min="11" max="11" width="12.83203125" style="108" customWidth="1"/>
    <col min="12" max="12" width="10.83203125" style="126"/>
    <col min="13" max="13" width="2.6640625" style="48" customWidth="1"/>
    <col min="14" max="14" width="15.33203125" style="110" customWidth="1"/>
    <col min="15" max="15" width="14.83203125" style="127" bestFit="1" customWidth="1"/>
    <col min="16" max="16" width="12.33203125" style="127" bestFit="1" customWidth="1"/>
    <col min="17" max="17" width="12" style="128" customWidth="1"/>
    <col min="18" max="18" width="2.6640625" style="59" customWidth="1"/>
    <col min="19" max="19" width="12.5" style="114" customWidth="1"/>
    <col min="20" max="20" width="11.83203125" style="129" bestFit="1" customWidth="1"/>
    <col min="21" max="21" width="12.1640625" style="129" bestFit="1" customWidth="1"/>
    <col min="22" max="22" width="12.1640625" style="116" bestFit="1" customWidth="1"/>
    <col min="23" max="23" width="12.1640625" style="117" bestFit="1" customWidth="1"/>
    <col min="24" max="24" width="12.6640625" style="118" customWidth="1"/>
    <col min="25" max="25" width="14.1640625" style="119" customWidth="1"/>
    <col min="26" max="26" width="2.83203125" style="58" customWidth="1"/>
    <col min="27" max="27" width="12.5" style="114" customWidth="1"/>
    <col min="28" max="28" width="11.83203125" style="129" bestFit="1" customWidth="1"/>
    <col min="29" max="29" width="12.1640625" style="129" bestFit="1" customWidth="1"/>
    <col min="30" max="30" width="12.1640625" style="116" bestFit="1" customWidth="1"/>
    <col min="31" max="31" width="12.1640625" style="117" bestFit="1" customWidth="1"/>
    <col min="32" max="32" width="12.6640625" style="118" customWidth="1"/>
    <col min="33" max="33" width="14.1640625" style="119" customWidth="1"/>
    <col min="34" max="34" width="3.1640625" style="58" customWidth="1"/>
    <col min="35" max="35" width="12.5" style="114" customWidth="1"/>
    <col min="36" max="36" width="11.83203125" style="129" bestFit="1" customWidth="1"/>
    <col min="37" max="37" width="12.1640625" style="129" bestFit="1" customWidth="1"/>
    <col min="38" max="38" width="12.1640625" style="116" bestFit="1" customWidth="1"/>
    <col min="39" max="39" width="12.1640625" style="117" bestFit="1" customWidth="1"/>
    <col min="40" max="40" width="12.6640625" style="118" customWidth="1"/>
    <col min="41" max="41" width="14.1640625" style="119" customWidth="1"/>
    <col min="42" max="42" width="3.1640625" style="58" customWidth="1"/>
    <col min="43" max="43" width="12.5" style="114" customWidth="1"/>
    <col min="44" max="44" width="11.83203125" style="129" bestFit="1" customWidth="1"/>
    <col min="45" max="45" width="12.1640625" style="129" bestFit="1" customWidth="1"/>
    <col min="46" max="46" width="12.1640625" style="116" bestFit="1" customWidth="1"/>
    <col min="47" max="47" width="12.1640625" style="117" bestFit="1" customWidth="1"/>
    <col min="48" max="48" width="12.6640625" style="118" customWidth="1"/>
    <col min="49" max="49" width="14.1640625" style="119" customWidth="1"/>
    <col min="50" max="50" width="3.1640625" style="120" customWidth="1"/>
    <col min="51" max="16384" width="10.83203125" style="59"/>
  </cols>
  <sheetData>
    <row r="1" spans="1:50" s="10" customFormat="1" ht="22" customHeight="1" x14ac:dyDescent="0.25">
      <c r="A1" s="8" t="s">
        <v>53</v>
      </c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50" s="10" customFormat="1" ht="22" customHeight="1" x14ac:dyDescent="0.2">
      <c r="D2" s="11"/>
      <c r="F2" s="12"/>
      <c r="I2" s="12"/>
      <c r="K2" s="13"/>
    </row>
    <row r="3" spans="1:50" s="10" customFormat="1" ht="34" x14ac:dyDescent="0.2">
      <c r="A3" s="14" t="s">
        <v>0</v>
      </c>
      <c r="B3" s="15" t="s">
        <v>1</v>
      </c>
      <c r="C3" s="16" t="s">
        <v>2</v>
      </c>
      <c r="D3" s="11"/>
      <c r="E3" s="12"/>
      <c r="H3" s="12"/>
      <c r="K3" s="13"/>
    </row>
    <row r="4" spans="1:50" s="10" customFormat="1" ht="40" customHeight="1" x14ac:dyDescent="0.2">
      <c r="A4" s="17" t="s">
        <v>3</v>
      </c>
      <c r="B4" s="1" t="s">
        <v>4</v>
      </c>
      <c r="C4" s="2">
        <v>8878</v>
      </c>
      <c r="D4" s="18"/>
      <c r="E4" s="12"/>
      <c r="H4" s="12"/>
      <c r="K4" s="13"/>
    </row>
    <row r="5" spans="1:50" s="10" customFormat="1" ht="20" x14ac:dyDescent="0.2">
      <c r="A5" s="17" t="s">
        <v>5</v>
      </c>
      <c r="B5" s="1" t="s">
        <v>6</v>
      </c>
      <c r="C5" s="2">
        <v>10201</v>
      </c>
      <c r="D5" s="18"/>
      <c r="E5" s="19"/>
      <c r="H5" s="12"/>
      <c r="K5" s="13"/>
      <c r="M5" s="20"/>
      <c r="N5" s="20"/>
      <c r="O5" s="20"/>
      <c r="P5" s="21"/>
      <c r="R5" s="22"/>
      <c r="S5" s="23"/>
      <c r="T5" s="23"/>
      <c r="U5" s="23"/>
      <c r="V5" s="23"/>
      <c r="W5" s="23"/>
      <c r="X5" s="22"/>
      <c r="Z5" s="22"/>
      <c r="AA5" s="23"/>
      <c r="AB5" s="23"/>
      <c r="AC5" s="23"/>
      <c r="AD5" s="23"/>
      <c r="AE5" s="23"/>
      <c r="AF5" s="22"/>
      <c r="AH5" s="22"/>
      <c r="AI5" s="23"/>
      <c r="AJ5" s="23"/>
      <c r="AK5" s="23"/>
      <c r="AL5" s="23"/>
      <c r="AM5" s="23"/>
      <c r="AN5" s="22"/>
      <c r="AP5" s="22"/>
      <c r="AQ5" s="23"/>
      <c r="AR5" s="23"/>
      <c r="AS5" s="23"/>
      <c r="AT5" s="23"/>
      <c r="AU5" s="23"/>
      <c r="AV5" s="22"/>
    </row>
    <row r="6" spans="1:50" s="10" customFormat="1" ht="22" customHeight="1" thickBot="1" x14ac:dyDescent="0.25">
      <c r="D6" s="11"/>
      <c r="F6" s="24"/>
      <c r="I6" s="24"/>
      <c r="K6" s="13"/>
    </row>
    <row r="7" spans="1:50" s="29" customFormat="1" ht="22" customHeight="1" thickBot="1" x14ac:dyDescent="0.25">
      <c r="A7" s="25" t="s">
        <v>7</v>
      </c>
      <c r="B7" s="26" t="s">
        <v>8</v>
      </c>
      <c r="C7" s="27"/>
      <c r="D7" s="28"/>
      <c r="F7" s="30" t="s">
        <v>9</v>
      </c>
      <c r="G7" s="31"/>
      <c r="H7" s="31"/>
      <c r="I7" s="31"/>
      <c r="J7" s="31"/>
      <c r="K7" s="31"/>
      <c r="L7" s="32"/>
      <c r="M7" s="33"/>
      <c r="N7" s="26" t="s">
        <v>10</v>
      </c>
      <c r="O7" s="27"/>
      <c r="P7" s="27"/>
      <c r="Q7" s="28"/>
      <c r="R7" s="33"/>
      <c r="S7" s="34" t="s">
        <v>11</v>
      </c>
      <c r="T7" s="3">
        <v>1</v>
      </c>
      <c r="U7" s="35" t="str">
        <f ca="1">"("&amp;OFFSET($A$10,T7,0)&amp;")"</f>
        <v>(Alice)</v>
      </c>
      <c r="V7" s="36"/>
      <c r="W7" s="36"/>
      <c r="X7" s="36"/>
      <c r="Y7" s="37"/>
      <c r="Z7" s="33"/>
      <c r="AA7" s="34" t="s">
        <v>11</v>
      </c>
      <c r="AB7" s="3">
        <v>2</v>
      </c>
      <c r="AC7" s="35" t="str">
        <f ca="1">"("&amp;OFFSET($A$10,AB7,0)&amp;")"</f>
        <v>(Bob)</v>
      </c>
      <c r="AD7" s="36"/>
      <c r="AE7" s="36"/>
      <c r="AF7" s="36"/>
      <c r="AG7" s="37"/>
      <c r="AH7" s="33"/>
      <c r="AI7" s="34" t="s">
        <v>11</v>
      </c>
      <c r="AJ7" s="3">
        <v>3</v>
      </c>
      <c r="AK7" s="35" t="str">
        <f ca="1">"("&amp;OFFSET($A$10,AJ7,0)&amp;")"</f>
        <v>(Carol)</v>
      </c>
      <c r="AL7" s="36"/>
      <c r="AM7" s="36"/>
      <c r="AN7" s="36"/>
      <c r="AO7" s="37"/>
      <c r="AP7" s="33"/>
      <c r="AQ7" s="34" t="s">
        <v>11</v>
      </c>
      <c r="AR7" s="3">
        <v>4</v>
      </c>
      <c r="AS7" s="35" t="str">
        <f ca="1">"("&amp;OFFSET($A$10,AR7,0)&amp;")"</f>
        <v>(Dennis)</v>
      </c>
      <c r="AT7" s="36"/>
      <c r="AU7" s="36"/>
      <c r="AV7" s="36"/>
      <c r="AW7" s="37"/>
      <c r="AX7" s="33"/>
    </row>
    <row r="8" spans="1:50" ht="17" customHeight="1" thickBot="1" x14ac:dyDescent="0.25">
      <c r="A8" s="25"/>
      <c r="B8" s="38"/>
      <c r="C8" s="39"/>
      <c r="D8" s="40"/>
      <c r="E8" s="41"/>
      <c r="F8" s="42" t="s">
        <v>12</v>
      </c>
      <c r="G8" s="43"/>
      <c r="H8" s="44"/>
      <c r="I8" s="45" t="s">
        <v>13</v>
      </c>
      <c r="J8" s="46"/>
      <c r="K8" s="46"/>
      <c r="L8" s="47"/>
      <c r="N8" s="49"/>
      <c r="O8" s="50"/>
      <c r="P8" s="50"/>
      <c r="Q8" s="51"/>
      <c r="R8" s="52"/>
      <c r="S8" s="53" t="str">
        <f ca="1">OFFSET($A$10,T7,0)&amp;"'s liquidity contribution"</f>
        <v>Alice's liquidity contribution</v>
      </c>
      <c r="T8" s="54"/>
      <c r="U8" s="54"/>
      <c r="V8" s="54"/>
      <c r="W8" s="55"/>
      <c r="X8" s="56" t="str">
        <f ca="1">OFFSET($A$10,T7,0)&amp;"'s Impermanent Loss"</f>
        <v>Alice's Impermanent Loss</v>
      </c>
      <c r="Y8" s="57"/>
      <c r="AA8" s="53" t="str">
        <f ca="1">OFFSET($A$10,AB7,0)&amp;"'s liquidity contribution"</f>
        <v>Bob's liquidity contribution</v>
      </c>
      <c r="AB8" s="54"/>
      <c r="AC8" s="54"/>
      <c r="AD8" s="54"/>
      <c r="AE8" s="55"/>
      <c r="AF8" s="56" t="str">
        <f ca="1">OFFSET($A$10,AB7,0)&amp;"'s Impermanent Loss"</f>
        <v>Bob's Impermanent Loss</v>
      </c>
      <c r="AG8" s="57"/>
      <c r="AI8" s="53" t="str">
        <f ca="1">OFFSET($A$10,AJ7,0)&amp;"'s liquidity contribution"</f>
        <v>Carol's liquidity contribution</v>
      </c>
      <c r="AJ8" s="54"/>
      <c r="AK8" s="54"/>
      <c r="AL8" s="54"/>
      <c r="AM8" s="55"/>
      <c r="AN8" s="56" t="str">
        <f ca="1">OFFSET($A$10,AJ7,0)&amp;"'s Impermanent Loss"</f>
        <v>Carol's Impermanent Loss</v>
      </c>
      <c r="AO8" s="57"/>
      <c r="AQ8" s="53" t="str">
        <f ca="1">OFFSET($A$10,AR7,0)&amp;"'s liquidity contribution"</f>
        <v>Dennis's liquidity contribution</v>
      </c>
      <c r="AR8" s="54"/>
      <c r="AS8" s="54"/>
      <c r="AT8" s="54"/>
      <c r="AU8" s="55"/>
      <c r="AV8" s="56" t="str">
        <f ca="1">OFFSET($A$10,AR7,0)&amp;"'s Impermanent Loss"</f>
        <v>Dennis's Impermanent Loss</v>
      </c>
      <c r="AW8" s="57"/>
      <c r="AX8" s="59"/>
    </row>
    <row r="9" spans="1:50" s="74" customFormat="1" ht="67" customHeight="1" thickBot="1" x14ac:dyDescent="0.25">
      <c r="A9" s="25"/>
      <c r="B9" s="60" t="str">
        <f>"Amount of "&amp;$B$4&amp;" in pool before transaction"</f>
        <v>Amount of ETH in pool before transaction</v>
      </c>
      <c r="C9" s="61" t="str">
        <f>"Amount of "&amp;$B$5&amp;" in pool before transaction"</f>
        <v>Amount of USD in pool before transaction</v>
      </c>
      <c r="D9" s="62" t="str">
        <f>$B$4&amp;"/"&amp;$B$5&amp;" spot price:"</f>
        <v>ETH/USD spot price:</v>
      </c>
      <c r="E9" s="63"/>
      <c r="F9" s="64" t="str">
        <f>"BUY / SELL "&amp;$B$4&amp;" QTY:"</f>
        <v>BUY / SELL ETH QTY:</v>
      </c>
      <c r="G9" s="65" t="str">
        <f>"total "&amp;$B$5&amp;" pd / recd"</f>
        <v>total USD pd / recd</v>
      </c>
      <c r="H9" s="66" t="str">
        <f>$B$4&amp;"/"&amp;$B$5&amp;" price due to slippage"</f>
        <v>ETH/USD price due to slippage</v>
      </c>
      <c r="I9" s="67" t="str">
        <f>"THEN Adds/ removes "&amp;$B$4&amp;" Liquidity qty:"</f>
        <v>THEN Adds/ removes ETH Liquidity qty:</v>
      </c>
      <c r="J9" s="68" t="str">
        <f>"must also add / remove "&amp;$B$5</f>
        <v>must also add / remove USD</v>
      </c>
      <c r="K9" s="69" t="str">
        <f>"liq "&amp;$B$5&amp;" spot value added this step"</f>
        <v>liq USD spot value added this step</v>
      </c>
      <c r="L9" s="70" t="s">
        <v>14</v>
      </c>
      <c r="M9" s="16"/>
      <c r="N9" s="71" t="str">
        <f>"Pool "&amp;$B$5&amp;" spot value after this step"</f>
        <v>Pool USD spot value after this step</v>
      </c>
      <c r="O9" s="72" t="str">
        <f>"Breakdown: current total "&amp;$B$4&amp;" in pool"</f>
        <v>Breakdown: current total ETH in pool</v>
      </c>
      <c r="P9" s="72" t="str">
        <f>"Breakdown: current total "&amp;$B$5&amp;" in pool"</f>
        <v>Breakdown: current total USD in pool</v>
      </c>
      <c r="Q9" s="73" t="s">
        <v>15</v>
      </c>
      <c r="S9" s="75" t="str">
        <f ca="1">"% of pool currently held by "&amp;OFFSET($A$10,T7,0)</f>
        <v>% of pool currently held by Alice</v>
      </c>
      <c r="T9" s="76" t="str">
        <f ca="1">"Breakdown: "&amp;OFFSET($A$10,T7,0)&amp;"'s current pooled "&amp;$B$4</f>
        <v>Breakdown: Alice's current pooled ETH</v>
      </c>
      <c r="U9" s="76" t="str">
        <f ca="1">"Breakdown: "&amp;OFFSET($A$10,T7,0)&amp;"'s current pooled "&amp;$B$5</f>
        <v>Breakdown: Alice's current pooled USD</v>
      </c>
      <c r="V9" s="77" t="str">
        <f ca="1">"Current "&amp;$B$5&amp;" spot value of "&amp;OFFSET($A$10,T7,0)&amp;"'s  contribution"</f>
        <v>Current USD spot value of Alice's  contribution</v>
      </c>
      <c r="W9" s="78" t="str">
        <f ca="1">$B$5&amp;" spot value if "&amp;OFFSET($A$10,T7,0)&amp;" had just held"</f>
        <v>USD spot value if Alice had just held</v>
      </c>
      <c r="X9" s="79" t="s">
        <v>16</v>
      </c>
      <c r="Y9" s="80" t="s">
        <v>17</v>
      </c>
      <c r="Z9" s="81"/>
      <c r="AA9" s="75" t="str">
        <f ca="1">"% of pool currently held by "&amp;OFFSET($A$10,AB7,0)</f>
        <v>% of pool currently held by Bob</v>
      </c>
      <c r="AB9" s="76" t="str">
        <f ca="1">"Breakdown: "&amp;OFFSET($A$10,AB7,0)&amp;"'s current pooled "&amp;$B$4</f>
        <v>Breakdown: Bob's current pooled ETH</v>
      </c>
      <c r="AC9" s="76" t="str">
        <f ca="1">"Breakdown: "&amp;OFFSET($A$10,AB7,0)&amp;"'s current pooled "&amp;$B$5</f>
        <v>Breakdown: Bob's current pooled USD</v>
      </c>
      <c r="AD9" s="77" t="str">
        <f ca="1">"Current "&amp;$B$5&amp;" spot value of "&amp;OFFSET($A$10,AB7,0)&amp;"'s  contribution"</f>
        <v>Current USD spot value of Bob's  contribution</v>
      </c>
      <c r="AE9" s="78" t="str">
        <f ca="1">$B$5&amp;" spot value if "&amp;OFFSET($A$10,AB7,0)&amp;" had just held"</f>
        <v>USD spot value if Bob had just held</v>
      </c>
      <c r="AF9" s="82" t="s">
        <v>16</v>
      </c>
      <c r="AG9" s="83" t="s">
        <v>17</v>
      </c>
      <c r="AH9" s="81"/>
      <c r="AI9" s="75" t="str">
        <f ca="1">"% of pool currently held by "&amp;OFFSET($A$10,AJ7,0)</f>
        <v>% of pool currently held by Carol</v>
      </c>
      <c r="AJ9" s="76" t="str">
        <f ca="1">"Breakdown: "&amp;OFFSET($A$10,AJ7,0)&amp;"'s current pooled "&amp;$B$4</f>
        <v>Breakdown: Carol's current pooled ETH</v>
      </c>
      <c r="AK9" s="76" t="str">
        <f ca="1">"Breakdown: "&amp;OFFSET($A$10,AJ7,0)&amp;"'s current pooled "&amp;$B$5</f>
        <v>Breakdown: Carol's current pooled USD</v>
      </c>
      <c r="AL9" s="77" t="str">
        <f ca="1">"Current "&amp;$B$5&amp;" spot value of "&amp;OFFSET($A$10,AJ7,0)&amp;"'s  contribution"</f>
        <v>Current USD spot value of Carol's  contribution</v>
      </c>
      <c r="AM9" s="78" t="str">
        <f ca="1">$B$5&amp;" spot value if "&amp;OFFSET($A$10,AJ7,0)&amp;" had just held"</f>
        <v>USD spot value if Carol had just held</v>
      </c>
      <c r="AN9" s="82" t="s">
        <v>16</v>
      </c>
      <c r="AO9" s="83" t="s">
        <v>17</v>
      </c>
      <c r="AP9" s="81"/>
      <c r="AQ9" s="75" t="str">
        <f ca="1">"% of pool currently held by "&amp;OFFSET($A$10,AR7,0)</f>
        <v>% of pool currently held by Dennis</v>
      </c>
      <c r="AR9" s="76" t="str">
        <f ca="1">"Breakdown: "&amp;OFFSET($A$10,AR7,0)&amp;"'s current pooled "&amp;$B$4</f>
        <v>Breakdown: Dennis's current pooled ETH</v>
      </c>
      <c r="AS9" s="76" t="str">
        <f ca="1">"Breakdown: "&amp;OFFSET($A$10,AR7,0)&amp;"'s current pooled "&amp;$B$5</f>
        <v>Breakdown: Dennis's current pooled USD</v>
      </c>
      <c r="AT9" s="77" t="str">
        <f ca="1">"Current "&amp;$B$5&amp;" spot value of "&amp;OFFSET($A$10,AR7,0)&amp;"'s  contribution"</f>
        <v>Current USD spot value of Dennis's  contribution</v>
      </c>
      <c r="AU9" s="78" t="str">
        <f ca="1">$B$5&amp;" spot value if "&amp;OFFSET($A$10,AR7,0)&amp;" had just held"</f>
        <v>USD spot value if Dennis had just held</v>
      </c>
      <c r="AV9" s="79" t="s">
        <v>16</v>
      </c>
      <c r="AW9" s="80" t="s">
        <v>17</v>
      </c>
    </row>
    <row r="10" spans="1:50" ht="17" customHeight="1" thickBot="1" x14ac:dyDescent="0.25">
      <c r="A10" s="84" t="s">
        <v>18</v>
      </c>
      <c r="B10" s="85"/>
      <c r="C10" s="86"/>
      <c r="D10" s="87"/>
      <c r="F10" s="89"/>
      <c r="G10" s="89"/>
      <c r="H10" s="90"/>
      <c r="I10" s="91">
        <f>C4</f>
        <v>8878</v>
      </c>
      <c r="J10" s="92">
        <f>C5</f>
        <v>10201</v>
      </c>
      <c r="K10" s="89">
        <f>2*J10</f>
        <v>20402</v>
      </c>
      <c r="L10" s="93">
        <f>(SQRT(J10*10^36*I10)-10^3)*10^-18</f>
        <v>9516.5370802619182</v>
      </c>
      <c r="N10" s="94">
        <f t="shared" ref="N10:N44" si="0">($C10-$G10+$J10)*2</f>
        <v>20402</v>
      </c>
      <c r="O10" s="95">
        <f>SUM($I$9:$I10)-SUM($F$9:$F10)</f>
        <v>8878</v>
      </c>
      <c r="P10" s="95">
        <f>SUM($J$9:$J10)-SUM($G$9:$G10)</f>
        <v>10201</v>
      </c>
      <c r="Q10" s="96">
        <f t="shared" ref="Q10:Q44" si="1">$K10/N10</f>
        <v>1</v>
      </c>
      <c r="R10" s="97"/>
      <c r="S10" s="98"/>
      <c r="T10" s="99"/>
      <c r="U10" s="99"/>
      <c r="V10" s="99"/>
      <c r="W10" s="99"/>
      <c r="X10" s="100"/>
      <c r="Y10" s="101"/>
      <c r="AA10" s="98"/>
      <c r="AB10" s="99"/>
      <c r="AC10" s="99"/>
      <c r="AD10" s="99"/>
      <c r="AE10" s="99"/>
      <c r="AF10" s="100"/>
      <c r="AG10" s="101"/>
      <c r="AI10" s="98"/>
      <c r="AJ10" s="99"/>
      <c r="AK10" s="99"/>
      <c r="AL10" s="99"/>
      <c r="AM10" s="99"/>
      <c r="AN10" s="100"/>
      <c r="AO10" s="101"/>
      <c r="AQ10" s="98"/>
      <c r="AR10" s="99"/>
      <c r="AS10" s="99"/>
      <c r="AT10" s="99"/>
      <c r="AU10" s="99"/>
      <c r="AV10" s="100"/>
      <c r="AW10" s="101"/>
      <c r="AX10" s="59"/>
    </row>
    <row r="11" spans="1:50" ht="15" customHeight="1" x14ac:dyDescent="0.2">
      <c r="A11" s="102" t="s">
        <v>19</v>
      </c>
      <c r="B11" s="103">
        <f t="shared" ref="B11:C44" si="2">B10-F10+I10</f>
        <v>8878</v>
      </c>
      <c r="C11" s="104">
        <f t="shared" si="2"/>
        <v>10201</v>
      </c>
      <c r="D11" s="105">
        <f>C11/B11</f>
        <v>1.1490200495607119</v>
      </c>
      <c r="F11" s="5"/>
      <c r="G11" s="106">
        <f>-1*((B11 * C11)/(B11 - F11)-C11 )</f>
        <v>0</v>
      </c>
      <c r="H11" s="107">
        <f>IF(F11&lt;&gt;0,-1*G11/F11,D11)</f>
        <v>1.1490200495607119</v>
      </c>
      <c r="I11" s="6">
        <v>9000</v>
      </c>
      <c r="J11" s="13">
        <f t="shared" ref="J11:J44" si="3">I11/((B11-F11)/(C11-G11))</f>
        <v>10341.180446046408</v>
      </c>
      <c r="K11" s="108">
        <f>2*J11</f>
        <v>20682.360892092816</v>
      </c>
      <c r="L11" s="109">
        <f>MIN(I11*10^18*SUM($L$8:$L10) / ((B11-F11)*10^18), J11*10^18*SUM($L$8:$L10) / ((C11-G11)*10^18))</f>
        <v>9647.31175065975</v>
      </c>
      <c r="N11" s="110">
        <f t="shared" si="0"/>
        <v>41084.360892092816</v>
      </c>
      <c r="O11" s="111">
        <f>SUM($I$9:$I11)-SUM($F$9:$F11)</f>
        <v>17878</v>
      </c>
      <c r="P11" s="111">
        <f>SUM($J$9:$J11)-SUM($G$9:$G11)</f>
        <v>20542.180446046408</v>
      </c>
      <c r="Q11" s="112">
        <f t="shared" si="1"/>
        <v>0.50341201476675246</v>
      </c>
      <c r="R11" s="113"/>
      <c r="S11" s="114">
        <f>IF(ROW()&lt;(ROW(A$10)+T$7),"["&amp;$A11&amp;"]", INDEX($L:$L,ROW(A$10)+T$7)/SUM($L$9:$L11))</f>
        <v>0.50341201476675235</v>
      </c>
      <c r="T11" s="115">
        <f>IF(ROW()&lt;(ROW(A$10)+T$7),"", S11*$O11)</f>
        <v>8999.9999999999982</v>
      </c>
      <c r="U11" s="115">
        <f>IF(ROW()&lt;(ROW(A$10)+T$7),"", S11*$P11)</f>
        <v>10341.180446046406</v>
      </c>
      <c r="V11" s="116">
        <f>IF(ROW()&lt;(ROW(A$10)+T$7),"", S11*$N11)</f>
        <v>20682.360892092813</v>
      </c>
      <c r="W11" s="117">
        <f>IF(ROW()&lt;ROW(A$10)+T$7,"", INDEX($J:$J,ROW(A$10)+T$7)+INDEX($I:$I,ROW(A$10)+T$7)*(($C11-$G11+$J11)/($B11-$F11+$I11)))</f>
        <v>20682.360892092816</v>
      </c>
      <c r="X11" s="118">
        <f>IF(ROW()&lt;(ROW(A$10)+T$7),"", V11-W11)</f>
        <v>-3.637978807091713E-12</v>
      </c>
      <c r="Y11" s="119">
        <f>IF(ROW()&lt;(ROW(A$10)+T$7),"", IF(W11=0,"",X11/W11))</f>
        <v>-1.7589765627204426E-16</v>
      </c>
      <c r="AA11" s="114" t="str">
        <f>IF(ROW()&lt;(ROW(I$10)+AB$7),"["&amp;$A11&amp;"]", INDEX($L:$L,ROW(I$10)+AB$7)/SUM($L$9:$L11))</f>
        <v>[Alice]</v>
      </c>
      <c r="AB11" s="115" t="str">
        <f>IF(ROW()&lt;(ROW(I$10)+AB$7),"", AA11*$O11)</f>
        <v/>
      </c>
      <c r="AC11" s="115" t="str">
        <f>IF(ROW()&lt;(ROW(I$10)+AB$7),"", AA11*$P11)</f>
        <v/>
      </c>
      <c r="AD11" s="116" t="str">
        <f>IF(ROW()&lt;(ROW(I$10)+AB$7),"", AA11*$N11)</f>
        <v/>
      </c>
      <c r="AE11" s="117" t="str">
        <f>IF(ROW()&lt;ROW(I$10)+AB$7,"", INDEX($J:$J,ROW(I$10)+AB$7)+INDEX($I:$I,ROW(I$10)+AB$7)*(($C11-$G11+$J11)/($B11-$F11+$I11)))</f>
        <v/>
      </c>
      <c r="AF11" s="118" t="str">
        <f>IF(ROW()&lt;(ROW(I$10)+AB$7),"", AD11-AE11)</f>
        <v/>
      </c>
      <c r="AG11" s="119" t="str">
        <f>IF(ROW()&lt;(ROW(I$10)+AB$7),"", IF(AE11=0,"",AF11/AE11))</f>
        <v/>
      </c>
      <c r="AI11" s="114" t="str">
        <f>IF(ROW()&lt;(ROW(Q$10)+AJ$7),"["&amp;$A11&amp;"]", INDEX($L:$L,ROW(Q$10)+AJ$7)/SUM($L$9:$L11))</f>
        <v>[Alice]</v>
      </c>
      <c r="AJ11" s="115" t="str">
        <f>IF(ROW()&lt;(ROW(Q$10)+AJ$7),"", AI11*$O11)</f>
        <v/>
      </c>
      <c r="AK11" s="115" t="str">
        <f>IF(ROW()&lt;(ROW(Q$10)+AJ$7),"", AI11*$P11)</f>
        <v/>
      </c>
      <c r="AL11" s="116" t="str">
        <f>IF(ROW()&lt;(ROW(Q$10)+AJ$7),"", AI11*$N11)</f>
        <v/>
      </c>
      <c r="AM11" s="117" t="str">
        <f>IF(ROW()&lt;ROW(Q$10)+AJ$7,"", INDEX($J:$J,ROW(Q$10)+AJ$7)+INDEX($I:$I,ROW(Q$10)+AJ$7)*(($C11-$G11+$J11)/($B11-$F11+$I11)))</f>
        <v/>
      </c>
      <c r="AN11" s="118" t="str">
        <f>IF(ROW()&lt;(ROW(Q$10)+AJ$7),"", AL11-AM11)</f>
        <v/>
      </c>
      <c r="AO11" s="119" t="str">
        <f>IF(ROW()&lt;(ROW(Q$10)+AJ$7),"", IF(AM11=0,"",AN11/AM11))</f>
        <v/>
      </c>
      <c r="AQ11" s="114" t="str">
        <f>IF(ROW()&lt;(ROW(Y$10)+AR$7),"["&amp;$A11&amp;"]", INDEX($L:$L,ROW(Y$10)+AR$7)/SUM($L$9:$L11))</f>
        <v>[Alice]</v>
      </c>
      <c r="AR11" s="115" t="str">
        <f>IF(ROW()&lt;(ROW(Y$10)+AR$7),"", AQ11*$O11)</f>
        <v/>
      </c>
      <c r="AS11" s="115" t="str">
        <f>IF(ROW()&lt;(ROW(Y$10)+AR$7),"", AQ11*$P11)</f>
        <v/>
      </c>
      <c r="AT11" s="116" t="str">
        <f>IF(ROW()&lt;(ROW(Y$10)+AR$7),"", AQ11*$N11)</f>
        <v/>
      </c>
      <c r="AU11" s="117" t="str">
        <f>IF(ROW()&lt;ROW(Y$10)+AR$7,"", INDEX($J:$J,ROW(Y$10)+AR$7)+INDEX($I:$I,ROW(Y$10)+AR$7)*(($C11-$G11+$J11)/($B11-$F11+$I11)))</f>
        <v/>
      </c>
      <c r="AV11" s="118" t="str">
        <f>IF(ROW()&lt;(ROW(Y$10)+AR$7),"", AT11-AU11)</f>
        <v/>
      </c>
      <c r="AW11" s="119" t="str">
        <f>IF(ROW()&lt;(ROW(Y$10)+AR$7),"", IF(AU11=0,"",AV11/AU11))</f>
        <v/>
      </c>
    </row>
    <row r="12" spans="1:50" s="121" customFormat="1" ht="17" x14ac:dyDescent="0.2">
      <c r="A12" s="102" t="s">
        <v>20</v>
      </c>
      <c r="B12" s="103">
        <f t="shared" si="2"/>
        <v>17878</v>
      </c>
      <c r="C12" s="104">
        <f t="shared" si="2"/>
        <v>20542.180446046408</v>
      </c>
      <c r="D12" s="105">
        <f t="shared" ref="D12:D44" si="4">C12/B12</f>
        <v>1.1490200495607119</v>
      </c>
      <c r="E12" s="88"/>
      <c r="F12" s="5">
        <v>2</v>
      </c>
      <c r="G12" s="106">
        <f t="shared" ref="G12:G44" si="5">-1*((B12 * C12)/(B12 - F12)-C12 )</f>
        <v>-2.2982972081081243</v>
      </c>
      <c r="H12" s="107">
        <f t="shared" ref="H12:H44" si="6">IF(F12&lt;&gt;0,-1*G12/F12,D12)</f>
        <v>1.1491486040540622</v>
      </c>
      <c r="I12" s="6"/>
      <c r="J12" s="13">
        <f t="shared" si="3"/>
        <v>0</v>
      </c>
      <c r="K12" s="108">
        <f t="shared" ref="K12:K44" si="7">2*J12</f>
        <v>0</v>
      </c>
      <c r="L12" s="109">
        <f>MIN(I12*10^18*SUM($L$8:$L11) / ((B12-F12)*10^18), J12*10^18*SUM($L$8:$L11) / ((C12-G12)*10^18))</f>
        <v>0</v>
      </c>
      <c r="M12" s="48"/>
      <c r="N12" s="110">
        <f t="shared" si="0"/>
        <v>41088.957486509033</v>
      </c>
      <c r="O12" s="111">
        <f>SUM($I$9:$I12)-SUM($F$9:$F12)</f>
        <v>17876</v>
      </c>
      <c r="P12" s="111">
        <f>SUM($J$9:$J12)-SUM($G$9:$G12)</f>
        <v>20544.478743254516</v>
      </c>
      <c r="Q12" s="112">
        <f t="shared" si="1"/>
        <v>0</v>
      </c>
      <c r="R12" s="113"/>
      <c r="S12" s="114">
        <f>IF(ROW()&lt;(ROW(A$10)+T$7),"["&amp;$A12&amp;"]", INDEX($L:$L,ROW(A$10)+T$7)/SUM($L$9:$L12))</f>
        <v>0.50341201476675235</v>
      </c>
      <c r="T12" s="115">
        <f t="shared" ref="T12:T44" si="8">IF(ROW()&lt;(ROW(A$10)+T$7),"", S12*$O12)</f>
        <v>8998.993175970465</v>
      </c>
      <c r="U12" s="115">
        <f t="shared" ref="U12:U44" si="9">IF(ROW()&lt;(ROW(A$10)+T$7),"", S12*$P12)</f>
        <v>10342.337436474472</v>
      </c>
      <c r="V12" s="116">
        <f t="shared" ref="V12:V44" si="10">IF(ROW()&lt;(ROW(A$10)+T$7),"", S12*$N12)</f>
        <v>20684.674872948945</v>
      </c>
      <c r="W12" s="117">
        <f t="shared" ref="W12:W44" si="11">IF(ROW()&lt;ROW(A$10)+T$7,"", INDEX($J:$J,ROW(A$10)+T$7)+INDEX($I:$I,ROW(A$10)+T$7)*(($C12-$G12+$J12)/($B12-$F12+$I12)))</f>
        <v>20684.675002395183</v>
      </c>
      <c r="X12" s="118">
        <f t="shared" ref="X12:X44" si="12">IF(ROW()&lt;(ROW(A$10)+T$7),"", V12-W12)</f>
        <v>-1.294462381338235E-4</v>
      </c>
      <c r="Y12" s="119">
        <f t="shared" ref="Y12:Y44" si="13">IF(ROW()&lt;(ROW(A$10)+T$7),"", IF(W12=0,"",X12/W12))</f>
        <v>-6.2580745464376047E-9</v>
      </c>
      <c r="Z12" s="58"/>
      <c r="AA12" s="114">
        <f>IF(ROW()&lt;(ROW(I$10)+AB$7),"["&amp;$A12&amp;"]", INDEX($L:$L,ROW(I$10)+AB$7)/SUM($L$9:$L12))</f>
        <v>0</v>
      </c>
      <c r="AB12" s="115">
        <f t="shared" ref="AB12:AB44" si="14">IF(ROW()&lt;(ROW(I$10)+AB$7),"", AA12*$O12)</f>
        <v>0</v>
      </c>
      <c r="AC12" s="115">
        <f t="shared" ref="AC12:AC44" si="15">IF(ROW()&lt;(ROW(I$10)+AB$7),"", AA12*$P12)</f>
        <v>0</v>
      </c>
      <c r="AD12" s="116">
        <f t="shared" ref="AD12:AD44" si="16">IF(ROW()&lt;(ROW(I$10)+AB$7),"", AA12*$N12)</f>
        <v>0</v>
      </c>
      <c r="AE12" s="117">
        <f t="shared" ref="AE12:AE44" si="17">IF(ROW()&lt;ROW(I$10)+AB$7,"", INDEX($J:$J,ROW(I$10)+AB$7)+INDEX($I:$I,ROW(I$10)+AB$7)*(($C12-$G12+$J12)/($B12-$F12+$I12)))</f>
        <v>0</v>
      </c>
      <c r="AF12" s="118">
        <f t="shared" ref="AF12:AF44" si="18">IF(ROW()&lt;(ROW(I$10)+AB$7),"", AD12-AE12)</f>
        <v>0</v>
      </c>
      <c r="AG12" s="119" t="str">
        <f t="shared" ref="AG12:AG44" si="19">IF(ROW()&lt;(ROW(I$10)+AB$7),"", IF(AE12=0,"",AF12/AE12))</f>
        <v/>
      </c>
      <c r="AH12" s="58"/>
      <c r="AI12" s="114" t="str">
        <f>IF(ROW()&lt;(ROW(Q$10)+AJ$7),"["&amp;$A12&amp;"]", INDEX($L:$L,ROW(Q$10)+AJ$7)/SUM($L$9:$L12))</f>
        <v>[Bob]</v>
      </c>
      <c r="AJ12" s="115" t="str">
        <f t="shared" ref="AJ12:AJ44" si="20">IF(ROW()&lt;(ROW(Q$10)+AJ$7),"", AI12*$O12)</f>
        <v/>
      </c>
      <c r="AK12" s="115" t="str">
        <f t="shared" ref="AK12:AK44" si="21">IF(ROW()&lt;(ROW(Q$10)+AJ$7),"", AI12*$P12)</f>
        <v/>
      </c>
      <c r="AL12" s="116" t="str">
        <f t="shared" ref="AL12:AL44" si="22">IF(ROW()&lt;(ROW(Q$10)+AJ$7),"", AI12*$N12)</f>
        <v/>
      </c>
      <c r="AM12" s="117" t="str">
        <f t="shared" ref="AM12:AM44" si="23">IF(ROW()&lt;ROW(Q$10)+AJ$7,"", INDEX($J:$J,ROW(Q$10)+AJ$7)+INDEX($I:$I,ROW(Q$10)+AJ$7)*(($C12-$G12+$J12)/($B12-$F12+$I12)))</f>
        <v/>
      </c>
      <c r="AN12" s="118" t="str">
        <f t="shared" ref="AN12:AN44" si="24">IF(ROW()&lt;(ROW(Q$10)+AJ$7),"", AL12-AM12)</f>
        <v/>
      </c>
      <c r="AO12" s="119" t="str">
        <f t="shared" ref="AO12:AO44" si="25">IF(ROW()&lt;(ROW(Q$10)+AJ$7),"", IF(AM12=0,"",AN12/AM12))</f>
        <v/>
      </c>
      <c r="AP12" s="58"/>
      <c r="AQ12" s="114" t="str">
        <f>IF(ROW()&lt;(ROW(Y$10)+AR$7),"["&amp;$A12&amp;"]", INDEX($L:$L,ROW(Y$10)+AR$7)/SUM($L$9:$L12))</f>
        <v>[Bob]</v>
      </c>
      <c r="AR12" s="115" t="str">
        <f t="shared" ref="AR12:AR44" si="26">IF(ROW()&lt;(ROW(Y$10)+AR$7),"", AQ12*$O12)</f>
        <v/>
      </c>
      <c r="AS12" s="115" t="str">
        <f t="shared" ref="AS12:AS44" si="27">IF(ROW()&lt;(ROW(Y$10)+AR$7),"", AQ12*$P12)</f>
        <v/>
      </c>
      <c r="AT12" s="116" t="str">
        <f t="shared" ref="AT12:AT44" si="28">IF(ROW()&lt;(ROW(Y$10)+AR$7),"", AQ12*$N12)</f>
        <v/>
      </c>
      <c r="AU12" s="117" t="str">
        <f t="shared" ref="AU12:AU44" si="29">IF(ROW()&lt;ROW(Y$10)+AR$7,"", INDEX($J:$J,ROW(Y$10)+AR$7)+INDEX($I:$I,ROW(Y$10)+AR$7)*(($C12-$G12+$J12)/($B12-$F12+$I12)))</f>
        <v/>
      </c>
      <c r="AV12" s="118" t="str">
        <f t="shared" ref="AV12:AV44" si="30">IF(ROW()&lt;(ROW(Y$10)+AR$7),"", AT12-AU12)</f>
        <v/>
      </c>
      <c r="AW12" s="119" t="str">
        <f t="shared" ref="AW12:AW44" si="31">IF(ROW()&lt;(ROW(Y$10)+AR$7),"", IF(AU12=0,"",AV12/AU12))</f>
        <v/>
      </c>
      <c r="AX12" s="120"/>
    </row>
    <row r="13" spans="1:50" ht="17" x14ac:dyDescent="0.2">
      <c r="A13" s="102" t="s">
        <v>21</v>
      </c>
      <c r="B13" s="103">
        <f t="shared" si="2"/>
        <v>17876</v>
      </c>
      <c r="C13" s="104">
        <f t="shared" si="2"/>
        <v>20544.478743254516</v>
      </c>
      <c r="D13" s="105">
        <f t="shared" si="4"/>
        <v>1.1492771729276414</v>
      </c>
      <c r="F13" s="5"/>
      <c r="G13" s="106">
        <f>-1*((B13 * C13)/(B13 - F13)-C13 )</f>
        <v>0</v>
      </c>
      <c r="H13" s="107">
        <f t="shared" si="6"/>
        <v>1.1492771729276414</v>
      </c>
      <c r="I13" s="6">
        <v>50</v>
      </c>
      <c r="J13" s="13">
        <f t="shared" si="3"/>
        <v>57.463858646382064</v>
      </c>
      <c r="K13" s="108">
        <f t="shared" si="7"/>
        <v>114.92771729276413</v>
      </c>
      <c r="L13" s="109">
        <f>MIN(I13*10^18*SUM($L$8:$L12) / ((B13-F13)*10^18), J13*10^18*SUM($L$8:$L12) / ((C13-G13)*10^18))</f>
        <v>53.602172832070011</v>
      </c>
      <c r="N13" s="110">
        <f t="shared" si="0"/>
        <v>41203.885203801794</v>
      </c>
      <c r="O13" s="111">
        <f>SUM($I$9:$I13)-SUM($F$9:$F13)</f>
        <v>17926</v>
      </c>
      <c r="P13" s="111">
        <f>SUM($J$9:$J13)-SUM($G$9:$G13)</f>
        <v>20601.942601900897</v>
      </c>
      <c r="Q13" s="112">
        <f t="shared" si="1"/>
        <v>2.7892446725426754E-3</v>
      </c>
      <c r="R13" s="113"/>
      <c r="S13" s="114">
        <f>IF(ROW()&lt;(ROW(A$10)+T$7),"["&amp;$A13&amp;"]", INDEX($L:$L,ROW(A$10)+T$7)/SUM($L$9:$L13))</f>
        <v>0.50200787548647019</v>
      </c>
      <c r="T13" s="115">
        <f t="shared" si="8"/>
        <v>8998.993175970465</v>
      </c>
      <c r="U13" s="115">
        <f t="shared" si="9"/>
        <v>10342.33743647447</v>
      </c>
      <c r="V13" s="116">
        <f t="shared" si="10"/>
        <v>20684.674872948941</v>
      </c>
      <c r="W13" s="117">
        <f t="shared" si="11"/>
        <v>20684.675002395179</v>
      </c>
      <c r="X13" s="118">
        <f t="shared" si="12"/>
        <v>-1.294462381338235E-4</v>
      </c>
      <c r="Y13" s="119">
        <f t="shared" si="13"/>
        <v>-6.2580745464376064E-9</v>
      </c>
      <c r="AA13" s="114">
        <f>IF(ROW()&lt;(ROW(I$10)+AB$7),"["&amp;$A13&amp;"]", INDEX($L:$L,ROW(I$10)+AB$7)/SUM($L$9:$L13))</f>
        <v>0</v>
      </c>
      <c r="AB13" s="115">
        <f t="shared" si="14"/>
        <v>0</v>
      </c>
      <c r="AC13" s="115">
        <f t="shared" si="15"/>
        <v>0</v>
      </c>
      <c r="AD13" s="116">
        <f t="shared" si="16"/>
        <v>0</v>
      </c>
      <c r="AE13" s="117">
        <f t="shared" si="17"/>
        <v>0</v>
      </c>
      <c r="AF13" s="118">
        <f t="shared" si="18"/>
        <v>0</v>
      </c>
      <c r="AG13" s="119" t="str">
        <f t="shared" si="19"/>
        <v/>
      </c>
      <c r="AI13" s="114">
        <f>IF(ROW()&lt;(ROW(Q$10)+AJ$7),"["&amp;$A13&amp;"]", INDEX($L:$L,ROW(Q$10)+AJ$7)/SUM($L$9:$L13))</f>
        <v>2.7892446725426754E-3</v>
      </c>
      <c r="AJ13" s="115">
        <f t="shared" si="20"/>
        <v>50</v>
      </c>
      <c r="AK13" s="115">
        <f t="shared" si="21"/>
        <v>57.463858646382064</v>
      </c>
      <c r="AL13" s="116">
        <f t="shared" si="22"/>
        <v>114.92771729276413</v>
      </c>
      <c r="AM13" s="117">
        <f t="shared" si="23"/>
        <v>114.92771729276413</v>
      </c>
      <c r="AN13" s="118">
        <f t="shared" si="24"/>
        <v>0</v>
      </c>
      <c r="AO13" s="119">
        <f t="shared" si="25"/>
        <v>0</v>
      </c>
      <c r="AQ13" s="114" t="str">
        <f>IF(ROW()&lt;(ROW(Y$10)+AR$7),"["&amp;$A13&amp;"]", INDEX($L:$L,ROW(Y$10)+AR$7)/SUM($L$9:$L13))</f>
        <v>[Carol]</v>
      </c>
      <c r="AR13" s="115" t="str">
        <f t="shared" si="26"/>
        <v/>
      </c>
      <c r="AS13" s="115" t="str">
        <f t="shared" si="27"/>
        <v/>
      </c>
      <c r="AT13" s="116" t="str">
        <f t="shared" si="28"/>
        <v/>
      </c>
      <c r="AU13" s="117" t="str">
        <f t="shared" si="29"/>
        <v/>
      </c>
      <c r="AV13" s="118" t="str">
        <f t="shared" si="30"/>
        <v/>
      </c>
      <c r="AW13" s="119" t="str">
        <f t="shared" si="31"/>
        <v/>
      </c>
    </row>
    <row r="14" spans="1:50" ht="17" x14ac:dyDescent="0.2">
      <c r="A14" s="102" t="s">
        <v>22</v>
      </c>
      <c r="B14" s="103">
        <f t="shared" si="2"/>
        <v>17926</v>
      </c>
      <c r="C14" s="104">
        <f t="shared" si="2"/>
        <v>20601.942601900897</v>
      </c>
      <c r="D14" s="105">
        <f t="shared" si="4"/>
        <v>1.1492771729276412</v>
      </c>
      <c r="F14" s="5">
        <v>-1000</v>
      </c>
      <c r="G14" s="106">
        <f t="shared" si="5"/>
        <v>1088.5523936331447</v>
      </c>
      <c r="H14" s="107">
        <f t="shared" si="6"/>
        <v>1.0885523936331447</v>
      </c>
      <c r="I14" s="6">
        <v>25</v>
      </c>
      <c r="J14" s="13">
        <f t="shared" si="3"/>
        <v>25.775903794076601</v>
      </c>
      <c r="K14" s="108">
        <f t="shared" si="7"/>
        <v>51.551807588153203</v>
      </c>
      <c r="L14" s="109">
        <f>MIN(I14*10^18*SUM($L$8:$L13) / ((B14-F14)*10^18), J14*10^18*SUM($L$8:$L13) / ((C14-G14)*10^18))</f>
        <v>25.384987588177296</v>
      </c>
      <c r="N14" s="110">
        <f t="shared" si="0"/>
        <v>39078.33222412366</v>
      </c>
      <c r="O14" s="111">
        <f>SUM($I$9:$I14)-SUM($F$9:$F14)</f>
        <v>18951</v>
      </c>
      <c r="P14" s="111">
        <f>SUM($J$9:$J14)-SUM($G$9:$G14)</f>
        <v>19539.16611206183</v>
      </c>
      <c r="Q14" s="112">
        <f t="shared" si="1"/>
        <v>1.3191915993878949E-3</v>
      </c>
      <c r="R14" s="113"/>
      <c r="S14" s="114">
        <f>IF(ROW()&lt;(ROW(A$10)+T$7),"["&amp;$A14&amp;"]", INDEX($L:$L,ROW(A$10)+T$7)/SUM($L$9:$L14))</f>
        <v>0.50134563091430184</v>
      </c>
      <c r="T14" s="115">
        <f t="shared" si="8"/>
        <v>9501.0010514569349</v>
      </c>
      <c r="U14" s="115">
        <f t="shared" si="9"/>
        <v>9795.8755619909844</v>
      </c>
      <c r="V14" s="116">
        <f t="shared" si="10"/>
        <v>19591.751123981969</v>
      </c>
      <c r="W14" s="117">
        <f t="shared" si="11"/>
        <v>19620.505811913987</v>
      </c>
      <c r="X14" s="118">
        <f t="shared" si="12"/>
        <v>-28.754687932017987</v>
      </c>
      <c r="Y14" s="119">
        <f t="shared" si="13"/>
        <v>-1.4655426423592775E-3</v>
      </c>
      <c r="AA14" s="114">
        <f>IF(ROW()&lt;(ROW(I$10)+AB$7),"["&amp;$A14&amp;"]", INDEX($L:$L,ROW(I$10)+AB$7)/SUM($L$9:$L14))</f>
        <v>0</v>
      </c>
      <c r="AB14" s="115">
        <f t="shared" si="14"/>
        <v>0</v>
      </c>
      <c r="AC14" s="115">
        <f t="shared" si="15"/>
        <v>0</v>
      </c>
      <c r="AD14" s="116">
        <f t="shared" si="16"/>
        <v>0</v>
      </c>
      <c r="AE14" s="117">
        <f t="shared" si="17"/>
        <v>0</v>
      </c>
      <c r="AF14" s="118">
        <f t="shared" si="18"/>
        <v>0</v>
      </c>
      <c r="AG14" s="119" t="str">
        <f t="shared" si="19"/>
        <v/>
      </c>
      <c r="AI14" s="114">
        <f>IF(ROW()&lt;(ROW(Q$10)+AJ$7),"["&amp;$A14&amp;"]", INDEX($L:$L,ROW(Q$10)+AJ$7)/SUM($L$9:$L14))</f>
        <v>2.7855651244020193E-3</v>
      </c>
      <c r="AJ14" s="115">
        <f t="shared" si="20"/>
        <v>52.789244672542665</v>
      </c>
      <c r="AK14" s="115">
        <f t="shared" si="21"/>
        <v>54.427619681657234</v>
      </c>
      <c r="AL14" s="116">
        <f t="shared" si="22"/>
        <v>108.85523936331447</v>
      </c>
      <c r="AM14" s="117">
        <f t="shared" si="23"/>
        <v>109.01566623453527</v>
      </c>
      <c r="AN14" s="118">
        <f t="shared" si="24"/>
        <v>-0.16042687122080679</v>
      </c>
      <c r="AO14" s="119">
        <f t="shared" si="25"/>
        <v>-1.4715946502190421E-3</v>
      </c>
      <c r="AQ14" s="114">
        <f>IF(ROW()&lt;(ROW(Y$10)+AR$7),"["&amp;$A14&amp;"]", INDEX($L:$L,ROW(Y$10)+AR$7)/SUM($L$9:$L14))</f>
        <v>1.3191915993878949E-3</v>
      </c>
      <c r="AR14" s="115">
        <f t="shared" si="26"/>
        <v>24.999999999999996</v>
      </c>
      <c r="AS14" s="115">
        <f t="shared" si="27"/>
        <v>25.775903794076601</v>
      </c>
      <c r="AT14" s="116">
        <f t="shared" si="28"/>
        <v>51.551807588153203</v>
      </c>
      <c r="AU14" s="117">
        <f t="shared" si="29"/>
        <v>51.55180758815321</v>
      </c>
      <c r="AV14" s="118">
        <f t="shared" si="30"/>
        <v>-7.1054273576010019E-15</v>
      </c>
      <c r="AW14" s="119">
        <f t="shared" si="31"/>
        <v>-1.3783080923885692E-16</v>
      </c>
    </row>
    <row r="15" spans="1:50" ht="17" x14ac:dyDescent="0.2">
      <c r="A15" s="102" t="s">
        <v>23</v>
      </c>
      <c r="B15" s="103">
        <f t="shared" si="2"/>
        <v>18951</v>
      </c>
      <c r="C15" s="104">
        <f t="shared" si="2"/>
        <v>19539.16611206183</v>
      </c>
      <c r="D15" s="105">
        <f t="shared" si="4"/>
        <v>1.0310361517630642</v>
      </c>
      <c r="F15" s="5">
        <v>5</v>
      </c>
      <c r="G15" s="106">
        <f t="shared" si="5"/>
        <v>-5.1565412519958045</v>
      </c>
      <c r="H15" s="107">
        <f t="shared" si="6"/>
        <v>1.0313082503991609</v>
      </c>
      <c r="I15" s="6">
        <v>14</v>
      </c>
      <c r="J15" s="13">
        <f t="shared" si="3"/>
        <v>14.442125891818513</v>
      </c>
      <c r="K15" s="108">
        <f t="shared" si="7"/>
        <v>28.884251783637026</v>
      </c>
      <c r="L15" s="109">
        <f>MIN(I15*10^18*SUM($L$8:$L14) / ((B15-F15)*10^18), J15*10^18*SUM($L$8:$L14) / ((C15-G15)*10^18))</f>
        <v>14.21934465738345</v>
      </c>
      <c r="N15" s="110">
        <f t="shared" si="0"/>
        <v>39117.52955841129</v>
      </c>
      <c r="O15" s="111">
        <f>SUM($I$9:$I15)-SUM($F$9:$F15)</f>
        <v>18960</v>
      </c>
      <c r="P15" s="111">
        <f>SUM($J$9:$J15)-SUM($G$9:$G15)</f>
        <v>19558.764779205645</v>
      </c>
      <c r="Q15" s="112">
        <f t="shared" si="1"/>
        <v>7.383966244725738E-4</v>
      </c>
      <c r="R15" s="113"/>
      <c r="S15" s="114">
        <f>IF(ROW()&lt;(ROW(A$10)+T$7),"["&amp;$A15&amp;"]", INDEX($L:$L,ROW(A$10)+T$7)/SUM($L$9:$L15))</f>
        <v>0.50097543899274066</v>
      </c>
      <c r="T15" s="115">
        <f t="shared" si="8"/>
        <v>9498.4943233023623</v>
      </c>
      <c r="U15" s="115">
        <f t="shared" si="9"/>
        <v>9798.4607714183021</v>
      </c>
      <c r="V15" s="116">
        <f t="shared" si="10"/>
        <v>19596.921542836604</v>
      </c>
      <c r="W15" s="117">
        <f t="shared" si="11"/>
        <v>19625.404233644025</v>
      </c>
      <c r="X15" s="118">
        <f t="shared" si="12"/>
        <v>-28.482690807421022</v>
      </c>
      <c r="Y15" s="119">
        <f t="shared" si="13"/>
        <v>-1.4513174082087371E-3</v>
      </c>
      <c r="AA15" s="114">
        <f>IF(ROW()&lt;(ROW(I$10)+AB$7),"["&amp;$A15&amp;"]", INDEX($L:$L,ROW(I$10)+AB$7)/SUM($L$9:$L15))</f>
        <v>0</v>
      </c>
      <c r="AB15" s="115">
        <f t="shared" si="14"/>
        <v>0</v>
      </c>
      <c r="AC15" s="115">
        <f t="shared" si="15"/>
        <v>0</v>
      </c>
      <c r="AD15" s="116">
        <f t="shared" si="16"/>
        <v>0</v>
      </c>
      <c r="AE15" s="117">
        <f t="shared" si="17"/>
        <v>0</v>
      </c>
      <c r="AF15" s="118">
        <f t="shared" si="18"/>
        <v>0</v>
      </c>
      <c r="AG15" s="119" t="str">
        <f t="shared" si="19"/>
        <v/>
      </c>
      <c r="AI15" s="114">
        <f>IF(ROW()&lt;(ROW(Q$10)+AJ$7),"["&amp;$A15&amp;"]", INDEX($L:$L,ROW(Q$10)+AJ$7)/SUM($L$9:$L15))</f>
        <v>2.7835082725169123E-3</v>
      </c>
      <c r="AJ15" s="115">
        <f t="shared" si="20"/>
        <v>52.77531684692066</v>
      </c>
      <c r="AK15" s="115">
        <f t="shared" si="21"/>
        <v>54.44198356313133</v>
      </c>
      <c r="AL15" s="116">
        <f t="shared" si="22"/>
        <v>108.88396712626266</v>
      </c>
      <c r="AM15" s="117">
        <f t="shared" si="23"/>
        <v>109.04287968859106</v>
      </c>
      <c r="AN15" s="118">
        <f t="shared" si="24"/>
        <v>-0.15891256232839623</v>
      </c>
      <c r="AO15" s="119">
        <f t="shared" si="25"/>
        <v>-1.4573401104430201E-3</v>
      </c>
      <c r="AQ15" s="114">
        <f>IF(ROW()&lt;(ROW(Y$10)+AR$7),"["&amp;$A15&amp;"]", INDEX($L:$L,ROW(Y$10)+AR$7)/SUM($L$9:$L15))</f>
        <v>1.3182175127638743E-3</v>
      </c>
      <c r="AR15" s="115">
        <f t="shared" si="26"/>
        <v>24.993404042003057</v>
      </c>
      <c r="AS15" s="115">
        <f t="shared" si="27"/>
        <v>25.782706259978134</v>
      </c>
      <c r="AT15" s="116">
        <f t="shared" si="28"/>
        <v>51.565412519956269</v>
      </c>
      <c r="AU15" s="117">
        <f t="shared" si="29"/>
        <v>51.565414315181094</v>
      </c>
      <c r="AV15" s="118">
        <f t="shared" si="30"/>
        <v>-1.795224825684727E-6</v>
      </c>
      <c r="AW15" s="119">
        <f t="shared" si="31"/>
        <v>-3.4814513749697623E-8</v>
      </c>
    </row>
    <row r="16" spans="1:50" ht="17" x14ac:dyDescent="0.2">
      <c r="A16" s="102" t="s">
        <v>24</v>
      </c>
      <c r="B16" s="103">
        <f t="shared" si="2"/>
        <v>18960</v>
      </c>
      <c r="C16" s="104">
        <f t="shared" si="2"/>
        <v>19558.764779205645</v>
      </c>
      <c r="D16" s="105">
        <f t="shared" si="4"/>
        <v>1.0315804208441797</v>
      </c>
      <c r="F16" s="5">
        <v>-500</v>
      </c>
      <c r="G16" s="106">
        <f t="shared" si="5"/>
        <v>502.53763564248948</v>
      </c>
      <c r="H16" s="107">
        <f t="shared" si="6"/>
        <v>1.0050752712849789</v>
      </c>
      <c r="I16" s="6">
        <v>-1000</v>
      </c>
      <c r="J16" s="13">
        <f t="shared" si="3"/>
        <v>-979.25113790149828</v>
      </c>
      <c r="K16" s="108">
        <f t="shared" si="7"/>
        <v>-1958.5022758029966</v>
      </c>
      <c r="L16" s="109">
        <f>MIN(I16*10^18*SUM($L$8:$L15) / ((B16-F16)*10^18), J16*10^18*SUM($L$8:$L15) / ((C16-G16)*10^18))</f>
        <v>-989.57118890027255</v>
      </c>
      <c r="N16" s="110">
        <f t="shared" si="0"/>
        <v>36153.952011323316</v>
      </c>
      <c r="O16" s="111">
        <f>SUM($I$9:$I16)-SUM($F$9:$F16)</f>
        <v>18460</v>
      </c>
      <c r="P16" s="111">
        <f>SUM($J$9:$J16)-SUM($G$9:$G16)</f>
        <v>18076.976005661658</v>
      </c>
      <c r="Q16" s="112">
        <f t="shared" si="1"/>
        <v>-5.4171180931744313E-2</v>
      </c>
      <c r="R16" s="113"/>
      <c r="S16" s="114">
        <f>IF(ROW()&lt;(ROW(A$10)+T$7),"["&amp;$A16&amp;"]", INDEX($L:$L,ROW(A$10)+T$7)/SUM($L$9:$L16))</f>
        <v>0.52811387014077649</v>
      </c>
      <c r="T16" s="115">
        <f t="shared" si="8"/>
        <v>9748.9820427987343</v>
      </c>
      <c r="U16" s="115">
        <f t="shared" si="9"/>
        <v>9546.7017587919327</v>
      </c>
      <c r="V16" s="116">
        <f t="shared" si="10"/>
        <v>19093.403517583865</v>
      </c>
      <c r="W16" s="117">
        <f t="shared" si="11"/>
        <v>19154.440687159891</v>
      </c>
      <c r="X16" s="118">
        <f t="shared" si="12"/>
        <v>-61.037169576025917</v>
      </c>
      <c r="Y16" s="119">
        <f t="shared" si="13"/>
        <v>-3.1865806249796666E-3</v>
      </c>
      <c r="AA16" s="114">
        <f>IF(ROW()&lt;(ROW(I$10)+AB$7),"["&amp;$A16&amp;"]", INDEX($L:$L,ROW(I$10)+AB$7)/SUM($L$9:$L16))</f>
        <v>0</v>
      </c>
      <c r="AB16" s="115">
        <f t="shared" si="14"/>
        <v>0</v>
      </c>
      <c r="AC16" s="115">
        <f t="shared" si="15"/>
        <v>0</v>
      </c>
      <c r="AD16" s="116">
        <f t="shared" si="16"/>
        <v>0</v>
      </c>
      <c r="AE16" s="117">
        <f t="shared" si="17"/>
        <v>0</v>
      </c>
      <c r="AF16" s="118">
        <f t="shared" si="18"/>
        <v>0</v>
      </c>
      <c r="AG16" s="119" t="str">
        <f t="shared" si="19"/>
        <v/>
      </c>
      <c r="AI16" s="114">
        <f>IF(ROW()&lt;(ROW(Q$10)+AJ$7),"["&amp;$A16&amp;"]", INDEX($L:$L,ROW(Q$10)+AJ$7)/SUM($L$9:$L16))</f>
        <v>2.9342942027724334E-3</v>
      </c>
      <c r="AJ16" s="115">
        <f t="shared" si="20"/>
        <v>54.167070983179123</v>
      </c>
      <c r="AK16" s="115">
        <f t="shared" si="21"/>
        <v>53.043165897069386</v>
      </c>
      <c r="AL16" s="116">
        <f t="shared" si="22"/>
        <v>106.08633179413877</v>
      </c>
      <c r="AM16" s="117">
        <f t="shared" si="23"/>
        <v>106.42641554145698</v>
      </c>
      <c r="AN16" s="118">
        <f t="shared" si="24"/>
        <v>-0.34008374731820368</v>
      </c>
      <c r="AO16" s="119">
        <f t="shared" si="25"/>
        <v>-3.1954824898310012E-3</v>
      </c>
      <c r="AQ16" s="114">
        <f>IF(ROW()&lt;(ROW(Y$10)+AR$7),"["&amp;$A16&amp;"]", INDEX($L:$L,ROW(Y$10)+AR$7)/SUM($L$9:$L16))</f>
        <v>1.3896269121552003E-3</v>
      </c>
      <c r="AR16" s="115">
        <f t="shared" si="26"/>
        <v>25.652512798384997</v>
      </c>
      <c r="AS16" s="115">
        <f t="shared" si="27"/>
        <v>25.120252347851256</v>
      </c>
      <c r="AT16" s="116">
        <f t="shared" si="28"/>
        <v>50.240504695702512</v>
      </c>
      <c r="AU16" s="117">
        <f t="shared" si="29"/>
        <v>50.257182241614061</v>
      </c>
      <c r="AV16" s="118">
        <f t="shared" si="30"/>
        <v>-1.6677545911548464E-2</v>
      </c>
      <c r="AW16" s="119">
        <f t="shared" si="31"/>
        <v>-3.3184403039888467E-4</v>
      </c>
    </row>
    <row r="17" spans="1:49" ht="17" x14ac:dyDescent="0.2">
      <c r="A17" s="102" t="s">
        <v>25</v>
      </c>
      <c r="B17" s="103">
        <f t="shared" si="2"/>
        <v>18460</v>
      </c>
      <c r="C17" s="104">
        <f t="shared" si="2"/>
        <v>18076.976005661658</v>
      </c>
      <c r="D17" s="105">
        <f t="shared" si="4"/>
        <v>0.9792511379014982</v>
      </c>
      <c r="F17" s="5"/>
      <c r="G17" s="106">
        <f t="shared" si="5"/>
        <v>0</v>
      </c>
      <c r="H17" s="107">
        <f t="shared" si="6"/>
        <v>0.9792511379014982</v>
      </c>
      <c r="I17" s="6"/>
      <c r="J17" s="13">
        <f t="shared" si="3"/>
        <v>0</v>
      </c>
      <c r="K17" s="108">
        <f t="shared" si="7"/>
        <v>0</v>
      </c>
      <c r="L17" s="109">
        <f>MIN(I17*10^18*SUM($L$8:$L16) / ((B17-F17)*10^18), J17*10^18*SUM($L$8:$L16) / ((C17-G17)*10^18))</f>
        <v>0</v>
      </c>
      <c r="N17" s="110">
        <f t="shared" si="0"/>
        <v>36153.952011323316</v>
      </c>
      <c r="O17" s="111">
        <f>SUM($I$9:$I17)-SUM($F$9:$F17)</f>
        <v>18460</v>
      </c>
      <c r="P17" s="111">
        <f>SUM($J$9:$J17)-SUM($G$9:$G17)</f>
        <v>18076.976005661658</v>
      </c>
      <c r="Q17" s="112">
        <f t="shared" si="1"/>
        <v>0</v>
      </c>
      <c r="R17" s="113"/>
      <c r="S17" s="114">
        <f>IF(ROW()&lt;(ROW(A$10)+T$7),"["&amp;$A17&amp;"]", INDEX($L:$L,ROW(A$10)+T$7)/SUM($L$9:$L17))</f>
        <v>0.52811387014077649</v>
      </c>
      <c r="T17" s="115">
        <f t="shared" si="8"/>
        <v>9748.9820427987343</v>
      </c>
      <c r="U17" s="115">
        <f t="shared" si="9"/>
        <v>9546.7017587919327</v>
      </c>
      <c r="V17" s="116">
        <f t="shared" si="10"/>
        <v>19093.403517583865</v>
      </c>
      <c r="W17" s="117">
        <f t="shared" si="11"/>
        <v>19154.440687159891</v>
      </c>
      <c r="X17" s="118">
        <f t="shared" si="12"/>
        <v>-61.037169576025917</v>
      </c>
      <c r="Y17" s="119">
        <f t="shared" si="13"/>
        <v>-3.1865806249796666E-3</v>
      </c>
      <c r="AA17" s="114">
        <f>IF(ROW()&lt;(ROW(I$10)+AB$7),"["&amp;$A17&amp;"]", INDEX($L:$L,ROW(I$10)+AB$7)/SUM($L$9:$L17))</f>
        <v>0</v>
      </c>
      <c r="AB17" s="115">
        <f t="shared" si="14"/>
        <v>0</v>
      </c>
      <c r="AC17" s="115">
        <f t="shared" si="15"/>
        <v>0</v>
      </c>
      <c r="AD17" s="116">
        <f t="shared" si="16"/>
        <v>0</v>
      </c>
      <c r="AE17" s="117">
        <f t="shared" si="17"/>
        <v>0</v>
      </c>
      <c r="AF17" s="118">
        <f t="shared" si="18"/>
        <v>0</v>
      </c>
      <c r="AG17" s="119" t="str">
        <f t="shared" si="19"/>
        <v/>
      </c>
      <c r="AI17" s="114">
        <f>IF(ROW()&lt;(ROW(Q$10)+AJ$7),"["&amp;$A17&amp;"]", INDEX($L:$L,ROW(Q$10)+AJ$7)/SUM($L$9:$L17))</f>
        <v>2.9342942027724334E-3</v>
      </c>
      <c r="AJ17" s="115">
        <f t="shared" si="20"/>
        <v>54.167070983179123</v>
      </c>
      <c r="AK17" s="115">
        <f t="shared" si="21"/>
        <v>53.043165897069386</v>
      </c>
      <c r="AL17" s="116">
        <f t="shared" si="22"/>
        <v>106.08633179413877</v>
      </c>
      <c r="AM17" s="117">
        <f t="shared" si="23"/>
        <v>106.42641554145698</v>
      </c>
      <c r="AN17" s="118">
        <f t="shared" si="24"/>
        <v>-0.34008374731820368</v>
      </c>
      <c r="AO17" s="119">
        <f t="shared" si="25"/>
        <v>-3.1954824898310012E-3</v>
      </c>
      <c r="AQ17" s="114">
        <f>IF(ROW()&lt;(ROW(Y$10)+AR$7),"["&amp;$A17&amp;"]", INDEX($L:$L,ROW(Y$10)+AR$7)/SUM($L$9:$L17))</f>
        <v>1.3896269121552003E-3</v>
      </c>
      <c r="AR17" s="115">
        <f t="shared" si="26"/>
        <v>25.652512798384997</v>
      </c>
      <c r="AS17" s="115">
        <f t="shared" si="27"/>
        <v>25.120252347851256</v>
      </c>
      <c r="AT17" s="116">
        <f t="shared" si="28"/>
        <v>50.240504695702512</v>
      </c>
      <c r="AU17" s="117">
        <f t="shared" si="29"/>
        <v>50.257182241614061</v>
      </c>
      <c r="AV17" s="118">
        <f t="shared" si="30"/>
        <v>-1.6677545911548464E-2</v>
      </c>
      <c r="AW17" s="119">
        <f t="shared" si="31"/>
        <v>-3.3184403039888467E-4</v>
      </c>
    </row>
    <row r="18" spans="1:49" ht="17" x14ac:dyDescent="0.2">
      <c r="A18" s="102" t="s">
        <v>26</v>
      </c>
      <c r="B18" s="103">
        <f t="shared" si="2"/>
        <v>18460</v>
      </c>
      <c r="C18" s="104">
        <f t="shared" si="2"/>
        <v>18076.976005661658</v>
      </c>
      <c r="D18" s="105">
        <f t="shared" si="4"/>
        <v>0.9792511379014982</v>
      </c>
      <c r="F18" s="5"/>
      <c r="G18" s="106">
        <f t="shared" si="5"/>
        <v>0</v>
      </c>
      <c r="H18" s="107">
        <f t="shared" si="6"/>
        <v>0.9792511379014982</v>
      </c>
      <c r="I18" s="6"/>
      <c r="J18" s="13">
        <f t="shared" si="3"/>
        <v>0</v>
      </c>
      <c r="K18" s="108">
        <f t="shared" si="7"/>
        <v>0</v>
      </c>
      <c r="L18" s="109">
        <f>MIN(I18*10^18*SUM($L$8:$L17) / ((B18-F18)*10^18), J18*10^18*SUM($L$8:$L17) / ((C18-G18)*10^18))</f>
        <v>0</v>
      </c>
      <c r="N18" s="110">
        <f t="shared" si="0"/>
        <v>36153.952011323316</v>
      </c>
      <c r="O18" s="111">
        <f>SUM($I$9:$I18)-SUM($F$9:$F18)</f>
        <v>18460</v>
      </c>
      <c r="P18" s="111">
        <f>SUM($J$9:$J18)-SUM($G$9:$G18)</f>
        <v>18076.976005661658</v>
      </c>
      <c r="Q18" s="112">
        <f t="shared" si="1"/>
        <v>0</v>
      </c>
      <c r="R18" s="113"/>
      <c r="S18" s="114">
        <f>IF(ROW()&lt;(ROW(A$10)+T$7),"["&amp;$A18&amp;"]", INDEX($L:$L,ROW(A$10)+T$7)/SUM($L$9:$L18))</f>
        <v>0.52811387014077649</v>
      </c>
      <c r="T18" s="115">
        <f t="shared" si="8"/>
        <v>9748.9820427987343</v>
      </c>
      <c r="U18" s="115">
        <f t="shared" si="9"/>
        <v>9546.7017587919327</v>
      </c>
      <c r="V18" s="116">
        <f t="shared" si="10"/>
        <v>19093.403517583865</v>
      </c>
      <c r="W18" s="117">
        <f t="shared" si="11"/>
        <v>19154.440687159891</v>
      </c>
      <c r="X18" s="118">
        <f t="shared" si="12"/>
        <v>-61.037169576025917</v>
      </c>
      <c r="Y18" s="119">
        <f t="shared" si="13"/>
        <v>-3.1865806249796666E-3</v>
      </c>
      <c r="AA18" s="114">
        <f>IF(ROW()&lt;(ROW(I$10)+AB$7),"["&amp;$A18&amp;"]", INDEX($L:$L,ROW(I$10)+AB$7)/SUM($L$9:$L18))</f>
        <v>0</v>
      </c>
      <c r="AB18" s="115">
        <f t="shared" si="14"/>
        <v>0</v>
      </c>
      <c r="AC18" s="115">
        <f t="shared" si="15"/>
        <v>0</v>
      </c>
      <c r="AD18" s="116">
        <f t="shared" si="16"/>
        <v>0</v>
      </c>
      <c r="AE18" s="117">
        <f t="shared" si="17"/>
        <v>0</v>
      </c>
      <c r="AF18" s="118">
        <f t="shared" si="18"/>
        <v>0</v>
      </c>
      <c r="AG18" s="119" t="str">
        <f t="shared" si="19"/>
        <v/>
      </c>
      <c r="AI18" s="114">
        <f>IF(ROW()&lt;(ROW(Q$10)+AJ$7),"["&amp;$A18&amp;"]", INDEX($L:$L,ROW(Q$10)+AJ$7)/SUM($L$9:$L18))</f>
        <v>2.9342942027724334E-3</v>
      </c>
      <c r="AJ18" s="115">
        <f t="shared" si="20"/>
        <v>54.167070983179123</v>
      </c>
      <c r="AK18" s="115">
        <f t="shared" si="21"/>
        <v>53.043165897069386</v>
      </c>
      <c r="AL18" s="116">
        <f t="shared" si="22"/>
        <v>106.08633179413877</v>
      </c>
      <c r="AM18" s="117">
        <f t="shared" si="23"/>
        <v>106.42641554145698</v>
      </c>
      <c r="AN18" s="118">
        <f t="shared" si="24"/>
        <v>-0.34008374731820368</v>
      </c>
      <c r="AO18" s="119">
        <f t="shared" si="25"/>
        <v>-3.1954824898310012E-3</v>
      </c>
      <c r="AQ18" s="114">
        <f>IF(ROW()&lt;(ROW(Y$10)+AR$7),"["&amp;$A18&amp;"]", INDEX($L:$L,ROW(Y$10)+AR$7)/SUM($L$9:$L18))</f>
        <v>1.3896269121552003E-3</v>
      </c>
      <c r="AR18" s="115">
        <f t="shared" si="26"/>
        <v>25.652512798384997</v>
      </c>
      <c r="AS18" s="115">
        <f t="shared" si="27"/>
        <v>25.120252347851256</v>
      </c>
      <c r="AT18" s="116">
        <f t="shared" si="28"/>
        <v>50.240504695702512</v>
      </c>
      <c r="AU18" s="117">
        <f t="shared" si="29"/>
        <v>50.257182241614061</v>
      </c>
      <c r="AV18" s="118">
        <f t="shared" si="30"/>
        <v>-1.6677545911548464E-2</v>
      </c>
      <c r="AW18" s="119">
        <f t="shared" si="31"/>
        <v>-3.3184403039888467E-4</v>
      </c>
    </row>
    <row r="19" spans="1:49" ht="17" x14ac:dyDescent="0.2">
      <c r="A19" s="102" t="s">
        <v>27</v>
      </c>
      <c r="B19" s="103">
        <f t="shared" si="2"/>
        <v>18460</v>
      </c>
      <c r="C19" s="104">
        <f t="shared" si="2"/>
        <v>18076.976005661658</v>
      </c>
      <c r="D19" s="105">
        <f t="shared" si="4"/>
        <v>0.9792511379014982</v>
      </c>
      <c r="F19" s="5"/>
      <c r="G19" s="106">
        <f t="shared" si="5"/>
        <v>0</v>
      </c>
      <c r="H19" s="107">
        <f t="shared" si="6"/>
        <v>0.9792511379014982</v>
      </c>
      <c r="I19" s="6"/>
      <c r="J19" s="13">
        <f t="shared" si="3"/>
        <v>0</v>
      </c>
      <c r="K19" s="108">
        <f t="shared" si="7"/>
        <v>0</v>
      </c>
      <c r="L19" s="109">
        <f>MIN(I19*10^18*SUM($L$8:$L18) / ((B19-F19)*10^18), J19*10^18*SUM($L$8:$L18) / ((C19-G19)*10^18))</f>
        <v>0</v>
      </c>
      <c r="N19" s="110">
        <f t="shared" si="0"/>
        <v>36153.952011323316</v>
      </c>
      <c r="O19" s="111">
        <f>SUM($I$9:$I19)-SUM($F$9:$F19)</f>
        <v>18460</v>
      </c>
      <c r="P19" s="111">
        <f>SUM($J$9:$J19)-SUM($G$9:$G19)</f>
        <v>18076.976005661658</v>
      </c>
      <c r="Q19" s="112">
        <f t="shared" si="1"/>
        <v>0</v>
      </c>
      <c r="R19" s="113"/>
      <c r="S19" s="114">
        <f>IF(ROW()&lt;(ROW(A$10)+T$7),"["&amp;$A19&amp;"]", INDEX($L:$L,ROW(A$10)+T$7)/SUM($L$9:$L19))</f>
        <v>0.52811387014077649</v>
      </c>
      <c r="T19" s="115">
        <f t="shared" si="8"/>
        <v>9748.9820427987343</v>
      </c>
      <c r="U19" s="115">
        <f t="shared" si="9"/>
        <v>9546.7017587919327</v>
      </c>
      <c r="V19" s="116">
        <f t="shared" si="10"/>
        <v>19093.403517583865</v>
      </c>
      <c r="W19" s="117">
        <f t="shared" si="11"/>
        <v>19154.440687159891</v>
      </c>
      <c r="X19" s="118">
        <f t="shared" si="12"/>
        <v>-61.037169576025917</v>
      </c>
      <c r="Y19" s="119">
        <f t="shared" si="13"/>
        <v>-3.1865806249796666E-3</v>
      </c>
      <c r="AA19" s="114">
        <f>IF(ROW()&lt;(ROW(I$10)+AB$7),"["&amp;$A19&amp;"]", INDEX($L:$L,ROW(I$10)+AB$7)/SUM($L$9:$L19))</f>
        <v>0</v>
      </c>
      <c r="AB19" s="115">
        <f t="shared" si="14"/>
        <v>0</v>
      </c>
      <c r="AC19" s="115">
        <f t="shared" si="15"/>
        <v>0</v>
      </c>
      <c r="AD19" s="116">
        <f t="shared" si="16"/>
        <v>0</v>
      </c>
      <c r="AE19" s="117">
        <f t="shared" si="17"/>
        <v>0</v>
      </c>
      <c r="AF19" s="118">
        <f t="shared" si="18"/>
        <v>0</v>
      </c>
      <c r="AG19" s="119" t="str">
        <f t="shared" si="19"/>
        <v/>
      </c>
      <c r="AI19" s="114">
        <f>IF(ROW()&lt;(ROW(Q$10)+AJ$7),"["&amp;$A19&amp;"]", INDEX($L:$L,ROW(Q$10)+AJ$7)/SUM($L$9:$L19))</f>
        <v>2.9342942027724334E-3</v>
      </c>
      <c r="AJ19" s="115">
        <f t="shared" si="20"/>
        <v>54.167070983179123</v>
      </c>
      <c r="AK19" s="115">
        <f t="shared" si="21"/>
        <v>53.043165897069386</v>
      </c>
      <c r="AL19" s="116">
        <f t="shared" si="22"/>
        <v>106.08633179413877</v>
      </c>
      <c r="AM19" s="117">
        <f t="shared" si="23"/>
        <v>106.42641554145698</v>
      </c>
      <c r="AN19" s="118">
        <f t="shared" si="24"/>
        <v>-0.34008374731820368</v>
      </c>
      <c r="AO19" s="119">
        <f t="shared" si="25"/>
        <v>-3.1954824898310012E-3</v>
      </c>
      <c r="AQ19" s="114">
        <f>IF(ROW()&lt;(ROW(Y$10)+AR$7),"["&amp;$A19&amp;"]", INDEX($L:$L,ROW(Y$10)+AR$7)/SUM($L$9:$L19))</f>
        <v>1.3896269121552003E-3</v>
      </c>
      <c r="AR19" s="115">
        <f t="shared" si="26"/>
        <v>25.652512798384997</v>
      </c>
      <c r="AS19" s="115">
        <f t="shared" si="27"/>
        <v>25.120252347851256</v>
      </c>
      <c r="AT19" s="116">
        <f t="shared" si="28"/>
        <v>50.240504695702512</v>
      </c>
      <c r="AU19" s="117">
        <f t="shared" si="29"/>
        <v>50.257182241614061</v>
      </c>
      <c r="AV19" s="118">
        <f t="shared" si="30"/>
        <v>-1.6677545911548464E-2</v>
      </c>
      <c r="AW19" s="119">
        <f t="shared" si="31"/>
        <v>-3.3184403039888467E-4</v>
      </c>
    </row>
    <row r="20" spans="1:49" ht="17" x14ac:dyDescent="0.2">
      <c r="A20" s="102" t="s">
        <v>28</v>
      </c>
      <c r="B20" s="103">
        <f t="shared" si="2"/>
        <v>18460</v>
      </c>
      <c r="C20" s="104">
        <f t="shared" si="2"/>
        <v>18076.976005661658</v>
      </c>
      <c r="D20" s="105">
        <f t="shared" si="4"/>
        <v>0.9792511379014982</v>
      </c>
      <c r="F20" s="5"/>
      <c r="G20" s="106">
        <f t="shared" si="5"/>
        <v>0</v>
      </c>
      <c r="H20" s="107">
        <f t="shared" si="6"/>
        <v>0.9792511379014982</v>
      </c>
      <c r="I20" s="6"/>
      <c r="J20" s="13">
        <f t="shared" si="3"/>
        <v>0</v>
      </c>
      <c r="K20" s="108">
        <f t="shared" si="7"/>
        <v>0</v>
      </c>
      <c r="L20" s="109">
        <f>MIN(I20*10^18*SUM($L$8:$L19) / ((B20-F20)*10^18), J20*10^18*SUM($L$8:$L19) / ((C20-G20)*10^18))</f>
        <v>0</v>
      </c>
      <c r="N20" s="110">
        <f t="shared" si="0"/>
        <v>36153.952011323316</v>
      </c>
      <c r="O20" s="111">
        <f>SUM($I$9:$I20)-SUM($F$9:$F20)</f>
        <v>18460</v>
      </c>
      <c r="P20" s="111">
        <f>SUM($J$9:$J20)-SUM($G$9:$G20)</f>
        <v>18076.976005661658</v>
      </c>
      <c r="Q20" s="112">
        <f t="shared" si="1"/>
        <v>0</v>
      </c>
      <c r="R20" s="113"/>
      <c r="S20" s="114">
        <f>IF(ROW()&lt;(ROW(A$10)+T$7),"["&amp;$A20&amp;"]", INDEX($L:$L,ROW(A$10)+T$7)/SUM($L$9:$L20))</f>
        <v>0.52811387014077649</v>
      </c>
      <c r="T20" s="115">
        <f t="shared" si="8"/>
        <v>9748.9820427987343</v>
      </c>
      <c r="U20" s="115">
        <f t="shared" si="9"/>
        <v>9546.7017587919327</v>
      </c>
      <c r="V20" s="116">
        <f t="shared" si="10"/>
        <v>19093.403517583865</v>
      </c>
      <c r="W20" s="117">
        <f t="shared" si="11"/>
        <v>19154.440687159891</v>
      </c>
      <c r="X20" s="118">
        <f t="shared" si="12"/>
        <v>-61.037169576025917</v>
      </c>
      <c r="Y20" s="119">
        <f t="shared" si="13"/>
        <v>-3.1865806249796666E-3</v>
      </c>
      <c r="AA20" s="114">
        <f>IF(ROW()&lt;(ROW(I$10)+AB$7),"["&amp;$A20&amp;"]", INDEX($L:$L,ROW(I$10)+AB$7)/SUM($L$9:$L20))</f>
        <v>0</v>
      </c>
      <c r="AB20" s="115">
        <f t="shared" si="14"/>
        <v>0</v>
      </c>
      <c r="AC20" s="115">
        <f t="shared" si="15"/>
        <v>0</v>
      </c>
      <c r="AD20" s="116">
        <f t="shared" si="16"/>
        <v>0</v>
      </c>
      <c r="AE20" s="117">
        <f t="shared" si="17"/>
        <v>0</v>
      </c>
      <c r="AF20" s="118">
        <f t="shared" si="18"/>
        <v>0</v>
      </c>
      <c r="AG20" s="119" t="str">
        <f t="shared" si="19"/>
        <v/>
      </c>
      <c r="AI20" s="114">
        <f>IF(ROW()&lt;(ROW(Q$10)+AJ$7),"["&amp;$A20&amp;"]", INDEX($L:$L,ROW(Q$10)+AJ$7)/SUM($L$9:$L20))</f>
        <v>2.9342942027724334E-3</v>
      </c>
      <c r="AJ20" s="115">
        <f t="shared" si="20"/>
        <v>54.167070983179123</v>
      </c>
      <c r="AK20" s="115">
        <f t="shared" si="21"/>
        <v>53.043165897069386</v>
      </c>
      <c r="AL20" s="116">
        <f t="shared" si="22"/>
        <v>106.08633179413877</v>
      </c>
      <c r="AM20" s="117">
        <f t="shared" si="23"/>
        <v>106.42641554145698</v>
      </c>
      <c r="AN20" s="118">
        <f t="shared" si="24"/>
        <v>-0.34008374731820368</v>
      </c>
      <c r="AO20" s="119">
        <f t="shared" si="25"/>
        <v>-3.1954824898310012E-3</v>
      </c>
      <c r="AQ20" s="114">
        <f>IF(ROW()&lt;(ROW(Y$10)+AR$7),"["&amp;$A20&amp;"]", INDEX($L:$L,ROW(Y$10)+AR$7)/SUM($L$9:$L20))</f>
        <v>1.3896269121552003E-3</v>
      </c>
      <c r="AR20" s="115">
        <f t="shared" si="26"/>
        <v>25.652512798384997</v>
      </c>
      <c r="AS20" s="115">
        <f t="shared" si="27"/>
        <v>25.120252347851256</v>
      </c>
      <c r="AT20" s="116">
        <f t="shared" si="28"/>
        <v>50.240504695702512</v>
      </c>
      <c r="AU20" s="117">
        <f t="shared" si="29"/>
        <v>50.257182241614061</v>
      </c>
      <c r="AV20" s="118">
        <f t="shared" si="30"/>
        <v>-1.6677545911548464E-2</v>
      </c>
      <c r="AW20" s="119">
        <f t="shared" si="31"/>
        <v>-3.3184403039888467E-4</v>
      </c>
    </row>
    <row r="21" spans="1:49" ht="17" x14ac:dyDescent="0.2">
      <c r="A21" s="102" t="s">
        <v>29</v>
      </c>
      <c r="B21" s="103">
        <f t="shared" si="2"/>
        <v>18460</v>
      </c>
      <c r="C21" s="104">
        <f t="shared" si="2"/>
        <v>18076.976005661658</v>
      </c>
      <c r="D21" s="105">
        <f t="shared" si="4"/>
        <v>0.9792511379014982</v>
      </c>
      <c r="F21" s="5"/>
      <c r="G21" s="106">
        <f t="shared" si="5"/>
        <v>0</v>
      </c>
      <c r="H21" s="107">
        <f t="shared" si="6"/>
        <v>0.9792511379014982</v>
      </c>
      <c r="I21" s="6"/>
      <c r="J21" s="13">
        <f t="shared" si="3"/>
        <v>0</v>
      </c>
      <c r="K21" s="108">
        <f t="shared" si="7"/>
        <v>0</v>
      </c>
      <c r="L21" s="109">
        <f>MIN(I21*10^18*SUM($L$8:$L20) / ((B21-F21)*10^18), J21*10^18*SUM($L$8:$L20) / ((C21-G21)*10^18))</f>
        <v>0</v>
      </c>
      <c r="N21" s="110">
        <f t="shared" si="0"/>
        <v>36153.952011323316</v>
      </c>
      <c r="O21" s="111">
        <f>SUM($I$9:$I21)-SUM($F$9:$F21)</f>
        <v>18460</v>
      </c>
      <c r="P21" s="111">
        <f>SUM($J$9:$J21)-SUM($G$9:$G21)</f>
        <v>18076.976005661658</v>
      </c>
      <c r="Q21" s="112">
        <f t="shared" si="1"/>
        <v>0</v>
      </c>
      <c r="R21" s="113"/>
      <c r="S21" s="114">
        <f>IF(ROW()&lt;(ROW(A$10)+T$7),"["&amp;$A21&amp;"]", INDEX($L:$L,ROW(A$10)+T$7)/SUM($L$9:$L21))</f>
        <v>0.52811387014077649</v>
      </c>
      <c r="T21" s="115">
        <f t="shared" si="8"/>
        <v>9748.9820427987343</v>
      </c>
      <c r="U21" s="115">
        <f t="shared" si="9"/>
        <v>9546.7017587919327</v>
      </c>
      <c r="V21" s="116">
        <f t="shared" si="10"/>
        <v>19093.403517583865</v>
      </c>
      <c r="W21" s="117">
        <f t="shared" si="11"/>
        <v>19154.440687159891</v>
      </c>
      <c r="X21" s="118">
        <f t="shared" si="12"/>
        <v>-61.037169576025917</v>
      </c>
      <c r="Y21" s="119">
        <f t="shared" si="13"/>
        <v>-3.1865806249796666E-3</v>
      </c>
      <c r="AA21" s="114">
        <f>IF(ROW()&lt;(ROW(I$10)+AB$7),"["&amp;$A21&amp;"]", INDEX($L:$L,ROW(I$10)+AB$7)/SUM($L$9:$L21))</f>
        <v>0</v>
      </c>
      <c r="AB21" s="115">
        <f t="shared" si="14"/>
        <v>0</v>
      </c>
      <c r="AC21" s="115">
        <f t="shared" si="15"/>
        <v>0</v>
      </c>
      <c r="AD21" s="116">
        <f t="shared" si="16"/>
        <v>0</v>
      </c>
      <c r="AE21" s="117">
        <f t="shared" si="17"/>
        <v>0</v>
      </c>
      <c r="AF21" s="118">
        <f t="shared" si="18"/>
        <v>0</v>
      </c>
      <c r="AG21" s="119" t="str">
        <f t="shared" si="19"/>
        <v/>
      </c>
      <c r="AI21" s="114">
        <f>IF(ROW()&lt;(ROW(Q$10)+AJ$7),"["&amp;$A21&amp;"]", INDEX($L:$L,ROW(Q$10)+AJ$7)/SUM($L$9:$L21))</f>
        <v>2.9342942027724334E-3</v>
      </c>
      <c r="AJ21" s="115">
        <f t="shared" si="20"/>
        <v>54.167070983179123</v>
      </c>
      <c r="AK21" s="115">
        <f t="shared" si="21"/>
        <v>53.043165897069386</v>
      </c>
      <c r="AL21" s="116">
        <f t="shared" si="22"/>
        <v>106.08633179413877</v>
      </c>
      <c r="AM21" s="117">
        <f t="shared" si="23"/>
        <v>106.42641554145698</v>
      </c>
      <c r="AN21" s="118">
        <f t="shared" si="24"/>
        <v>-0.34008374731820368</v>
      </c>
      <c r="AO21" s="119">
        <f t="shared" si="25"/>
        <v>-3.1954824898310012E-3</v>
      </c>
      <c r="AQ21" s="114">
        <f>IF(ROW()&lt;(ROW(Y$10)+AR$7),"["&amp;$A21&amp;"]", INDEX($L:$L,ROW(Y$10)+AR$7)/SUM($L$9:$L21))</f>
        <v>1.3896269121552003E-3</v>
      </c>
      <c r="AR21" s="115">
        <f t="shared" si="26"/>
        <v>25.652512798384997</v>
      </c>
      <c r="AS21" s="115">
        <f t="shared" si="27"/>
        <v>25.120252347851256</v>
      </c>
      <c r="AT21" s="116">
        <f t="shared" si="28"/>
        <v>50.240504695702512</v>
      </c>
      <c r="AU21" s="117">
        <f t="shared" si="29"/>
        <v>50.257182241614061</v>
      </c>
      <c r="AV21" s="118">
        <f t="shared" si="30"/>
        <v>-1.6677545911548464E-2</v>
      </c>
      <c r="AW21" s="119">
        <f t="shared" si="31"/>
        <v>-3.3184403039888467E-4</v>
      </c>
    </row>
    <row r="22" spans="1:49" ht="17" x14ac:dyDescent="0.2">
      <c r="A22" s="102" t="s">
        <v>30</v>
      </c>
      <c r="B22" s="103">
        <f t="shared" si="2"/>
        <v>18460</v>
      </c>
      <c r="C22" s="104">
        <f t="shared" si="2"/>
        <v>18076.976005661658</v>
      </c>
      <c r="D22" s="105">
        <f t="shared" si="4"/>
        <v>0.9792511379014982</v>
      </c>
      <c r="F22" s="5"/>
      <c r="G22" s="106">
        <f t="shared" si="5"/>
        <v>0</v>
      </c>
      <c r="H22" s="107">
        <f t="shared" si="6"/>
        <v>0.9792511379014982</v>
      </c>
      <c r="I22" s="6"/>
      <c r="J22" s="13">
        <f t="shared" si="3"/>
        <v>0</v>
      </c>
      <c r="K22" s="108">
        <f t="shared" si="7"/>
        <v>0</v>
      </c>
      <c r="L22" s="109">
        <f>MIN(I22*10^18*SUM($L$8:$L21) / ((B22-F22)*10^18), J22*10^18*SUM($L$8:$L21) / ((C22-G22)*10^18))</f>
        <v>0</v>
      </c>
      <c r="N22" s="110">
        <f t="shared" si="0"/>
        <v>36153.952011323316</v>
      </c>
      <c r="O22" s="111">
        <f>SUM($I$9:$I22)-SUM($F$9:$F22)</f>
        <v>18460</v>
      </c>
      <c r="P22" s="111">
        <f>SUM($J$9:$J22)-SUM($G$9:$G22)</f>
        <v>18076.976005661658</v>
      </c>
      <c r="Q22" s="112">
        <f t="shared" si="1"/>
        <v>0</v>
      </c>
      <c r="R22" s="113"/>
      <c r="S22" s="114">
        <f>IF(ROW()&lt;(ROW(A$10)+T$7),"["&amp;$A22&amp;"]", INDEX($L:$L,ROW(A$10)+T$7)/SUM($L$9:$L22))</f>
        <v>0.52811387014077649</v>
      </c>
      <c r="T22" s="115">
        <f t="shared" si="8"/>
        <v>9748.9820427987343</v>
      </c>
      <c r="U22" s="115">
        <f t="shared" si="9"/>
        <v>9546.7017587919327</v>
      </c>
      <c r="V22" s="116">
        <f t="shared" si="10"/>
        <v>19093.403517583865</v>
      </c>
      <c r="W22" s="117">
        <f t="shared" si="11"/>
        <v>19154.440687159891</v>
      </c>
      <c r="X22" s="118">
        <f t="shared" si="12"/>
        <v>-61.037169576025917</v>
      </c>
      <c r="Y22" s="119">
        <f t="shared" si="13"/>
        <v>-3.1865806249796666E-3</v>
      </c>
      <c r="AA22" s="114">
        <f>IF(ROW()&lt;(ROW(I$10)+AB$7),"["&amp;$A22&amp;"]", INDEX($L:$L,ROW(I$10)+AB$7)/SUM($L$9:$L22))</f>
        <v>0</v>
      </c>
      <c r="AB22" s="115">
        <f t="shared" si="14"/>
        <v>0</v>
      </c>
      <c r="AC22" s="115">
        <f t="shared" si="15"/>
        <v>0</v>
      </c>
      <c r="AD22" s="116">
        <f t="shared" si="16"/>
        <v>0</v>
      </c>
      <c r="AE22" s="117">
        <f t="shared" si="17"/>
        <v>0</v>
      </c>
      <c r="AF22" s="118">
        <f t="shared" si="18"/>
        <v>0</v>
      </c>
      <c r="AG22" s="119" t="str">
        <f t="shared" si="19"/>
        <v/>
      </c>
      <c r="AI22" s="114">
        <f>IF(ROW()&lt;(ROW(Q$10)+AJ$7),"["&amp;$A22&amp;"]", INDEX($L:$L,ROW(Q$10)+AJ$7)/SUM($L$9:$L22))</f>
        <v>2.9342942027724334E-3</v>
      </c>
      <c r="AJ22" s="115">
        <f t="shared" si="20"/>
        <v>54.167070983179123</v>
      </c>
      <c r="AK22" s="115">
        <f t="shared" si="21"/>
        <v>53.043165897069386</v>
      </c>
      <c r="AL22" s="116">
        <f t="shared" si="22"/>
        <v>106.08633179413877</v>
      </c>
      <c r="AM22" s="117">
        <f t="shared" si="23"/>
        <v>106.42641554145698</v>
      </c>
      <c r="AN22" s="118">
        <f t="shared" si="24"/>
        <v>-0.34008374731820368</v>
      </c>
      <c r="AO22" s="119">
        <f t="shared" si="25"/>
        <v>-3.1954824898310012E-3</v>
      </c>
      <c r="AQ22" s="114">
        <f>IF(ROW()&lt;(ROW(Y$10)+AR$7),"["&amp;$A22&amp;"]", INDEX($L:$L,ROW(Y$10)+AR$7)/SUM($L$9:$L22))</f>
        <v>1.3896269121552003E-3</v>
      </c>
      <c r="AR22" s="115">
        <f t="shared" si="26"/>
        <v>25.652512798384997</v>
      </c>
      <c r="AS22" s="115">
        <f t="shared" si="27"/>
        <v>25.120252347851256</v>
      </c>
      <c r="AT22" s="116">
        <f t="shared" si="28"/>
        <v>50.240504695702512</v>
      </c>
      <c r="AU22" s="117">
        <f t="shared" si="29"/>
        <v>50.257182241614061</v>
      </c>
      <c r="AV22" s="118">
        <f t="shared" si="30"/>
        <v>-1.6677545911548464E-2</v>
      </c>
      <c r="AW22" s="119">
        <f t="shared" si="31"/>
        <v>-3.3184403039888467E-4</v>
      </c>
    </row>
    <row r="23" spans="1:49" ht="17" x14ac:dyDescent="0.2">
      <c r="A23" s="102" t="s">
        <v>31</v>
      </c>
      <c r="B23" s="103">
        <f t="shared" si="2"/>
        <v>18460</v>
      </c>
      <c r="C23" s="104">
        <f t="shared" si="2"/>
        <v>18076.976005661658</v>
      </c>
      <c r="D23" s="105">
        <f t="shared" si="4"/>
        <v>0.9792511379014982</v>
      </c>
      <c r="F23" s="5"/>
      <c r="G23" s="106">
        <f t="shared" si="5"/>
        <v>0</v>
      </c>
      <c r="H23" s="107">
        <f t="shared" si="6"/>
        <v>0.9792511379014982</v>
      </c>
      <c r="I23" s="6"/>
      <c r="J23" s="13">
        <f t="shared" si="3"/>
        <v>0</v>
      </c>
      <c r="K23" s="108">
        <f t="shared" si="7"/>
        <v>0</v>
      </c>
      <c r="L23" s="109">
        <f>MIN(I23*10^18*SUM($L$8:$L22) / ((B23-F23)*10^18), J23*10^18*SUM($L$8:$L22) / ((C23-G23)*10^18))</f>
        <v>0</v>
      </c>
      <c r="N23" s="110">
        <f t="shared" si="0"/>
        <v>36153.952011323316</v>
      </c>
      <c r="O23" s="111">
        <f>SUM($I$9:$I23)-SUM($F$9:$F23)</f>
        <v>18460</v>
      </c>
      <c r="P23" s="111">
        <f>SUM($J$9:$J23)-SUM($G$9:$G23)</f>
        <v>18076.976005661658</v>
      </c>
      <c r="Q23" s="112">
        <f t="shared" si="1"/>
        <v>0</v>
      </c>
      <c r="R23" s="113"/>
      <c r="S23" s="114">
        <f>IF(ROW()&lt;(ROW(A$10)+T$7),"["&amp;$A23&amp;"]", INDEX($L:$L,ROW(A$10)+T$7)/SUM($L$9:$L23))</f>
        <v>0.52811387014077649</v>
      </c>
      <c r="T23" s="115">
        <f t="shared" si="8"/>
        <v>9748.9820427987343</v>
      </c>
      <c r="U23" s="115">
        <f t="shared" si="9"/>
        <v>9546.7017587919327</v>
      </c>
      <c r="V23" s="116">
        <f t="shared" si="10"/>
        <v>19093.403517583865</v>
      </c>
      <c r="W23" s="117">
        <f t="shared" si="11"/>
        <v>19154.440687159891</v>
      </c>
      <c r="X23" s="118">
        <f t="shared" si="12"/>
        <v>-61.037169576025917</v>
      </c>
      <c r="Y23" s="119">
        <f t="shared" si="13"/>
        <v>-3.1865806249796666E-3</v>
      </c>
      <c r="AA23" s="114">
        <f>IF(ROW()&lt;(ROW(I$10)+AB$7),"["&amp;$A23&amp;"]", INDEX($L:$L,ROW(I$10)+AB$7)/SUM($L$9:$L23))</f>
        <v>0</v>
      </c>
      <c r="AB23" s="115">
        <f t="shared" si="14"/>
        <v>0</v>
      </c>
      <c r="AC23" s="115">
        <f t="shared" si="15"/>
        <v>0</v>
      </c>
      <c r="AD23" s="116">
        <f t="shared" si="16"/>
        <v>0</v>
      </c>
      <c r="AE23" s="117">
        <f t="shared" si="17"/>
        <v>0</v>
      </c>
      <c r="AF23" s="118">
        <f t="shared" si="18"/>
        <v>0</v>
      </c>
      <c r="AG23" s="119" t="str">
        <f t="shared" si="19"/>
        <v/>
      </c>
      <c r="AI23" s="114">
        <f>IF(ROW()&lt;(ROW(Q$10)+AJ$7),"["&amp;$A23&amp;"]", INDEX($L:$L,ROW(Q$10)+AJ$7)/SUM($L$9:$L23))</f>
        <v>2.9342942027724334E-3</v>
      </c>
      <c r="AJ23" s="115">
        <f t="shared" si="20"/>
        <v>54.167070983179123</v>
      </c>
      <c r="AK23" s="115">
        <f t="shared" si="21"/>
        <v>53.043165897069386</v>
      </c>
      <c r="AL23" s="116">
        <f t="shared" si="22"/>
        <v>106.08633179413877</v>
      </c>
      <c r="AM23" s="117">
        <f t="shared" si="23"/>
        <v>106.42641554145698</v>
      </c>
      <c r="AN23" s="118">
        <f t="shared" si="24"/>
        <v>-0.34008374731820368</v>
      </c>
      <c r="AO23" s="119">
        <f t="shared" si="25"/>
        <v>-3.1954824898310012E-3</v>
      </c>
      <c r="AQ23" s="114">
        <f>IF(ROW()&lt;(ROW(Y$10)+AR$7),"["&amp;$A23&amp;"]", INDEX($L:$L,ROW(Y$10)+AR$7)/SUM($L$9:$L23))</f>
        <v>1.3896269121552003E-3</v>
      </c>
      <c r="AR23" s="115">
        <f t="shared" si="26"/>
        <v>25.652512798384997</v>
      </c>
      <c r="AS23" s="115">
        <f t="shared" si="27"/>
        <v>25.120252347851256</v>
      </c>
      <c r="AT23" s="116">
        <f t="shared" si="28"/>
        <v>50.240504695702512</v>
      </c>
      <c r="AU23" s="117">
        <f t="shared" si="29"/>
        <v>50.257182241614061</v>
      </c>
      <c r="AV23" s="118">
        <f t="shared" si="30"/>
        <v>-1.6677545911548464E-2</v>
      </c>
      <c r="AW23" s="119">
        <f t="shared" si="31"/>
        <v>-3.3184403039888467E-4</v>
      </c>
    </row>
    <row r="24" spans="1:49" ht="17" x14ac:dyDescent="0.2">
      <c r="A24" s="102" t="s">
        <v>32</v>
      </c>
      <c r="B24" s="103">
        <f t="shared" si="2"/>
        <v>18460</v>
      </c>
      <c r="C24" s="104">
        <f t="shared" si="2"/>
        <v>18076.976005661658</v>
      </c>
      <c r="D24" s="105">
        <f t="shared" si="4"/>
        <v>0.9792511379014982</v>
      </c>
      <c r="F24" s="5"/>
      <c r="G24" s="106">
        <f t="shared" si="5"/>
        <v>0</v>
      </c>
      <c r="H24" s="107">
        <f t="shared" si="6"/>
        <v>0.9792511379014982</v>
      </c>
      <c r="I24" s="6"/>
      <c r="J24" s="13">
        <f t="shared" si="3"/>
        <v>0</v>
      </c>
      <c r="K24" s="108">
        <f t="shared" si="7"/>
        <v>0</v>
      </c>
      <c r="L24" s="109">
        <f>MIN(I24*10^18*SUM($L$8:$L23) / ((B24-F24)*10^18), J24*10^18*SUM($L$8:$L23) / ((C24-G24)*10^18))</f>
        <v>0</v>
      </c>
      <c r="N24" s="110">
        <f t="shared" si="0"/>
        <v>36153.952011323316</v>
      </c>
      <c r="O24" s="111">
        <f>SUM($I$9:$I24)-SUM($F$9:$F24)</f>
        <v>18460</v>
      </c>
      <c r="P24" s="111">
        <f>SUM($J$9:$J24)-SUM($G$9:$G24)</f>
        <v>18076.976005661658</v>
      </c>
      <c r="Q24" s="112">
        <f t="shared" si="1"/>
        <v>0</v>
      </c>
      <c r="R24" s="113"/>
      <c r="S24" s="114">
        <f>IF(ROW()&lt;(ROW(A$10)+T$7),"["&amp;$A24&amp;"]", INDEX($L:$L,ROW(A$10)+T$7)/SUM($L$9:$L24))</f>
        <v>0.52811387014077649</v>
      </c>
      <c r="T24" s="115">
        <f t="shared" si="8"/>
        <v>9748.9820427987343</v>
      </c>
      <c r="U24" s="115">
        <f t="shared" si="9"/>
        <v>9546.7017587919327</v>
      </c>
      <c r="V24" s="116">
        <f t="shared" si="10"/>
        <v>19093.403517583865</v>
      </c>
      <c r="W24" s="117">
        <f t="shared" si="11"/>
        <v>19154.440687159891</v>
      </c>
      <c r="X24" s="118">
        <f t="shared" si="12"/>
        <v>-61.037169576025917</v>
      </c>
      <c r="Y24" s="119">
        <f t="shared" si="13"/>
        <v>-3.1865806249796666E-3</v>
      </c>
      <c r="AA24" s="114">
        <f>IF(ROW()&lt;(ROW(I$10)+AB$7),"["&amp;$A24&amp;"]", INDEX($L:$L,ROW(I$10)+AB$7)/SUM($L$9:$L24))</f>
        <v>0</v>
      </c>
      <c r="AB24" s="115">
        <f t="shared" si="14"/>
        <v>0</v>
      </c>
      <c r="AC24" s="115">
        <f t="shared" si="15"/>
        <v>0</v>
      </c>
      <c r="AD24" s="116">
        <f t="shared" si="16"/>
        <v>0</v>
      </c>
      <c r="AE24" s="117">
        <f t="shared" si="17"/>
        <v>0</v>
      </c>
      <c r="AF24" s="118">
        <f t="shared" si="18"/>
        <v>0</v>
      </c>
      <c r="AG24" s="119" t="str">
        <f t="shared" si="19"/>
        <v/>
      </c>
      <c r="AI24" s="114">
        <f>IF(ROW()&lt;(ROW(Q$10)+AJ$7),"["&amp;$A24&amp;"]", INDEX($L:$L,ROW(Q$10)+AJ$7)/SUM($L$9:$L24))</f>
        <v>2.9342942027724334E-3</v>
      </c>
      <c r="AJ24" s="115">
        <f t="shared" si="20"/>
        <v>54.167070983179123</v>
      </c>
      <c r="AK24" s="115">
        <f t="shared" si="21"/>
        <v>53.043165897069386</v>
      </c>
      <c r="AL24" s="116">
        <f t="shared" si="22"/>
        <v>106.08633179413877</v>
      </c>
      <c r="AM24" s="117">
        <f t="shared" si="23"/>
        <v>106.42641554145698</v>
      </c>
      <c r="AN24" s="118">
        <f t="shared" si="24"/>
        <v>-0.34008374731820368</v>
      </c>
      <c r="AO24" s="119">
        <f t="shared" si="25"/>
        <v>-3.1954824898310012E-3</v>
      </c>
      <c r="AQ24" s="114">
        <f>IF(ROW()&lt;(ROW(Y$10)+AR$7),"["&amp;$A24&amp;"]", INDEX($L:$L,ROW(Y$10)+AR$7)/SUM($L$9:$L24))</f>
        <v>1.3896269121552003E-3</v>
      </c>
      <c r="AR24" s="115">
        <f t="shared" si="26"/>
        <v>25.652512798384997</v>
      </c>
      <c r="AS24" s="115">
        <f t="shared" si="27"/>
        <v>25.120252347851256</v>
      </c>
      <c r="AT24" s="116">
        <f t="shared" si="28"/>
        <v>50.240504695702512</v>
      </c>
      <c r="AU24" s="117">
        <f t="shared" si="29"/>
        <v>50.257182241614061</v>
      </c>
      <c r="AV24" s="118">
        <f t="shared" si="30"/>
        <v>-1.6677545911548464E-2</v>
      </c>
      <c r="AW24" s="119">
        <f t="shared" si="31"/>
        <v>-3.3184403039888467E-4</v>
      </c>
    </row>
    <row r="25" spans="1:49" ht="17" x14ac:dyDescent="0.2">
      <c r="A25" s="102" t="s">
        <v>33</v>
      </c>
      <c r="B25" s="103">
        <f t="shared" si="2"/>
        <v>18460</v>
      </c>
      <c r="C25" s="104">
        <f t="shared" si="2"/>
        <v>18076.976005661658</v>
      </c>
      <c r="D25" s="105">
        <f t="shared" si="4"/>
        <v>0.9792511379014982</v>
      </c>
      <c r="F25" s="5"/>
      <c r="G25" s="106">
        <f t="shared" si="5"/>
        <v>0</v>
      </c>
      <c r="H25" s="107">
        <f t="shared" si="6"/>
        <v>0.9792511379014982</v>
      </c>
      <c r="I25" s="6"/>
      <c r="J25" s="13">
        <f t="shared" si="3"/>
        <v>0</v>
      </c>
      <c r="K25" s="108">
        <f t="shared" si="7"/>
        <v>0</v>
      </c>
      <c r="L25" s="109">
        <f>MIN(I25*10^18*SUM($L$8:$L24) / ((B25-F25)*10^18), J25*10^18*SUM($L$8:$L24) / ((C25-G25)*10^18))</f>
        <v>0</v>
      </c>
      <c r="N25" s="110">
        <f t="shared" si="0"/>
        <v>36153.952011323316</v>
      </c>
      <c r="O25" s="111">
        <f>SUM($I$9:$I25)-SUM($F$9:$F25)</f>
        <v>18460</v>
      </c>
      <c r="P25" s="111">
        <f>SUM($J$9:$J25)-SUM($G$9:$G25)</f>
        <v>18076.976005661658</v>
      </c>
      <c r="Q25" s="112">
        <f t="shared" si="1"/>
        <v>0</v>
      </c>
      <c r="R25" s="113"/>
      <c r="S25" s="114">
        <f>IF(ROW()&lt;(ROW(A$10)+T$7),"["&amp;$A25&amp;"]", INDEX($L:$L,ROW(A$10)+T$7)/SUM($L$9:$L25))</f>
        <v>0.52811387014077649</v>
      </c>
      <c r="T25" s="115">
        <f t="shared" si="8"/>
        <v>9748.9820427987343</v>
      </c>
      <c r="U25" s="115">
        <f t="shared" si="9"/>
        <v>9546.7017587919327</v>
      </c>
      <c r="V25" s="116">
        <f t="shared" si="10"/>
        <v>19093.403517583865</v>
      </c>
      <c r="W25" s="117">
        <f t="shared" si="11"/>
        <v>19154.440687159891</v>
      </c>
      <c r="X25" s="118">
        <f t="shared" si="12"/>
        <v>-61.037169576025917</v>
      </c>
      <c r="Y25" s="119">
        <f t="shared" si="13"/>
        <v>-3.1865806249796666E-3</v>
      </c>
      <c r="AA25" s="114">
        <f>IF(ROW()&lt;(ROW(I$10)+AB$7),"["&amp;$A25&amp;"]", INDEX($L:$L,ROW(I$10)+AB$7)/SUM($L$9:$L25))</f>
        <v>0</v>
      </c>
      <c r="AB25" s="115">
        <f t="shared" si="14"/>
        <v>0</v>
      </c>
      <c r="AC25" s="115">
        <f t="shared" si="15"/>
        <v>0</v>
      </c>
      <c r="AD25" s="116">
        <f t="shared" si="16"/>
        <v>0</v>
      </c>
      <c r="AE25" s="117">
        <f t="shared" si="17"/>
        <v>0</v>
      </c>
      <c r="AF25" s="118">
        <f t="shared" si="18"/>
        <v>0</v>
      </c>
      <c r="AG25" s="119" t="str">
        <f t="shared" si="19"/>
        <v/>
      </c>
      <c r="AI25" s="114">
        <f>IF(ROW()&lt;(ROW(Q$10)+AJ$7),"["&amp;$A25&amp;"]", INDEX($L:$L,ROW(Q$10)+AJ$7)/SUM($L$9:$L25))</f>
        <v>2.9342942027724334E-3</v>
      </c>
      <c r="AJ25" s="115">
        <f t="shared" si="20"/>
        <v>54.167070983179123</v>
      </c>
      <c r="AK25" s="115">
        <f t="shared" si="21"/>
        <v>53.043165897069386</v>
      </c>
      <c r="AL25" s="116">
        <f t="shared" si="22"/>
        <v>106.08633179413877</v>
      </c>
      <c r="AM25" s="117">
        <f t="shared" si="23"/>
        <v>106.42641554145698</v>
      </c>
      <c r="AN25" s="118">
        <f t="shared" si="24"/>
        <v>-0.34008374731820368</v>
      </c>
      <c r="AO25" s="119">
        <f t="shared" si="25"/>
        <v>-3.1954824898310012E-3</v>
      </c>
      <c r="AQ25" s="114">
        <f>IF(ROW()&lt;(ROW(Y$10)+AR$7),"["&amp;$A25&amp;"]", INDEX($L:$L,ROW(Y$10)+AR$7)/SUM($L$9:$L25))</f>
        <v>1.3896269121552003E-3</v>
      </c>
      <c r="AR25" s="115">
        <f t="shared" si="26"/>
        <v>25.652512798384997</v>
      </c>
      <c r="AS25" s="115">
        <f t="shared" si="27"/>
        <v>25.120252347851256</v>
      </c>
      <c r="AT25" s="116">
        <f t="shared" si="28"/>
        <v>50.240504695702512</v>
      </c>
      <c r="AU25" s="117">
        <f t="shared" si="29"/>
        <v>50.257182241614061</v>
      </c>
      <c r="AV25" s="118">
        <f t="shared" si="30"/>
        <v>-1.6677545911548464E-2</v>
      </c>
      <c r="AW25" s="119">
        <f t="shared" si="31"/>
        <v>-3.3184403039888467E-4</v>
      </c>
    </row>
    <row r="26" spans="1:49" ht="17" x14ac:dyDescent="0.2">
      <c r="A26" s="102" t="s">
        <v>34</v>
      </c>
      <c r="B26" s="103">
        <f t="shared" si="2"/>
        <v>18460</v>
      </c>
      <c r="C26" s="104">
        <f t="shared" si="2"/>
        <v>18076.976005661658</v>
      </c>
      <c r="D26" s="105">
        <f t="shared" si="4"/>
        <v>0.9792511379014982</v>
      </c>
      <c r="F26" s="5"/>
      <c r="G26" s="106">
        <f t="shared" si="5"/>
        <v>0</v>
      </c>
      <c r="H26" s="107">
        <f t="shared" si="6"/>
        <v>0.9792511379014982</v>
      </c>
      <c r="I26" s="6"/>
      <c r="J26" s="13">
        <f t="shared" si="3"/>
        <v>0</v>
      </c>
      <c r="K26" s="108">
        <f t="shared" si="7"/>
        <v>0</v>
      </c>
      <c r="L26" s="109">
        <f>MIN(I26*10^18*SUM($L$8:$L25) / ((B26-F26)*10^18), J26*10^18*SUM($L$8:$L25) / ((C26-G26)*10^18))</f>
        <v>0</v>
      </c>
      <c r="N26" s="110">
        <f t="shared" si="0"/>
        <v>36153.952011323316</v>
      </c>
      <c r="O26" s="111">
        <f>SUM($I$9:$I26)-SUM($F$9:$F26)</f>
        <v>18460</v>
      </c>
      <c r="P26" s="111">
        <f>SUM($J$9:$J26)-SUM($G$9:$G26)</f>
        <v>18076.976005661658</v>
      </c>
      <c r="Q26" s="112">
        <f t="shared" si="1"/>
        <v>0</v>
      </c>
      <c r="R26" s="113"/>
      <c r="S26" s="114">
        <f>IF(ROW()&lt;(ROW(A$10)+T$7),"["&amp;$A26&amp;"]", INDEX($L:$L,ROW(A$10)+T$7)/SUM($L$9:$L26))</f>
        <v>0.52811387014077649</v>
      </c>
      <c r="T26" s="115">
        <f t="shared" si="8"/>
        <v>9748.9820427987343</v>
      </c>
      <c r="U26" s="115">
        <f t="shared" si="9"/>
        <v>9546.7017587919327</v>
      </c>
      <c r="V26" s="116">
        <f t="shared" si="10"/>
        <v>19093.403517583865</v>
      </c>
      <c r="W26" s="117">
        <f t="shared" si="11"/>
        <v>19154.440687159891</v>
      </c>
      <c r="X26" s="118">
        <f t="shared" si="12"/>
        <v>-61.037169576025917</v>
      </c>
      <c r="Y26" s="119">
        <f t="shared" si="13"/>
        <v>-3.1865806249796666E-3</v>
      </c>
      <c r="AA26" s="114">
        <f>IF(ROW()&lt;(ROW(I$10)+AB$7),"["&amp;$A26&amp;"]", INDEX($L:$L,ROW(I$10)+AB$7)/SUM($L$9:$L26))</f>
        <v>0</v>
      </c>
      <c r="AB26" s="115">
        <f t="shared" si="14"/>
        <v>0</v>
      </c>
      <c r="AC26" s="115">
        <f t="shared" si="15"/>
        <v>0</v>
      </c>
      <c r="AD26" s="116">
        <f t="shared" si="16"/>
        <v>0</v>
      </c>
      <c r="AE26" s="117">
        <f t="shared" si="17"/>
        <v>0</v>
      </c>
      <c r="AF26" s="118">
        <f t="shared" si="18"/>
        <v>0</v>
      </c>
      <c r="AG26" s="119" t="str">
        <f t="shared" si="19"/>
        <v/>
      </c>
      <c r="AI26" s="114">
        <f>IF(ROW()&lt;(ROW(Q$10)+AJ$7),"["&amp;$A26&amp;"]", INDEX($L:$L,ROW(Q$10)+AJ$7)/SUM($L$9:$L26))</f>
        <v>2.9342942027724334E-3</v>
      </c>
      <c r="AJ26" s="115">
        <f t="shared" si="20"/>
        <v>54.167070983179123</v>
      </c>
      <c r="AK26" s="115">
        <f t="shared" si="21"/>
        <v>53.043165897069386</v>
      </c>
      <c r="AL26" s="116">
        <f t="shared" si="22"/>
        <v>106.08633179413877</v>
      </c>
      <c r="AM26" s="117">
        <f t="shared" si="23"/>
        <v>106.42641554145698</v>
      </c>
      <c r="AN26" s="118">
        <f t="shared" si="24"/>
        <v>-0.34008374731820368</v>
      </c>
      <c r="AO26" s="119">
        <f t="shared" si="25"/>
        <v>-3.1954824898310012E-3</v>
      </c>
      <c r="AQ26" s="114">
        <f>IF(ROW()&lt;(ROW(Y$10)+AR$7),"["&amp;$A26&amp;"]", INDEX($L:$L,ROW(Y$10)+AR$7)/SUM($L$9:$L26))</f>
        <v>1.3896269121552003E-3</v>
      </c>
      <c r="AR26" s="115">
        <f t="shared" si="26"/>
        <v>25.652512798384997</v>
      </c>
      <c r="AS26" s="115">
        <f t="shared" si="27"/>
        <v>25.120252347851256</v>
      </c>
      <c r="AT26" s="116">
        <f t="shared" si="28"/>
        <v>50.240504695702512</v>
      </c>
      <c r="AU26" s="117">
        <f t="shared" si="29"/>
        <v>50.257182241614061</v>
      </c>
      <c r="AV26" s="118">
        <f t="shared" si="30"/>
        <v>-1.6677545911548464E-2</v>
      </c>
      <c r="AW26" s="119">
        <f t="shared" si="31"/>
        <v>-3.3184403039888467E-4</v>
      </c>
    </row>
    <row r="27" spans="1:49" ht="17" x14ac:dyDescent="0.2">
      <c r="A27" s="102" t="s">
        <v>35</v>
      </c>
      <c r="B27" s="103">
        <f t="shared" si="2"/>
        <v>18460</v>
      </c>
      <c r="C27" s="104">
        <f t="shared" si="2"/>
        <v>18076.976005661658</v>
      </c>
      <c r="D27" s="105">
        <f t="shared" si="4"/>
        <v>0.9792511379014982</v>
      </c>
      <c r="F27" s="5"/>
      <c r="G27" s="106">
        <f t="shared" si="5"/>
        <v>0</v>
      </c>
      <c r="H27" s="107">
        <f t="shared" si="6"/>
        <v>0.9792511379014982</v>
      </c>
      <c r="I27" s="6"/>
      <c r="J27" s="13">
        <f t="shared" si="3"/>
        <v>0</v>
      </c>
      <c r="K27" s="108">
        <f t="shared" si="7"/>
        <v>0</v>
      </c>
      <c r="L27" s="109">
        <f>MIN(I27*10^18*SUM($L$8:$L26) / ((B27-F27)*10^18), J27*10^18*SUM($L$8:$L26) / ((C27-G27)*10^18))</f>
        <v>0</v>
      </c>
      <c r="N27" s="110">
        <f t="shared" si="0"/>
        <v>36153.952011323316</v>
      </c>
      <c r="O27" s="111">
        <f>SUM($I$9:$I27)-SUM($F$9:$F27)</f>
        <v>18460</v>
      </c>
      <c r="P27" s="111">
        <f>SUM($J$9:$J27)-SUM($G$9:$G27)</f>
        <v>18076.976005661658</v>
      </c>
      <c r="Q27" s="112">
        <f t="shared" si="1"/>
        <v>0</v>
      </c>
      <c r="R27" s="113"/>
      <c r="S27" s="114">
        <f>IF(ROW()&lt;(ROW(A$10)+T$7),"["&amp;$A27&amp;"]", INDEX($L:$L,ROW(A$10)+T$7)/SUM($L$9:$L27))</f>
        <v>0.52811387014077649</v>
      </c>
      <c r="T27" s="115">
        <f t="shared" si="8"/>
        <v>9748.9820427987343</v>
      </c>
      <c r="U27" s="115">
        <f t="shared" si="9"/>
        <v>9546.7017587919327</v>
      </c>
      <c r="V27" s="116">
        <f t="shared" si="10"/>
        <v>19093.403517583865</v>
      </c>
      <c r="W27" s="117">
        <f t="shared" si="11"/>
        <v>19154.440687159891</v>
      </c>
      <c r="X27" s="118">
        <f t="shared" si="12"/>
        <v>-61.037169576025917</v>
      </c>
      <c r="Y27" s="119">
        <f t="shared" si="13"/>
        <v>-3.1865806249796666E-3</v>
      </c>
      <c r="AA27" s="114">
        <f>IF(ROW()&lt;(ROW(I$10)+AB$7),"["&amp;$A27&amp;"]", INDEX($L:$L,ROW(I$10)+AB$7)/SUM($L$9:$L27))</f>
        <v>0</v>
      </c>
      <c r="AB27" s="115">
        <f t="shared" si="14"/>
        <v>0</v>
      </c>
      <c r="AC27" s="115">
        <f t="shared" si="15"/>
        <v>0</v>
      </c>
      <c r="AD27" s="116">
        <f t="shared" si="16"/>
        <v>0</v>
      </c>
      <c r="AE27" s="117">
        <f t="shared" si="17"/>
        <v>0</v>
      </c>
      <c r="AF27" s="118">
        <f t="shared" si="18"/>
        <v>0</v>
      </c>
      <c r="AG27" s="119" t="str">
        <f t="shared" si="19"/>
        <v/>
      </c>
      <c r="AI27" s="114">
        <f>IF(ROW()&lt;(ROW(Q$10)+AJ$7),"["&amp;$A27&amp;"]", INDEX($L:$L,ROW(Q$10)+AJ$7)/SUM($L$9:$L27))</f>
        <v>2.9342942027724334E-3</v>
      </c>
      <c r="AJ27" s="115">
        <f t="shared" si="20"/>
        <v>54.167070983179123</v>
      </c>
      <c r="AK27" s="115">
        <f t="shared" si="21"/>
        <v>53.043165897069386</v>
      </c>
      <c r="AL27" s="116">
        <f t="shared" si="22"/>
        <v>106.08633179413877</v>
      </c>
      <c r="AM27" s="117">
        <f t="shared" si="23"/>
        <v>106.42641554145698</v>
      </c>
      <c r="AN27" s="118">
        <f t="shared" si="24"/>
        <v>-0.34008374731820368</v>
      </c>
      <c r="AO27" s="119">
        <f t="shared" si="25"/>
        <v>-3.1954824898310012E-3</v>
      </c>
      <c r="AQ27" s="114">
        <f>IF(ROW()&lt;(ROW(Y$10)+AR$7),"["&amp;$A27&amp;"]", INDEX($L:$L,ROW(Y$10)+AR$7)/SUM($L$9:$L27))</f>
        <v>1.3896269121552003E-3</v>
      </c>
      <c r="AR27" s="115">
        <f t="shared" si="26"/>
        <v>25.652512798384997</v>
      </c>
      <c r="AS27" s="115">
        <f t="shared" si="27"/>
        <v>25.120252347851256</v>
      </c>
      <c r="AT27" s="116">
        <f t="shared" si="28"/>
        <v>50.240504695702512</v>
      </c>
      <c r="AU27" s="117">
        <f t="shared" si="29"/>
        <v>50.257182241614061</v>
      </c>
      <c r="AV27" s="118">
        <f t="shared" si="30"/>
        <v>-1.6677545911548464E-2</v>
      </c>
      <c r="AW27" s="119">
        <f t="shared" si="31"/>
        <v>-3.3184403039888467E-4</v>
      </c>
    </row>
    <row r="28" spans="1:49" ht="17" x14ac:dyDescent="0.2">
      <c r="A28" s="102" t="s">
        <v>36</v>
      </c>
      <c r="B28" s="103">
        <f t="shared" si="2"/>
        <v>18460</v>
      </c>
      <c r="C28" s="104">
        <f t="shared" si="2"/>
        <v>18076.976005661658</v>
      </c>
      <c r="D28" s="105">
        <f t="shared" si="4"/>
        <v>0.9792511379014982</v>
      </c>
      <c r="F28" s="5"/>
      <c r="G28" s="106">
        <f t="shared" si="5"/>
        <v>0</v>
      </c>
      <c r="H28" s="107">
        <f t="shared" si="6"/>
        <v>0.9792511379014982</v>
      </c>
      <c r="I28" s="6"/>
      <c r="J28" s="13">
        <f t="shared" si="3"/>
        <v>0</v>
      </c>
      <c r="K28" s="108">
        <f t="shared" si="7"/>
        <v>0</v>
      </c>
      <c r="L28" s="109">
        <f>MIN(I28*10^18*SUM($L$8:$L27) / ((B28-F28)*10^18), J28*10^18*SUM($L$8:$L27) / ((C28-G28)*10^18))</f>
        <v>0</v>
      </c>
      <c r="N28" s="110">
        <f t="shared" si="0"/>
        <v>36153.952011323316</v>
      </c>
      <c r="O28" s="111">
        <f>SUM($I$9:$I28)-SUM($F$9:$F28)</f>
        <v>18460</v>
      </c>
      <c r="P28" s="111">
        <f>SUM($J$9:$J28)-SUM($G$9:$G28)</f>
        <v>18076.976005661658</v>
      </c>
      <c r="Q28" s="112">
        <f t="shared" si="1"/>
        <v>0</v>
      </c>
      <c r="R28" s="113"/>
      <c r="S28" s="114">
        <f>IF(ROW()&lt;(ROW(A$10)+T$7),"["&amp;$A28&amp;"]", INDEX($L:$L,ROW(A$10)+T$7)/SUM($L$9:$L28))</f>
        <v>0.52811387014077649</v>
      </c>
      <c r="T28" s="115">
        <f t="shared" si="8"/>
        <v>9748.9820427987343</v>
      </c>
      <c r="U28" s="115">
        <f t="shared" si="9"/>
        <v>9546.7017587919327</v>
      </c>
      <c r="V28" s="116">
        <f t="shared" si="10"/>
        <v>19093.403517583865</v>
      </c>
      <c r="W28" s="117">
        <f t="shared" si="11"/>
        <v>19154.440687159891</v>
      </c>
      <c r="X28" s="118">
        <f t="shared" si="12"/>
        <v>-61.037169576025917</v>
      </c>
      <c r="Y28" s="119">
        <f t="shared" si="13"/>
        <v>-3.1865806249796666E-3</v>
      </c>
      <c r="AA28" s="114">
        <f>IF(ROW()&lt;(ROW(I$10)+AB$7),"["&amp;$A28&amp;"]", INDEX($L:$L,ROW(I$10)+AB$7)/SUM($L$9:$L28))</f>
        <v>0</v>
      </c>
      <c r="AB28" s="115">
        <f t="shared" si="14"/>
        <v>0</v>
      </c>
      <c r="AC28" s="115">
        <f t="shared" si="15"/>
        <v>0</v>
      </c>
      <c r="AD28" s="116">
        <f t="shared" si="16"/>
        <v>0</v>
      </c>
      <c r="AE28" s="117">
        <f t="shared" si="17"/>
        <v>0</v>
      </c>
      <c r="AF28" s="118">
        <f t="shared" si="18"/>
        <v>0</v>
      </c>
      <c r="AG28" s="119" t="str">
        <f t="shared" si="19"/>
        <v/>
      </c>
      <c r="AI28" s="114">
        <f>IF(ROW()&lt;(ROW(Q$10)+AJ$7),"["&amp;$A28&amp;"]", INDEX($L:$L,ROW(Q$10)+AJ$7)/SUM($L$9:$L28))</f>
        <v>2.9342942027724334E-3</v>
      </c>
      <c r="AJ28" s="115">
        <f t="shared" si="20"/>
        <v>54.167070983179123</v>
      </c>
      <c r="AK28" s="115">
        <f t="shared" si="21"/>
        <v>53.043165897069386</v>
      </c>
      <c r="AL28" s="116">
        <f t="shared" si="22"/>
        <v>106.08633179413877</v>
      </c>
      <c r="AM28" s="117">
        <f t="shared" si="23"/>
        <v>106.42641554145698</v>
      </c>
      <c r="AN28" s="118">
        <f t="shared" si="24"/>
        <v>-0.34008374731820368</v>
      </c>
      <c r="AO28" s="119">
        <f t="shared" si="25"/>
        <v>-3.1954824898310012E-3</v>
      </c>
      <c r="AQ28" s="114">
        <f>IF(ROW()&lt;(ROW(Y$10)+AR$7),"["&amp;$A28&amp;"]", INDEX($L:$L,ROW(Y$10)+AR$7)/SUM($L$9:$L28))</f>
        <v>1.3896269121552003E-3</v>
      </c>
      <c r="AR28" s="115">
        <f t="shared" si="26"/>
        <v>25.652512798384997</v>
      </c>
      <c r="AS28" s="115">
        <f t="shared" si="27"/>
        <v>25.120252347851256</v>
      </c>
      <c r="AT28" s="116">
        <f t="shared" si="28"/>
        <v>50.240504695702512</v>
      </c>
      <c r="AU28" s="117">
        <f t="shared" si="29"/>
        <v>50.257182241614061</v>
      </c>
      <c r="AV28" s="118">
        <f t="shared" si="30"/>
        <v>-1.6677545911548464E-2</v>
      </c>
      <c r="AW28" s="119">
        <f t="shared" si="31"/>
        <v>-3.3184403039888467E-4</v>
      </c>
    </row>
    <row r="29" spans="1:49" ht="17" x14ac:dyDescent="0.2">
      <c r="A29" s="102" t="s">
        <v>37</v>
      </c>
      <c r="B29" s="103">
        <f t="shared" si="2"/>
        <v>18460</v>
      </c>
      <c r="C29" s="104">
        <f t="shared" si="2"/>
        <v>18076.976005661658</v>
      </c>
      <c r="D29" s="105">
        <f t="shared" si="4"/>
        <v>0.9792511379014982</v>
      </c>
      <c r="F29" s="5"/>
      <c r="G29" s="106">
        <f t="shared" si="5"/>
        <v>0</v>
      </c>
      <c r="H29" s="107">
        <f t="shared" si="6"/>
        <v>0.9792511379014982</v>
      </c>
      <c r="I29" s="6"/>
      <c r="J29" s="13">
        <f t="shared" si="3"/>
        <v>0</v>
      </c>
      <c r="K29" s="108">
        <f t="shared" si="7"/>
        <v>0</v>
      </c>
      <c r="L29" s="109">
        <f>MIN(I29*10^18*SUM($L$8:$L28) / ((B29-F29)*10^18), J29*10^18*SUM($L$8:$L28) / ((C29-G29)*10^18))</f>
        <v>0</v>
      </c>
      <c r="N29" s="110">
        <f t="shared" si="0"/>
        <v>36153.952011323316</v>
      </c>
      <c r="O29" s="111">
        <f>SUM($I$9:$I29)-SUM($F$9:$F29)</f>
        <v>18460</v>
      </c>
      <c r="P29" s="111">
        <f>SUM($J$9:$J29)-SUM($G$9:$G29)</f>
        <v>18076.976005661658</v>
      </c>
      <c r="Q29" s="112">
        <f t="shared" si="1"/>
        <v>0</v>
      </c>
      <c r="R29" s="113"/>
      <c r="S29" s="114">
        <f>IF(ROW()&lt;(ROW(A$10)+T$7),"["&amp;$A29&amp;"]", INDEX($L:$L,ROW(A$10)+T$7)/SUM($L$9:$L29))</f>
        <v>0.52811387014077649</v>
      </c>
      <c r="T29" s="115">
        <f t="shared" si="8"/>
        <v>9748.9820427987343</v>
      </c>
      <c r="U29" s="115">
        <f t="shared" si="9"/>
        <v>9546.7017587919327</v>
      </c>
      <c r="V29" s="116">
        <f t="shared" si="10"/>
        <v>19093.403517583865</v>
      </c>
      <c r="W29" s="117">
        <f t="shared" si="11"/>
        <v>19154.440687159891</v>
      </c>
      <c r="X29" s="118">
        <f t="shared" si="12"/>
        <v>-61.037169576025917</v>
      </c>
      <c r="Y29" s="119">
        <f t="shared" si="13"/>
        <v>-3.1865806249796666E-3</v>
      </c>
      <c r="AA29" s="114">
        <f>IF(ROW()&lt;(ROW(I$10)+AB$7),"["&amp;$A29&amp;"]", INDEX($L:$L,ROW(I$10)+AB$7)/SUM($L$9:$L29))</f>
        <v>0</v>
      </c>
      <c r="AB29" s="115">
        <f t="shared" si="14"/>
        <v>0</v>
      </c>
      <c r="AC29" s="115">
        <f t="shared" si="15"/>
        <v>0</v>
      </c>
      <c r="AD29" s="116">
        <f t="shared" si="16"/>
        <v>0</v>
      </c>
      <c r="AE29" s="117">
        <f t="shared" si="17"/>
        <v>0</v>
      </c>
      <c r="AF29" s="118">
        <f t="shared" si="18"/>
        <v>0</v>
      </c>
      <c r="AG29" s="119" t="str">
        <f t="shared" si="19"/>
        <v/>
      </c>
      <c r="AI29" s="114">
        <f>IF(ROW()&lt;(ROW(Q$10)+AJ$7),"["&amp;$A29&amp;"]", INDEX($L:$L,ROW(Q$10)+AJ$7)/SUM($L$9:$L29))</f>
        <v>2.9342942027724334E-3</v>
      </c>
      <c r="AJ29" s="115">
        <f t="shared" si="20"/>
        <v>54.167070983179123</v>
      </c>
      <c r="AK29" s="115">
        <f t="shared" si="21"/>
        <v>53.043165897069386</v>
      </c>
      <c r="AL29" s="116">
        <f t="shared" si="22"/>
        <v>106.08633179413877</v>
      </c>
      <c r="AM29" s="117">
        <f t="shared" si="23"/>
        <v>106.42641554145698</v>
      </c>
      <c r="AN29" s="118">
        <f t="shared" si="24"/>
        <v>-0.34008374731820368</v>
      </c>
      <c r="AO29" s="119">
        <f t="shared" si="25"/>
        <v>-3.1954824898310012E-3</v>
      </c>
      <c r="AQ29" s="114">
        <f>IF(ROW()&lt;(ROW(Y$10)+AR$7),"["&amp;$A29&amp;"]", INDEX($L:$L,ROW(Y$10)+AR$7)/SUM($L$9:$L29))</f>
        <v>1.3896269121552003E-3</v>
      </c>
      <c r="AR29" s="115">
        <f t="shared" si="26"/>
        <v>25.652512798384997</v>
      </c>
      <c r="AS29" s="115">
        <f t="shared" si="27"/>
        <v>25.120252347851256</v>
      </c>
      <c r="AT29" s="116">
        <f t="shared" si="28"/>
        <v>50.240504695702512</v>
      </c>
      <c r="AU29" s="117">
        <f t="shared" si="29"/>
        <v>50.257182241614061</v>
      </c>
      <c r="AV29" s="118">
        <f t="shared" si="30"/>
        <v>-1.6677545911548464E-2</v>
      </c>
      <c r="AW29" s="119">
        <f t="shared" si="31"/>
        <v>-3.3184403039888467E-4</v>
      </c>
    </row>
    <row r="30" spans="1:49" ht="17" x14ac:dyDescent="0.2">
      <c r="A30" s="102" t="s">
        <v>38</v>
      </c>
      <c r="B30" s="103">
        <f t="shared" si="2"/>
        <v>18460</v>
      </c>
      <c r="C30" s="104">
        <f t="shared" si="2"/>
        <v>18076.976005661658</v>
      </c>
      <c r="D30" s="105">
        <f t="shared" si="4"/>
        <v>0.9792511379014982</v>
      </c>
      <c r="F30" s="5"/>
      <c r="G30" s="106">
        <f t="shared" si="5"/>
        <v>0</v>
      </c>
      <c r="H30" s="107">
        <f t="shared" si="6"/>
        <v>0.9792511379014982</v>
      </c>
      <c r="I30" s="6"/>
      <c r="J30" s="13">
        <f t="shared" si="3"/>
        <v>0</v>
      </c>
      <c r="K30" s="108">
        <f t="shared" si="7"/>
        <v>0</v>
      </c>
      <c r="L30" s="109">
        <f>MIN(I30*10^18*SUM($L$8:$L29) / ((B30-F30)*10^18), J30*10^18*SUM($L$8:$L29) / ((C30-G30)*10^18))</f>
        <v>0</v>
      </c>
      <c r="N30" s="110">
        <f t="shared" si="0"/>
        <v>36153.952011323316</v>
      </c>
      <c r="O30" s="111">
        <f>SUM($I$9:$I30)-SUM($F$9:$F30)</f>
        <v>18460</v>
      </c>
      <c r="P30" s="111">
        <f>SUM($J$9:$J30)-SUM($G$9:$G30)</f>
        <v>18076.976005661658</v>
      </c>
      <c r="Q30" s="112">
        <f t="shared" si="1"/>
        <v>0</v>
      </c>
      <c r="R30" s="113"/>
      <c r="S30" s="114">
        <f>IF(ROW()&lt;(ROW(A$10)+T$7),"["&amp;$A30&amp;"]", INDEX($L:$L,ROW(A$10)+T$7)/SUM($L$9:$L30))</f>
        <v>0.52811387014077649</v>
      </c>
      <c r="T30" s="115">
        <f t="shared" si="8"/>
        <v>9748.9820427987343</v>
      </c>
      <c r="U30" s="115">
        <f t="shared" si="9"/>
        <v>9546.7017587919327</v>
      </c>
      <c r="V30" s="116">
        <f t="shared" si="10"/>
        <v>19093.403517583865</v>
      </c>
      <c r="W30" s="117">
        <f t="shared" si="11"/>
        <v>19154.440687159891</v>
      </c>
      <c r="X30" s="118">
        <f t="shared" si="12"/>
        <v>-61.037169576025917</v>
      </c>
      <c r="Y30" s="119">
        <f t="shared" si="13"/>
        <v>-3.1865806249796666E-3</v>
      </c>
      <c r="AA30" s="114">
        <f>IF(ROW()&lt;(ROW(I$10)+AB$7),"["&amp;$A30&amp;"]", INDEX($L:$L,ROW(I$10)+AB$7)/SUM($L$9:$L30))</f>
        <v>0</v>
      </c>
      <c r="AB30" s="115">
        <f t="shared" si="14"/>
        <v>0</v>
      </c>
      <c r="AC30" s="115">
        <f t="shared" si="15"/>
        <v>0</v>
      </c>
      <c r="AD30" s="116">
        <f t="shared" si="16"/>
        <v>0</v>
      </c>
      <c r="AE30" s="117">
        <f t="shared" si="17"/>
        <v>0</v>
      </c>
      <c r="AF30" s="118">
        <f t="shared" si="18"/>
        <v>0</v>
      </c>
      <c r="AG30" s="119" t="str">
        <f t="shared" si="19"/>
        <v/>
      </c>
      <c r="AI30" s="114">
        <f>IF(ROW()&lt;(ROW(Q$10)+AJ$7),"["&amp;$A30&amp;"]", INDEX($L:$L,ROW(Q$10)+AJ$7)/SUM($L$9:$L30))</f>
        <v>2.9342942027724334E-3</v>
      </c>
      <c r="AJ30" s="115">
        <f t="shared" si="20"/>
        <v>54.167070983179123</v>
      </c>
      <c r="AK30" s="115">
        <f t="shared" si="21"/>
        <v>53.043165897069386</v>
      </c>
      <c r="AL30" s="116">
        <f t="shared" si="22"/>
        <v>106.08633179413877</v>
      </c>
      <c r="AM30" s="117">
        <f t="shared" si="23"/>
        <v>106.42641554145698</v>
      </c>
      <c r="AN30" s="118">
        <f t="shared" si="24"/>
        <v>-0.34008374731820368</v>
      </c>
      <c r="AO30" s="119">
        <f t="shared" si="25"/>
        <v>-3.1954824898310012E-3</v>
      </c>
      <c r="AQ30" s="114">
        <f>IF(ROW()&lt;(ROW(Y$10)+AR$7),"["&amp;$A30&amp;"]", INDEX($L:$L,ROW(Y$10)+AR$7)/SUM($L$9:$L30))</f>
        <v>1.3896269121552003E-3</v>
      </c>
      <c r="AR30" s="115">
        <f t="shared" si="26"/>
        <v>25.652512798384997</v>
      </c>
      <c r="AS30" s="115">
        <f t="shared" si="27"/>
        <v>25.120252347851256</v>
      </c>
      <c r="AT30" s="116">
        <f t="shared" si="28"/>
        <v>50.240504695702512</v>
      </c>
      <c r="AU30" s="117">
        <f t="shared" si="29"/>
        <v>50.257182241614061</v>
      </c>
      <c r="AV30" s="118">
        <f t="shared" si="30"/>
        <v>-1.6677545911548464E-2</v>
      </c>
      <c r="AW30" s="119">
        <f t="shared" si="31"/>
        <v>-3.3184403039888467E-4</v>
      </c>
    </row>
    <row r="31" spans="1:49" ht="17" x14ac:dyDescent="0.2">
      <c r="A31" s="102" t="s">
        <v>39</v>
      </c>
      <c r="B31" s="103">
        <f t="shared" si="2"/>
        <v>18460</v>
      </c>
      <c r="C31" s="104">
        <f t="shared" si="2"/>
        <v>18076.976005661658</v>
      </c>
      <c r="D31" s="105">
        <f t="shared" si="4"/>
        <v>0.9792511379014982</v>
      </c>
      <c r="F31" s="5"/>
      <c r="G31" s="106">
        <f t="shared" si="5"/>
        <v>0</v>
      </c>
      <c r="H31" s="107">
        <f t="shared" si="6"/>
        <v>0.9792511379014982</v>
      </c>
      <c r="I31" s="6"/>
      <c r="J31" s="13">
        <f t="shared" si="3"/>
        <v>0</v>
      </c>
      <c r="K31" s="108">
        <f t="shared" si="7"/>
        <v>0</v>
      </c>
      <c r="L31" s="109">
        <f>MIN(I31*10^18*SUM($L$8:$L30) / ((B31-F31)*10^18), J31*10^18*SUM($L$8:$L30) / ((C31-G31)*10^18))</f>
        <v>0</v>
      </c>
      <c r="N31" s="110">
        <f t="shared" si="0"/>
        <v>36153.952011323316</v>
      </c>
      <c r="O31" s="111">
        <f>SUM($I$9:$I31)-SUM($F$9:$F31)</f>
        <v>18460</v>
      </c>
      <c r="P31" s="111">
        <f>SUM($J$9:$J31)-SUM($G$9:$G31)</f>
        <v>18076.976005661658</v>
      </c>
      <c r="Q31" s="112">
        <f t="shared" si="1"/>
        <v>0</v>
      </c>
      <c r="R31" s="113"/>
      <c r="S31" s="114">
        <f>IF(ROW()&lt;(ROW(A$10)+T$7),"["&amp;$A31&amp;"]", INDEX($L:$L,ROW(A$10)+T$7)/SUM($L$9:$L31))</f>
        <v>0.52811387014077649</v>
      </c>
      <c r="T31" s="115">
        <f t="shared" si="8"/>
        <v>9748.9820427987343</v>
      </c>
      <c r="U31" s="115">
        <f t="shared" si="9"/>
        <v>9546.7017587919327</v>
      </c>
      <c r="V31" s="116">
        <f t="shared" si="10"/>
        <v>19093.403517583865</v>
      </c>
      <c r="W31" s="117">
        <f t="shared" si="11"/>
        <v>19154.440687159891</v>
      </c>
      <c r="X31" s="118">
        <f t="shared" si="12"/>
        <v>-61.037169576025917</v>
      </c>
      <c r="Y31" s="119">
        <f t="shared" si="13"/>
        <v>-3.1865806249796666E-3</v>
      </c>
      <c r="AA31" s="114">
        <f>IF(ROW()&lt;(ROW(I$10)+AB$7),"["&amp;$A31&amp;"]", INDEX($L:$L,ROW(I$10)+AB$7)/SUM($L$9:$L31))</f>
        <v>0</v>
      </c>
      <c r="AB31" s="115">
        <f t="shared" si="14"/>
        <v>0</v>
      </c>
      <c r="AC31" s="115">
        <f t="shared" si="15"/>
        <v>0</v>
      </c>
      <c r="AD31" s="116">
        <f t="shared" si="16"/>
        <v>0</v>
      </c>
      <c r="AE31" s="117">
        <f t="shared" si="17"/>
        <v>0</v>
      </c>
      <c r="AF31" s="118">
        <f t="shared" si="18"/>
        <v>0</v>
      </c>
      <c r="AG31" s="119" t="str">
        <f t="shared" si="19"/>
        <v/>
      </c>
      <c r="AI31" s="114">
        <f>IF(ROW()&lt;(ROW(Q$10)+AJ$7),"["&amp;$A31&amp;"]", INDEX($L:$L,ROW(Q$10)+AJ$7)/SUM($L$9:$L31))</f>
        <v>2.9342942027724334E-3</v>
      </c>
      <c r="AJ31" s="115">
        <f t="shared" si="20"/>
        <v>54.167070983179123</v>
      </c>
      <c r="AK31" s="115">
        <f t="shared" si="21"/>
        <v>53.043165897069386</v>
      </c>
      <c r="AL31" s="116">
        <f t="shared" si="22"/>
        <v>106.08633179413877</v>
      </c>
      <c r="AM31" s="117">
        <f t="shared" si="23"/>
        <v>106.42641554145698</v>
      </c>
      <c r="AN31" s="118">
        <f t="shared" si="24"/>
        <v>-0.34008374731820368</v>
      </c>
      <c r="AO31" s="119">
        <f t="shared" si="25"/>
        <v>-3.1954824898310012E-3</v>
      </c>
      <c r="AQ31" s="114">
        <f>IF(ROW()&lt;(ROW(Y$10)+AR$7),"["&amp;$A31&amp;"]", INDEX($L:$L,ROW(Y$10)+AR$7)/SUM($L$9:$L31))</f>
        <v>1.3896269121552003E-3</v>
      </c>
      <c r="AR31" s="115">
        <f t="shared" si="26"/>
        <v>25.652512798384997</v>
      </c>
      <c r="AS31" s="115">
        <f t="shared" si="27"/>
        <v>25.120252347851256</v>
      </c>
      <c r="AT31" s="116">
        <f t="shared" si="28"/>
        <v>50.240504695702512</v>
      </c>
      <c r="AU31" s="117">
        <f t="shared" si="29"/>
        <v>50.257182241614061</v>
      </c>
      <c r="AV31" s="118">
        <f t="shared" si="30"/>
        <v>-1.6677545911548464E-2</v>
      </c>
      <c r="AW31" s="119">
        <f t="shared" si="31"/>
        <v>-3.3184403039888467E-4</v>
      </c>
    </row>
    <row r="32" spans="1:49" ht="17" x14ac:dyDescent="0.2">
      <c r="A32" s="102" t="s">
        <v>40</v>
      </c>
      <c r="B32" s="103">
        <f t="shared" si="2"/>
        <v>18460</v>
      </c>
      <c r="C32" s="104">
        <f t="shared" si="2"/>
        <v>18076.976005661658</v>
      </c>
      <c r="D32" s="105">
        <f t="shared" si="4"/>
        <v>0.9792511379014982</v>
      </c>
      <c r="F32" s="5"/>
      <c r="G32" s="106">
        <f t="shared" si="5"/>
        <v>0</v>
      </c>
      <c r="H32" s="107">
        <f t="shared" si="6"/>
        <v>0.9792511379014982</v>
      </c>
      <c r="I32" s="6"/>
      <c r="J32" s="13">
        <f t="shared" si="3"/>
        <v>0</v>
      </c>
      <c r="K32" s="108">
        <f t="shared" si="7"/>
        <v>0</v>
      </c>
      <c r="L32" s="109">
        <f>MIN(I32*10^18*SUM($L$8:$L31) / ((B32-F32)*10^18), J32*10^18*SUM($L$8:$L31) / ((C32-G32)*10^18))</f>
        <v>0</v>
      </c>
      <c r="N32" s="110">
        <f t="shared" si="0"/>
        <v>36153.952011323316</v>
      </c>
      <c r="O32" s="111">
        <f>SUM($I$9:$I32)-SUM($F$9:$F32)</f>
        <v>18460</v>
      </c>
      <c r="P32" s="111">
        <f>SUM($J$9:$J32)-SUM($G$9:$G32)</f>
        <v>18076.976005661658</v>
      </c>
      <c r="Q32" s="112">
        <f t="shared" si="1"/>
        <v>0</v>
      </c>
      <c r="R32" s="113"/>
      <c r="S32" s="114">
        <f>IF(ROW()&lt;(ROW(A$10)+T$7),"["&amp;$A32&amp;"]", INDEX($L:$L,ROW(A$10)+T$7)/SUM($L$9:$L32))</f>
        <v>0.52811387014077649</v>
      </c>
      <c r="T32" s="115">
        <f t="shared" si="8"/>
        <v>9748.9820427987343</v>
      </c>
      <c r="U32" s="115">
        <f t="shared" si="9"/>
        <v>9546.7017587919327</v>
      </c>
      <c r="V32" s="116">
        <f t="shared" si="10"/>
        <v>19093.403517583865</v>
      </c>
      <c r="W32" s="117">
        <f t="shared" si="11"/>
        <v>19154.440687159891</v>
      </c>
      <c r="X32" s="118">
        <f t="shared" si="12"/>
        <v>-61.037169576025917</v>
      </c>
      <c r="Y32" s="119">
        <f t="shared" si="13"/>
        <v>-3.1865806249796666E-3</v>
      </c>
      <c r="AA32" s="114">
        <f>IF(ROW()&lt;(ROW(I$10)+AB$7),"["&amp;$A32&amp;"]", INDEX($L:$L,ROW(I$10)+AB$7)/SUM($L$9:$L32))</f>
        <v>0</v>
      </c>
      <c r="AB32" s="115">
        <f t="shared" si="14"/>
        <v>0</v>
      </c>
      <c r="AC32" s="115">
        <f t="shared" si="15"/>
        <v>0</v>
      </c>
      <c r="AD32" s="116">
        <f t="shared" si="16"/>
        <v>0</v>
      </c>
      <c r="AE32" s="117">
        <f t="shared" si="17"/>
        <v>0</v>
      </c>
      <c r="AF32" s="118">
        <f t="shared" si="18"/>
        <v>0</v>
      </c>
      <c r="AG32" s="119" t="str">
        <f t="shared" si="19"/>
        <v/>
      </c>
      <c r="AI32" s="114">
        <f>IF(ROW()&lt;(ROW(Q$10)+AJ$7),"["&amp;$A32&amp;"]", INDEX($L:$L,ROW(Q$10)+AJ$7)/SUM($L$9:$L32))</f>
        <v>2.9342942027724334E-3</v>
      </c>
      <c r="AJ32" s="115">
        <f t="shared" si="20"/>
        <v>54.167070983179123</v>
      </c>
      <c r="AK32" s="115">
        <f t="shared" si="21"/>
        <v>53.043165897069386</v>
      </c>
      <c r="AL32" s="116">
        <f t="shared" si="22"/>
        <v>106.08633179413877</v>
      </c>
      <c r="AM32" s="117">
        <f t="shared" si="23"/>
        <v>106.42641554145698</v>
      </c>
      <c r="AN32" s="118">
        <f t="shared" si="24"/>
        <v>-0.34008374731820368</v>
      </c>
      <c r="AO32" s="119">
        <f t="shared" si="25"/>
        <v>-3.1954824898310012E-3</v>
      </c>
      <c r="AQ32" s="114">
        <f>IF(ROW()&lt;(ROW(Y$10)+AR$7),"["&amp;$A32&amp;"]", INDEX($L:$L,ROW(Y$10)+AR$7)/SUM($L$9:$L32))</f>
        <v>1.3896269121552003E-3</v>
      </c>
      <c r="AR32" s="115">
        <f t="shared" si="26"/>
        <v>25.652512798384997</v>
      </c>
      <c r="AS32" s="115">
        <f t="shared" si="27"/>
        <v>25.120252347851256</v>
      </c>
      <c r="AT32" s="116">
        <f t="shared" si="28"/>
        <v>50.240504695702512</v>
      </c>
      <c r="AU32" s="117">
        <f t="shared" si="29"/>
        <v>50.257182241614061</v>
      </c>
      <c r="AV32" s="118">
        <f t="shared" si="30"/>
        <v>-1.6677545911548464E-2</v>
      </c>
      <c r="AW32" s="119">
        <f t="shared" si="31"/>
        <v>-3.3184403039888467E-4</v>
      </c>
    </row>
    <row r="33" spans="1:50" ht="17" x14ac:dyDescent="0.2">
      <c r="A33" s="102" t="s">
        <v>41</v>
      </c>
      <c r="B33" s="103">
        <f t="shared" si="2"/>
        <v>18460</v>
      </c>
      <c r="C33" s="104">
        <f t="shared" si="2"/>
        <v>18076.976005661658</v>
      </c>
      <c r="D33" s="105">
        <f t="shared" si="4"/>
        <v>0.9792511379014982</v>
      </c>
      <c r="F33" s="5"/>
      <c r="G33" s="106">
        <f t="shared" si="5"/>
        <v>0</v>
      </c>
      <c r="H33" s="107">
        <f t="shared" si="6"/>
        <v>0.9792511379014982</v>
      </c>
      <c r="I33" s="6"/>
      <c r="J33" s="13">
        <f t="shared" si="3"/>
        <v>0</v>
      </c>
      <c r="K33" s="108">
        <f t="shared" si="7"/>
        <v>0</v>
      </c>
      <c r="L33" s="109">
        <f>MIN(I33*10^18*SUM($L$8:$L32) / ((B33-F33)*10^18), J33*10^18*SUM($L$8:$L32) / ((C33-G33)*10^18))</f>
        <v>0</v>
      </c>
      <c r="N33" s="110">
        <f t="shared" si="0"/>
        <v>36153.952011323316</v>
      </c>
      <c r="O33" s="111">
        <f>SUM($I$9:$I33)-SUM($F$9:$F33)</f>
        <v>18460</v>
      </c>
      <c r="P33" s="111">
        <f>SUM($J$9:$J33)-SUM($G$9:$G33)</f>
        <v>18076.976005661658</v>
      </c>
      <c r="Q33" s="112">
        <f t="shared" si="1"/>
        <v>0</v>
      </c>
      <c r="R33" s="113"/>
      <c r="S33" s="114">
        <f>IF(ROW()&lt;(ROW(A$10)+T$7),"["&amp;$A33&amp;"]", INDEX($L:$L,ROW(A$10)+T$7)/SUM($L$9:$L33))</f>
        <v>0.52811387014077649</v>
      </c>
      <c r="T33" s="115">
        <f t="shared" si="8"/>
        <v>9748.9820427987343</v>
      </c>
      <c r="U33" s="115">
        <f t="shared" si="9"/>
        <v>9546.7017587919327</v>
      </c>
      <c r="V33" s="116">
        <f t="shared" si="10"/>
        <v>19093.403517583865</v>
      </c>
      <c r="W33" s="117">
        <f t="shared" si="11"/>
        <v>19154.440687159891</v>
      </c>
      <c r="X33" s="118">
        <f t="shared" si="12"/>
        <v>-61.037169576025917</v>
      </c>
      <c r="Y33" s="119">
        <f t="shared" si="13"/>
        <v>-3.1865806249796666E-3</v>
      </c>
      <c r="AA33" s="114">
        <f>IF(ROW()&lt;(ROW(I$10)+AB$7),"["&amp;$A33&amp;"]", INDEX($L:$L,ROW(I$10)+AB$7)/SUM($L$9:$L33))</f>
        <v>0</v>
      </c>
      <c r="AB33" s="115">
        <f t="shared" si="14"/>
        <v>0</v>
      </c>
      <c r="AC33" s="115">
        <f t="shared" si="15"/>
        <v>0</v>
      </c>
      <c r="AD33" s="116">
        <f t="shared" si="16"/>
        <v>0</v>
      </c>
      <c r="AE33" s="117">
        <f t="shared" si="17"/>
        <v>0</v>
      </c>
      <c r="AF33" s="118">
        <f t="shared" si="18"/>
        <v>0</v>
      </c>
      <c r="AG33" s="119" t="str">
        <f t="shared" si="19"/>
        <v/>
      </c>
      <c r="AI33" s="114">
        <f>IF(ROW()&lt;(ROW(Q$10)+AJ$7),"["&amp;$A33&amp;"]", INDEX($L:$L,ROW(Q$10)+AJ$7)/SUM($L$9:$L33))</f>
        <v>2.9342942027724334E-3</v>
      </c>
      <c r="AJ33" s="115">
        <f t="shared" si="20"/>
        <v>54.167070983179123</v>
      </c>
      <c r="AK33" s="115">
        <f t="shared" si="21"/>
        <v>53.043165897069386</v>
      </c>
      <c r="AL33" s="116">
        <f t="shared" si="22"/>
        <v>106.08633179413877</v>
      </c>
      <c r="AM33" s="117">
        <f t="shared" si="23"/>
        <v>106.42641554145698</v>
      </c>
      <c r="AN33" s="118">
        <f t="shared" si="24"/>
        <v>-0.34008374731820368</v>
      </c>
      <c r="AO33" s="119">
        <f t="shared" si="25"/>
        <v>-3.1954824898310012E-3</v>
      </c>
      <c r="AQ33" s="114">
        <f>IF(ROW()&lt;(ROW(Y$10)+AR$7),"["&amp;$A33&amp;"]", INDEX($L:$L,ROW(Y$10)+AR$7)/SUM($L$9:$L33))</f>
        <v>1.3896269121552003E-3</v>
      </c>
      <c r="AR33" s="115">
        <f t="shared" si="26"/>
        <v>25.652512798384997</v>
      </c>
      <c r="AS33" s="115">
        <f t="shared" si="27"/>
        <v>25.120252347851256</v>
      </c>
      <c r="AT33" s="116">
        <f t="shared" si="28"/>
        <v>50.240504695702512</v>
      </c>
      <c r="AU33" s="117">
        <f t="shared" si="29"/>
        <v>50.257182241614061</v>
      </c>
      <c r="AV33" s="118">
        <f t="shared" si="30"/>
        <v>-1.6677545911548464E-2</v>
      </c>
      <c r="AW33" s="119">
        <f t="shared" si="31"/>
        <v>-3.3184403039888467E-4</v>
      </c>
    </row>
    <row r="34" spans="1:50" ht="17" x14ac:dyDescent="0.2">
      <c r="A34" s="102" t="s">
        <v>42</v>
      </c>
      <c r="B34" s="103">
        <f t="shared" si="2"/>
        <v>18460</v>
      </c>
      <c r="C34" s="104">
        <f t="shared" si="2"/>
        <v>18076.976005661658</v>
      </c>
      <c r="D34" s="105">
        <f t="shared" si="4"/>
        <v>0.9792511379014982</v>
      </c>
      <c r="F34" s="5"/>
      <c r="G34" s="106">
        <f t="shared" si="5"/>
        <v>0</v>
      </c>
      <c r="H34" s="107">
        <f t="shared" si="6"/>
        <v>0.9792511379014982</v>
      </c>
      <c r="I34" s="6"/>
      <c r="J34" s="13">
        <f t="shared" si="3"/>
        <v>0</v>
      </c>
      <c r="K34" s="108">
        <f t="shared" si="7"/>
        <v>0</v>
      </c>
      <c r="L34" s="109">
        <f>MIN(I34*10^18*SUM($L$8:$L33) / ((B34-F34)*10^18), J34*10^18*SUM($L$8:$L33) / ((C34-G34)*10^18))</f>
        <v>0</v>
      </c>
      <c r="N34" s="110">
        <f t="shared" si="0"/>
        <v>36153.952011323316</v>
      </c>
      <c r="O34" s="111">
        <f>SUM($I$9:$I34)-SUM($F$9:$F34)</f>
        <v>18460</v>
      </c>
      <c r="P34" s="111">
        <f>SUM($J$9:$J34)-SUM($G$9:$G34)</f>
        <v>18076.976005661658</v>
      </c>
      <c r="Q34" s="112">
        <f t="shared" si="1"/>
        <v>0</v>
      </c>
      <c r="R34" s="113"/>
      <c r="S34" s="114">
        <f>IF(ROW()&lt;(ROW(A$10)+T$7),"["&amp;$A34&amp;"]", INDEX($L:$L,ROW(A$10)+T$7)/SUM($L$9:$L34))</f>
        <v>0.52811387014077649</v>
      </c>
      <c r="T34" s="115">
        <f t="shared" si="8"/>
        <v>9748.9820427987343</v>
      </c>
      <c r="U34" s="115">
        <f t="shared" si="9"/>
        <v>9546.7017587919327</v>
      </c>
      <c r="V34" s="116">
        <f t="shared" si="10"/>
        <v>19093.403517583865</v>
      </c>
      <c r="W34" s="117">
        <f t="shared" si="11"/>
        <v>19154.440687159891</v>
      </c>
      <c r="X34" s="118">
        <f t="shared" si="12"/>
        <v>-61.037169576025917</v>
      </c>
      <c r="Y34" s="119">
        <f t="shared" si="13"/>
        <v>-3.1865806249796666E-3</v>
      </c>
      <c r="AA34" s="114">
        <f>IF(ROW()&lt;(ROW(I$10)+AB$7),"["&amp;$A34&amp;"]", INDEX($L:$L,ROW(I$10)+AB$7)/SUM($L$9:$L34))</f>
        <v>0</v>
      </c>
      <c r="AB34" s="115">
        <f t="shared" si="14"/>
        <v>0</v>
      </c>
      <c r="AC34" s="115">
        <f t="shared" si="15"/>
        <v>0</v>
      </c>
      <c r="AD34" s="116">
        <f t="shared" si="16"/>
        <v>0</v>
      </c>
      <c r="AE34" s="117">
        <f t="shared" si="17"/>
        <v>0</v>
      </c>
      <c r="AF34" s="118">
        <f t="shared" si="18"/>
        <v>0</v>
      </c>
      <c r="AG34" s="119" t="str">
        <f t="shared" si="19"/>
        <v/>
      </c>
      <c r="AI34" s="114">
        <f>IF(ROW()&lt;(ROW(Q$10)+AJ$7),"["&amp;$A34&amp;"]", INDEX($L:$L,ROW(Q$10)+AJ$7)/SUM($L$9:$L34))</f>
        <v>2.9342942027724334E-3</v>
      </c>
      <c r="AJ34" s="115">
        <f t="shared" si="20"/>
        <v>54.167070983179123</v>
      </c>
      <c r="AK34" s="115">
        <f t="shared" si="21"/>
        <v>53.043165897069386</v>
      </c>
      <c r="AL34" s="116">
        <f t="shared" si="22"/>
        <v>106.08633179413877</v>
      </c>
      <c r="AM34" s="117">
        <f t="shared" si="23"/>
        <v>106.42641554145698</v>
      </c>
      <c r="AN34" s="118">
        <f t="shared" si="24"/>
        <v>-0.34008374731820368</v>
      </c>
      <c r="AO34" s="119">
        <f t="shared" si="25"/>
        <v>-3.1954824898310012E-3</v>
      </c>
      <c r="AQ34" s="114">
        <f>IF(ROW()&lt;(ROW(Y$10)+AR$7),"["&amp;$A34&amp;"]", INDEX($L:$L,ROW(Y$10)+AR$7)/SUM($L$9:$L34))</f>
        <v>1.3896269121552003E-3</v>
      </c>
      <c r="AR34" s="115">
        <f t="shared" si="26"/>
        <v>25.652512798384997</v>
      </c>
      <c r="AS34" s="115">
        <f t="shared" si="27"/>
        <v>25.120252347851256</v>
      </c>
      <c r="AT34" s="116">
        <f t="shared" si="28"/>
        <v>50.240504695702512</v>
      </c>
      <c r="AU34" s="117">
        <f t="shared" si="29"/>
        <v>50.257182241614061</v>
      </c>
      <c r="AV34" s="118">
        <f t="shared" si="30"/>
        <v>-1.6677545911548464E-2</v>
      </c>
      <c r="AW34" s="119">
        <f t="shared" si="31"/>
        <v>-3.3184403039888467E-4</v>
      </c>
    </row>
    <row r="35" spans="1:50" ht="17" x14ac:dyDescent="0.2">
      <c r="A35" s="102" t="s">
        <v>43</v>
      </c>
      <c r="B35" s="103">
        <f t="shared" si="2"/>
        <v>18460</v>
      </c>
      <c r="C35" s="104">
        <f t="shared" si="2"/>
        <v>18076.976005661658</v>
      </c>
      <c r="D35" s="105">
        <f t="shared" si="4"/>
        <v>0.9792511379014982</v>
      </c>
      <c r="F35" s="5"/>
      <c r="G35" s="106">
        <f t="shared" si="5"/>
        <v>0</v>
      </c>
      <c r="H35" s="107">
        <f t="shared" si="6"/>
        <v>0.9792511379014982</v>
      </c>
      <c r="I35" s="6"/>
      <c r="J35" s="13">
        <f t="shared" si="3"/>
        <v>0</v>
      </c>
      <c r="K35" s="108">
        <f t="shared" si="7"/>
        <v>0</v>
      </c>
      <c r="L35" s="109">
        <f>MIN(I35*10^18*SUM($L$8:$L34) / ((B35-F35)*10^18), J35*10^18*SUM($L$8:$L34) / ((C35-G35)*10^18))</f>
        <v>0</v>
      </c>
      <c r="N35" s="110">
        <f t="shared" si="0"/>
        <v>36153.952011323316</v>
      </c>
      <c r="O35" s="111">
        <f>SUM($I$9:$I35)-SUM($F$9:$F35)</f>
        <v>18460</v>
      </c>
      <c r="P35" s="111">
        <f>SUM($J$9:$J35)-SUM($G$9:$G35)</f>
        <v>18076.976005661658</v>
      </c>
      <c r="Q35" s="112">
        <f t="shared" si="1"/>
        <v>0</v>
      </c>
      <c r="R35" s="113"/>
      <c r="S35" s="114">
        <f>IF(ROW()&lt;(ROW(A$10)+T$7),"["&amp;$A35&amp;"]", INDEX($L:$L,ROW(A$10)+T$7)/SUM($L$9:$L35))</f>
        <v>0.52811387014077649</v>
      </c>
      <c r="T35" s="115">
        <f t="shared" si="8"/>
        <v>9748.9820427987343</v>
      </c>
      <c r="U35" s="115">
        <f t="shared" si="9"/>
        <v>9546.7017587919327</v>
      </c>
      <c r="V35" s="116">
        <f t="shared" si="10"/>
        <v>19093.403517583865</v>
      </c>
      <c r="W35" s="117">
        <f t="shared" si="11"/>
        <v>19154.440687159891</v>
      </c>
      <c r="X35" s="118">
        <f t="shared" si="12"/>
        <v>-61.037169576025917</v>
      </c>
      <c r="Y35" s="119">
        <f t="shared" si="13"/>
        <v>-3.1865806249796666E-3</v>
      </c>
      <c r="AA35" s="114">
        <f>IF(ROW()&lt;(ROW(I$10)+AB$7),"["&amp;$A35&amp;"]", INDEX($L:$L,ROW(I$10)+AB$7)/SUM($L$9:$L35))</f>
        <v>0</v>
      </c>
      <c r="AB35" s="115">
        <f t="shared" si="14"/>
        <v>0</v>
      </c>
      <c r="AC35" s="115">
        <f t="shared" si="15"/>
        <v>0</v>
      </c>
      <c r="AD35" s="116">
        <f t="shared" si="16"/>
        <v>0</v>
      </c>
      <c r="AE35" s="117">
        <f t="shared" si="17"/>
        <v>0</v>
      </c>
      <c r="AF35" s="118">
        <f t="shared" si="18"/>
        <v>0</v>
      </c>
      <c r="AG35" s="119" t="str">
        <f t="shared" si="19"/>
        <v/>
      </c>
      <c r="AI35" s="114">
        <f>IF(ROW()&lt;(ROW(Q$10)+AJ$7),"["&amp;$A35&amp;"]", INDEX($L:$L,ROW(Q$10)+AJ$7)/SUM($L$9:$L35))</f>
        <v>2.9342942027724334E-3</v>
      </c>
      <c r="AJ35" s="115">
        <f t="shared" si="20"/>
        <v>54.167070983179123</v>
      </c>
      <c r="AK35" s="115">
        <f t="shared" si="21"/>
        <v>53.043165897069386</v>
      </c>
      <c r="AL35" s="116">
        <f t="shared" si="22"/>
        <v>106.08633179413877</v>
      </c>
      <c r="AM35" s="117">
        <f t="shared" si="23"/>
        <v>106.42641554145698</v>
      </c>
      <c r="AN35" s="118">
        <f t="shared" si="24"/>
        <v>-0.34008374731820368</v>
      </c>
      <c r="AO35" s="119">
        <f t="shared" si="25"/>
        <v>-3.1954824898310012E-3</v>
      </c>
      <c r="AQ35" s="114">
        <f>IF(ROW()&lt;(ROW(Y$10)+AR$7),"["&amp;$A35&amp;"]", INDEX($L:$L,ROW(Y$10)+AR$7)/SUM($L$9:$L35))</f>
        <v>1.3896269121552003E-3</v>
      </c>
      <c r="AR35" s="115">
        <f t="shared" si="26"/>
        <v>25.652512798384997</v>
      </c>
      <c r="AS35" s="115">
        <f t="shared" si="27"/>
        <v>25.120252347851256</v>
      </c>
      <c r="AT35" s="116">
        <f t="shared" si="28"/>
        <v>50.240504695702512</v>
      </c>
      <c r="AU35" s="117">
        <f t="shared" si="29"/>
        <v>50.257182241614061</v>
      </c>
      <c r="AV35" s="118">
        <f t="shared" si="30"/>
        <v>-1.6677545911548464E-2</v>
      </c>
      <c r="AW35" s="119">
        <f t="shared" si="31"/>
        <v>-3.3184403039888467E-4</v>
      </c>
    </row>
    <row r="36" spans="1:50" ht="17" x14ac:dyDescent="0.2">
      <c r="A36" s="102" t="s">
        <v>44</v>
      </c>
      <c r="B36" s="103">
        <f t="shared" si="2"/>
        <v>18460</v>
      </c>
      <c r="C36" s="104">
        <f t="shared" si="2"/>
        <v>18076.976005661658</v>
      </c>
      <c r="D36" s="105">
        <f t="shared" si="4"/>
        <v>0.9792511379014982</v>
      </c>
      <c r="F36" s="5"/>
      <c r="G36" s="106">
        <f t="shared" si="5"/>
        <v>0</v>
      </c>
      <c r="H36" s="107">
        <f t="shared" si="6"/>
        <v>0.9792511379014982</v>
      </c>
      <c r="I36" s="6"/>
      <c r="J36" s="13">
        <f t="shared" si="3"/>
        <v>0</v>
      </c>
      <c r="K36" s="108">
        <f t="shared" si="7"/>
        <v>0</v>
      </c>
      <c r="L36" s="109">
        <f>MIN(I36*10^18*SUM($L$8:$L35) / ((B36-F36)*10^18), J36*10^18*SUM($L$8:$L35) / ((C36-G36)*10^18))</f>
        <v>0</v>
      </c>
      <c r="N36" s="110">
        <f t="shared" si="0"/>
        <v>36153.952011323316</v>
      </c>
      <c r="O36" s="111">
        <f>SUM($I$9:$I36)-SUM($F$9:$F36)</f>
        <v>18460</v>
      </c>
      <c r="P36" s="111">
        <f>SUM($J$9:$J36)-SUM($G$9:$G36)</f>
        <v>18076.976005661658</v>
      </c>
      <c r="Q36" s="112">
        <f t="shared" si="1"/>
        <v>0</v>
      </c>
      <c r="R36" s="113"/>
      <c r="S36" s="114">
        <f>IF(ROW()&lt;(ROW(A$10)+T$7),"["&amp;$A36&amp;"]", INDEX($L:$L,ROW(A$10)+T$7)/SUM($L$9:$L36))</f>
        <v>0.52811387014077649</v>
      </c>
      <c r="T36" s="115">
        <f t="shared" si="8"/>
        <v>9748.9820427987343</v>
      </c>
      <c r="U36" s="115">
        <f t="shared" si="9"/>
        <v>9546.7017587919327</v>
      </c>
      <c r="V36" s="116">
        <f t="shared" si="10"/>
        <v>19093.403517583865</v>
      </c>
      <c r="W36" s="117">
        <f t="shared" si="11"/>
        <v>19154.440687159891</v>
      </c>
      <c r="X36" s="118">
        <f t="shared" si="12"/>
        <v>-61.037169576025917</v>
      </c>
      <c r="Y36" s="119">
        <f t="shared" si="13"/>
        <v>-3.1865806249796666E-3</v>
      </c>
      <c r="AA36" s="114">
        <f>IF(ROW()&lt;(ROW(I$10)+AB$7),"["&amp;$A36&amp;"]", INDEX($L:$L,ROW(I$10)+AB$7)/SUM($L$9:$L36))</f>
        <v>0</v>
      </c>
      <c r="AB36" s="115">
        <f t="shared" si="14"/>
        <v>0</v>
      </c>
      <c r="AC36" s="115">
        <f t="shared" si="15"/>
        <v>0</v>
      </c>
      <c r="AD36" s="116">
        <f t="shared" si="16"/>
        <v>0</v>
      </c>
      <c r="AE36" s="117">
        <f t="shared" si="17"/>
        <v>0</v>
      </c>
      <c r="AF36" s="118">
        <f t="shared" si="18"/>
        <v>0</v>
      </c>
      <c r="AG36" s="119" t="str">
        <f t="shared" si="19"/>
        <v/>
      </c>
      <c r="AI36" s="114">
        <f>IF(ROW()&lt;(ROW(Q$10)+AJ$7),"["&amp;$A36&amp;"]", INDEX($L:$L,ROW(Q$10)+AJ$7)/SUM($L$9:$L36))</f>
        <v>2.9342942027724334E-3</v>
      </c>
      <c r="AJ36" s="115">
        <f t="shared" si="20"/>
        <v>54.167070983179123</v>
      </c>
      <c r="AK36" s="115">
        <f t="shared" si="21"/>
        <v>53.043165897069386</v>
      </c>
      <c r="AL36" s="116">
        <f t="shared" si="22"/>
        <v>106.08633179413877</v>
      </c>
      <c r="AM36" s="117">
        <f t="shared" si="23"/>
        <v>106.42641554145698</v>
      </c>
      <c r="AN36" s="118">
        <f t="shared" si="24"/>
        <v>-0.34008374731820368</v>
      </c>
      <c r="AO36" s="119">
        <f t="shared" si="25"/>
        <v>-3.1954824898310012E-3</v>
      </c>
      <c r="AQ36" s="114">
        <f>IF(ROW()&lt;(ROW(Y$10)+AR$7),"["&amp;$A36&amp;"]", INDEX($L:$L,ROW(Y$10)+AR$7)/SUM($L$9:$L36))</f>
        <v>1.3896269121552003E-3</v>
      </c>
      <c r="AR36" s="115">
        <f t="shared" si="26"/>
        <v>25.652512798384997</v>
      </c>
      <c r="AS36" s="115">
        <f t="shared" si="27"/>
        <v>25.120252347851256</v>
      </c>
      <c r="AT36" s="116">
        <f t="shared" si="28"/>
        <v>50.240504695702512</v>
      </c>
      <c r="AU36" s="117">
        <f t="shared" si="29"/>
        <v>50.257182241614061</v>
      </c>
      <c r="AV36" s="118">
        <f t="shared" si="30"/>
        <v>-1.6677545911548464E-2</v>
      </c>
      <c r="AW36" s="119">
        <f t="shared" si="31"/>
        <v>-3.3184403039888467E-4</v>
      </c>
    </row>
    <row r="37" spans="1:50" ht="17" x14ac:dyDescent="0.2">
      <c r="A37" s="102" t="s">
        <v>45</v>
      </c>
      <c r="B37" s="103">
        <f t="shared" si="2"/>
        <v>18460</v>
      </c>
      <c r="C37" s="104">
        <f t="shared" si="2"/>
        <v>18076.976005661658</v>
      </c>
      <c r="D37" s="105">
        <f t="shared" si="4"/>
        <v>0.9792511379014982</v>
      </c>
      <c r="F37" s="5"/>
      <c r="G37" s="106">
        <f t="shared" si="5"/>
        <v>0</v>
      </c>
      <c r="H37" s="107">
        <f t="shared" si="6"/>
        <v>0.9792511379014982</v>
      </c>
      <c r="I37" s="6"/>
      <c r="J37" s="13">
        <f t="shared" si="3"/>
        <v>0</v>
      </c>
      <c r="K37" s="108">
        <f t="shared" si="7"/>
        <v>0</v>
      </c>
      <c r="L37" s="109">
        <f>MIN(I37*10^18*SUM($L$8:$L36) / ((B37-F37)*10^18), J37*10^18*SUM($L$8:$L36) / ((C37-G37)*10^18))</f>
        <v>0</v>
      </c>
      <c r="N37" s="110">
        <f t="shared" si="0"/>
        <v>36153.952011323316</v>
      </c>
      <c r="O37" s="111">
        <f>SUM($I$9:$I37)-SUM($F$9:$F37)</f>
        <v>18460</v>
      </c>
      <c r="P37" s="111">
        <f>SUM($J$9:$J37)-SUM($G$9:$G37)</f>
        <v>18076.976005661658</v>
      </c>
      <c r="Q37" s="112">
        <f t="shared" si="1"/>
        <v>0</v>
      </c>
      <c r="R37" s="113"/>
      <c r="S37" s="114">
        <f>IF(ROW()&lt;(ROW(A$10)+T$7),"["&amp;$A37&amp;"]", INDEX($L:$L,ROW(A$10)+T$7)/SUM($L$9:$L37))</f>
        <v>0.52811387014077649</v>
      </c>
      <c r="T37" s="115">
        <f t="shared" si="8"/>
        <v>9748.9820427987343</v>
      </c>
      <c r="U37" s="115">
        <f t="shared" si="9"/>
        <v>9546.7017587919327</v>
      </c>
      <c r="V37" s="116">
        <f t="shared" si="10"/>
        <v>19093.403517583865</v>
      </c>
      <c r="W37" s="117">
        <f t="shared" si="11"/>
        <v>19154.440687159891</v>
      </c>
      <c r="X37" s="118">
        <f t="shared" si="12"/>
        <v>-61.037169576025917</v>
      </c>
      <c r="Y37" s="119">
        <f t="shared" si="13"/>
        <v>-3.1865806249796666E-3</v>
      </c>
      <c r="AA37" s="114">
        <f>IF(ROW()&lt;(ROW(I$10)+AB$7),"["&amp;$A37&amp;"]", INDEX($L:$L,ROW(I$10)+AB$7)/SUM($L$9:$L37))</f>
        <v>0</v>
      </c>
      <c r="AB37" s="115">
        <f t="shared" si="14"/>
        <v>0</v>
      </c>
      <c r="AC37" s="115">
        <f t="shared" si="15"/>
        <v>0</v>
      </c>
      <c r="AD37" s="116">
        <f t="shared" si="16"/>
        <v>0</v>
      </c>
      <c r="AE37" s="117">
        <f t="shared" si="17"/>
        <v>0</v>
      </c>
      <c r="AF37" s="118">
        <f t="shared" si="18"/>
        <v>0</v>
      </c>
      <c r="AG37" s="119" t="str">
        <f t="shared" si="19"/>
        <v/>
      </c>
      <c r="AI37" s="114">
        <f>IF(ROW()&lt;(ROW(Q$10)+AJ$7),"["&amp;$A37&amp;"]", INDEX($L:$L,ROW(Q$10)+AJ$7)/SUM($L$9:$L37))</f>
        <v>2.9342942027724334E-3</v>
      </c>
      <c r="AJ37" s="115">
        <f t="shared" si="20"/>
        <v>54.167070983179123</v>
      </c>
      <c r="AK37" s="115">
        <f t="shared" si="21"/>
        <v>53.043165897069386</v>
      </c>
      <c r="AL37" s="116">
        <f t="shared" si="22"/>
        <v>106.08633179413877</v>
      </c>
      <c r="AM37" s="117">
        <f t="shared" si="23"/>
        <v>106.42641554145698</v>
      </c>
      <c r="AN37" s="118">
        <f t="shared" si="24"/>
        <v>-0.34008374731820368</v>
      </c>
      <c r="AO37" s="119">
        <f t="shared" si="25"/>
        <v>-3.1954824898310012E-3</v>
      </c>
      <c r="AQ37" s="114">
        <f>IF(ROW()&lt;(ROW(Y$10)+AR$7),"["&amp;$A37&amp;"]", INDEX($L:$L,ROW(Y$10)+AR$7)/SUM($L$9:$L37))</f>
        <v>1.3896269121552003E-3</v>
      </c>
      <c r="AR37" s="115">
        <f t="shared" si="26"/>
        <v>25.652512798384997</v>
      </c>
      <c r="AS37" s="115">
        <f t="shared" si="27"/>
        <v>25.120252347851256</v>
      </c>
      <c r="AT37" s="116">
        <f t="shared" si="28"/>
        <v>50.240504695702512</v>
      </c>
      <c r="AU37" s="117">
        <f t="shared" si="29"/>
        <v>50.257182241614061</v>
      </c>
      <c r="AV37" s="118">
        <f t="shared" si="30"/>
        <v>-1.6677545911548464E-2</v>
      </c>
      <c r="AW37" s="119">
        <f t="shared" si="31"/>
        <v>-3.3184403039888467E-4</v>
      </c>
    </row>
    <row r="38" spans="1:50" ht="17" x14ac:dyDescent="0.2">
      <c r="A38" s="102" t="s">
        <v>46</v>
      </c>
      <c r="B38" s="103">
        <f t="shared" si="2"/>
        <v>18460</v>
      </c>
      <c r="C38" s="104">
        <f t="shared" si="2"/>
        <v>18076.976005661658</v>
      </c>
      <c r="D38" s="105">
        <f t="shared" si="4"/>
        <v>0.9792511379014982</v>
      </c>
      <c r="F38" s="5"/>
      <c r="G38" s="106">
        <f t="shared" si="5"/>
        <v>0</v>
      </c>
      <c r="H38" s="107">
        <f t="shared" si="6"/>
        <v>0.9792511379014982</v>
      </c>
      <c r="I38" s="6"/>
      <c r="J38" s="13">
        <f t="shared" si="3"/>
        <v>0</v>
      </c>
      <c r="K38" s="108">
        <f t="shared" si="7"/>
        <v>0</v>
      </c>
      <c r="L38" s="109">
        <f>MIN(I38*10^18*SUM($L$8:$L37) / ((B38-F38)*10^18), J38*10^18*SUM($L$8:$L37) / ((C38-G38)*10^18))</f>
        <v>0</v>
      </c>
      <c r="N38" s="110">
        <f t="shared" si="0"/>
        <v>36153.952011323316</v>
      </c>
      <c r="O38" s="111">
        <f>SUM($I$9:$I38)-SUM($F$9:$F38)</f>
        <v>18460</v>
      </c>
      <c r="P38" s="111">
        <f>SUM($J$9:$J38)-SUM($G$9:$G38)</f>
        <v>18076.976005661658</v>
      </c>
      <c r="Q38" s="112">
        <f t="shared" si="1"/>
        <v>0</v>
      </c>
      <c r="R38" s="113"/>
      <c r="S38" s="114">
        <f>IF(ROW()&lt;(ROW(A$10)+T$7),"["&amp;$A38&amp;"]", INDEX($L:$L,ROW(A$10)+T$7)/SUM($L$9:$L38))</f>
        <v>0.52811387014077649</v>
      </c>
      <c r="T38" s="115">
        <f t="shared" si="8"/>
        <v>9748.9820427987343</v>
      </c>
      <c r="U38" s="115">
        <f t="shared" si="9"/>
        <v>9546.7017587919327</v>
      </c>
      <c r="V38" s="116">
        <f t="shared" si="10"/>
        <v>19093.403517583865</v>
      </c>
      <c r="W38" s="117">
        <f t="shared" si="11"/>
        <v>19154.440687159891</v>
      </c>
      <c r="X38" s="118">
        <f t="shared" si="12"/>
        <v>-61.037169576025917</v>
      </c>
      <c r="Y38" s="119">
        <f t="shared" si="13"/>
        <v>-3.1865806249796666E-3</v>
      </c>
      <c r="AA38" s="114">
        <f>IF(ROW()&lt;(ROW(I$10)+AB$7),"["&amp;$A38&amp;"]", INDEX($L:$L,ROW(I$10)+AB$7)/SUM($L$9:$L38))</f>
        <v>0</v>
      </c>
      <c r="AB38" s="115">
        <f t="shared" si="14"/>
        <v>0</v>
      </c>
      <c r="AC38" s="115">
        <f t="shared" si="15"/>
        <v>0</v>
      </c>
      <c r="AD38" s="116">
        <f t="shared" si="16"/>
        <v>0</v>
      </c>
      <c r="AE38" s="117">
        <f t="shared" si="17"/>
        <v>0</v>
      </c>
      <c r="AF38" s="118">
        <f t="shared" si="18"/>
        <v>0</v>
      </c>
      <c r="AG38" s="119" t="str">
        <f t="shared" si="19"/>
        <v/>
      </c>
      <c r="AI38" s="114">
        <f>IF(ROW()&lt;(ROW(Q$10)+AJ$7),"["&amp;$A38&amp;"]", INDEX($L:$L,ROW(Q$10)+AJ$7)/SUM($L$9:$L38))</f>
        <v>2.9342942027724334E-3</v>
      </c>
      <c r="AJ38" s="115">
        <f t="shared" si="20"/>
        <v>54.167070983179123</v>
      </c>
      <c r="AK38" s="115">
        <f t="shared" si="21"/>
        <v>53.043165897069386</v>
      </c>
      <c r="AL38" s="116">
        <f t="shared" si="22"/>
        <v>106.08633179413877</v>
      </c>
      <c r="AM38" s="117">
        <f t="shared" si="23"/>
        <v>106.42641554145698</v>
      </c>
      <c r="AN38" s="118">
        <f t="shared" si="24"/>
        <v>-0.34008374731820368</v>
      </c>
      <c r="AO38" s="119">
        <f t="shared" si="25"/>
        <v>-3.1954824898310012E-3</v>
      </c>
      <c r="AQ38" s="114">
        <f>IF(ROW()&lt;(ROW(Y$10)+AR$7),"["&amp;$A38&amp;"]", INDEX($L:$L,ROW(Y$10)+AR$7)/SUM($L$9:$L38))</f>
        <v>1.3896269121552003E-3</v>
      </c>
      <c r="AR38" s="115">
        <f t="shared" si="26"/>
        <v>25.652512798384997</v>
      </c>
      <c r="AS38" s="115">
        <f t="shared" si="27"/>
        <v>25.120252347851256</v>
      </c>
      <c r="AT38" s="116">
        <f t="shared" si="28"/>
        <v>50.240504695702512</v>
      </c>
      <c r="AU38" s="117">
        <f t="shared" si="29"/>
        <v>50.257182241614061</v>
      </c>
      <c r="AV38" s="118">
        <f t="shared" si="30"/>
        <v>-1.6677545911548464E-2</v>
      </c>
      <c r="AW38" s="119">
        <f t="shared" si="31"/>
        <v>-3.3184403039888467E-4</v>
      </c>
    </row>
    <row r="39" spans="1:50" ht="17" x14ac:dyDescent="0.2">
      <c r="A39" s="102" t="s">
        <v>47</v>
      </c>
      <c r="B39" s="103">
        <f t="shared" si="2"/>
        <v>18460</v>
      </c>
      <c r="C39" s="104">
        <f t="shared" si="2"/>
        <v>18076.976005661658</v>
      </c>
      <c r="D39" s="105">
        <f t="shared" si="4"/>
        <v>0.9792511379014982</v>
      </c>
      <c r="F39" s="5"/>
      <c r="G39" s="106">
        <f t="shared" si="5"/>
        <v>0</v>
      </c>
      <c r="H39" s="107">
        <f t="shared" si="6"/>
        <v>0.9792511379014982</v>
      </c>
      <c r="I39" s="6"/>
      <c r="J39" s="13">
        <f t="shared" si="3"/>
        <v>0</v>
      </c>
      <c r="K39" s="108">
        <f t="shared" si="7"/>
        <v>0</v>
      </c>
      <c r="L39" s="109">
        <f>MIN(I39*10^18*SUM($L$8:$L38) / ((B39-F39)*10^18), J39*10^18*SUM($L$8:$L38) / ((C39-G39)*10^18))</f>
        <v>0</v>
      </c>
      <c r="N39" s="110">
        <f t="shared" si="0"/>
        <v>36153.952011323316</v>
      </c>
      <c r="O39" s="111">
        <f>SUM($I$9:$I39)-SUM($F$9:$F39)</f>
        <v>18460</v>
      </c>
      <c r="P39" s="111">
        <f>SUM($J$9:$J39)-SUM($G$9:$G39)</f>
        <v>18076.976005661658</v>
      </c>
      <c r="Q39" s="112">
        <f t="shared" si="1"/>
        <v>0</v>
      </c>
      <c r="R39" s="113"/>
      <c r="S39" s="114">
        <f>IF(ROW()&lt;(ROW(A$10)+T$7),"["&amp;$A39&amp;"]", INDEX($L:$L,ROW(A$10)+T$7)/SUM($L$9:$L39))</f>
        <v>0.52811387014077649</v>
      </c>
      <c r="T39" s="115">
        <f t="shared" si="8"/>
        <v>9748.9820427987343</v>
      </c>
      <c r="U39" s="115">
        <f t="shared" si="9"/>
        <v>9546.7017587919327</v>
      </c>
      <c r="V39" s="116">
        <f t="shared" si="10"/>
        <v>19093.403517583865</v>
      </c>
      <c r="W39" s="117">
        <f t="shared" si="11"/>
        <v>19154.440687159891</v>
      </c>
      <c r="X39" s="118">
        <f t="shared" si="12"/>
        <v>-61.037169576025917</v>
      </c>
      <c r="Y39" s="119">
        <f t="shared" si="13"/>
        <v>-3.1865806249796666E-3</v>
      </c>
      <c r="AA39" s="114">
        <f>IF(ROW()&lt;(ROW(I$10)+AB$7),"["&amp;$A39&amp;"]", INDEX($L:$L,ROW(I$10)+AB$7)/SUM($L$9:$L39))</f>
        <v>0</v>
      </c>
      <c r="AB39" s="115">
        <f t="shared" si="14"/>
        <v>0</v>
      </c>
      <c r="AC39" s="115">
        <f t="shared" si="15"/>
        <v>0</v>
      </c>
      <c r="AD39" s="116">
        <f t="shared" si="16"/>
        <v>0</v>
      </c>
      <c r="AE39" s="117">
        <f t="shared" si="17"/>
        <v>0</v>
      </c>
      <c r="AF39" s="118">
        <f t="shared" si="18"/>
        <v>0</v>
      </c>
      <c r="AG39" s="119" t="str">
        <f t="shared" si="19"/>
        <v/>
      </c>
      <c r="AI39" s="114">
        <f>IF(ROW()&lt;(ROW(Q$10)+AJ$7),"["&amp;$A39&amp;"]", INDEX($L:$L,ROW(Q$10)+AJ$7)/SUM($L$9:$L39))</f>
        <v>2.9342942027724334E-3</v>
      </c>
      <c r="AJ39" s="115">
        <f t="shared" si="20"/>
        <v>54.167070983179123</v>
      </c>
      <c r="AK39" s="115">
        <f t="shared" si="21"/>
        <v>53.043165897069386</v>
      </c>
      <c r="AL39" s="116">
        <f t="shared" si="22"/>
        <v>106.08633179413877</v>
      </c>
      <c r="AM39" s="117">
        <f t="shared" si="23"/>
        <v>106.42641554145698</v>
      </c>
      <c r="AN39" s="118">
        <f t="shared" si="24"/>
        <v>-0.34008374731820368</v>
      </c>
      <c r="AO39" s="119">
        <f t="shared" si="25"/>
        <v>-3.1954824898310012E-3</v>
      </c>
      <c r="AQ39" s="114">
        <f>IF(ROW()&lt;(ROW(Y$10)+AR$7),"["&amp;$A39&amp;"]", INDEX($L:$L,ROW(Y$10)+AR$7)/SUM($L$9:$L39))</f>
        <v>1.3896269121552003E-3</v>
      </c>
      <c r="AR39" s="115">
        <f t="shared" si="26"/>
        <v>25.652512798384997</v>
      </c>
      <c r="AS39" s="115">
        <f t="shared" si="27"/>
        <v>25.120252347851256</v>
      </c>
      <c r="AT39" s="116">
        <f t="shared" si="28"/>
        <v>50.240504695702512</v>
      </c>
      <c r="AU39" s="117">
        <f t="shared" si="29"/>
        <v>50.257182241614061</v>
      </c>
      <c r="AV39" s="118">
        <f t="shared" si="30"/>
        <v>-1.6677545911548464E-2</v>
      </c>
      <c r="AW39" s="119">
        <f t="shared" si="31"/>
        <v>-3.3184403039888467E-4</v>
      </c>
    </row>
    <row r="40" spans="1:50" ht="17" x14ac:dyDescent="0.2">
      <c r="A40" s="102" t="s">
        <v>48</v>
      </c>
      <c r="B40" s="103">
        <f t="shared" si="2"/>
        <v>18460</v>
      </c>
      <c r="C40" s="104">
        <f t="shared" si="2"/>
        <v>18076.976005661658</v>
      </c>
      <c r="D40" s="105">
        <f t="shared" si="4"/>
        <v>0.9792511379014982</v>
      </c>
      <c r="F40" s="5"/>
      <c r="G40" s="106">
        <f t="shared" si="5"/>
        <v>0</v>
      </c>
      <c r="H40" s="107">
        <f t="shared" si="6"/>
        <v>0.9792511379014982</v>
      </c>
      <c r="I40" s="6"/>
      <c r="J40" s="13">
        <f t="shared" si="3"/>
        <v>0</v>
      </c>
      <c r="K40" s="108">
        <f t="shared" si="7"/>
        <v>0</v>
      </c>
      <c r="L40" s="109">
        <f>MIN(I40*10^18*SUM($L$8:$L39) / ((B40-F40)*10^18), J40*10^18*SUM($L$8:$L39) / ((C40-G40)*10^18))</f>
        <v>0</v>
      </c>
      <c r="N40" s="110">
        <f t="shared" si="0"/>
        <v>36153.952011323316</v>
      </c>
      <c r="O40" s="111">
        <f>SUM($I$9:$I40)-SUM($F$9:$F40)</f>
        <v>18460</v>
      </c>
      <c r="P40" s="111">
        <f>SUM($J$9:$J40)-SUM($G$9:$G40)</f>
        <v>18076.976005661658</v>
      </c>
      <c r="Q40" s="112">
        <f t="shared" si="1"/>
        <v>0</v>
      </c>
      <c r="R40" s="113"/>
      <c r="S40" s="114">
        <f>IF(ROW()&lt;(ROW(A$10)+T$7),"["&amp;$A40&amp;"]", INDEX($L:$L,ROW(A$10)+T$7)/SUM($L$9:$L40))</f>
        <v>0.52811387014077649</v>
      </c>
      <c r="T40" s="115">
        <f t="shared" si="8"/>
        <v>9748.9820427987343</v>
      </c>
      <c r="U40" s="115">
        <f t="shared" si="9"/>
        <v>9546.7017587919327</v>
      </c>
      <c r="V40" s="116">
        <f t="shared" si="10"/>
        <v>19093.403517583865</v>
      </c>
      <c r="W40" s="117">
        <f t="shared" si="11"/>
        <v>19154.440687159891</v>
      </c>
      <c r="X40" s="118">
        <f t="shared" si="12"/>
        <v>-61.037169576025917</v>
      </c>
      <c r="Y40" s="119">
        <f t="shared" si="13"/>
        <v>-3.1865806249796666E-3</v>
      </c>
      <c r="AA40" s="114">
        <f>IF(ROW()&lt;(ROW(I$10)+AB$7),"["&amp;$A40&amp;"]", INDEX($L:$L,ROW(I$10)+AB$7)/SUM($L$9:$L40))</f>
        <v>0</v>
      </c>
      <c r="AB40" s="115">
        <f t="shared" si="14"/>
        <v>0</v>
      </c>
      <c r="AC40" s="115">
        <f t="shared" si="15"/>
        <v>0</v>
      </c>
      <c r="AD40" s="116">
        <f t="shared" si="16"/>
        <v>0</v>
      </c>
      <c r="AE40" s="117">
        <f t="shared" si="17"/>
        <v>0</v>
      </c>
      <c r="AF40" s="118">
        <f t="shared" si="18"/>
        <v>0</v>
      </c>
      <c r="AG40" s="119" t="str">
        <f t="shared" si="19"/>
        <v/>
      </c>
      <c r="AI40" s="114">
        <f>IF(ROW()&lt;(ROW(Q$10)+AJ$7),"["&amp;$A40&amp;"]", INDEX($L:$L,ROW(Q$10)+AJ$7)/SUM($L$9:$L40))</f>
        <v>2.9342942027724334E-3</v>
      </c>
      <c r="AJ40" s="115">
        <f t="shared" si="20"/>
        <v>54.167070983179123</v>
      </c>
      <c r="AK40" s="115">
        <f t="shared" si="21"/>
        <v>53.043165897069386</v>
      </c>
      <c r="AL40" s="116">
        <f t="shared" si="22"/>
        <v>106.08633179413877</v>
      </c>
      <c r="AM40" s="117">
        <f t="shared" si="23"/>
        <v>106.42641554145698</v>
      </c>
      <c r="AN40" s="118">
        <f t="shared" si="24"/>
        <v>-0.34008374731820368</v>
      </c>
      <c r="AO40" s="119">
        <f t="shared" si="25"/>
        <v>-3.1954824898310012E-3</v>
      </c>
      <c r="AQ40" s="114">
        <f>IF(ROW()&lt;(ROW(Y$10)+AR$7),"["&amp;$A40&amp;"]", INDEX($L:$L,ROW(Y$10)+AR$7)/SUM($L$9:$L40))</f>
        <v>1.3896269121552003E-3</v>
      </c>
      <c r="AR40" s="115">
        <f t="shared" si="26"/>
        <v>25.652512798384997</v>
      </c>
      <c r="AS40" s="115">
        <f t="shared" si="27"/>
        <v>25.120252347851256</v>
      </c>
      <c r="AT40" s="116">
        <f t="shared" si="28"/>
        <v>50.240504695702512</v>
      </c>
      <c r="AU40" s="117">
        <f t="shared" si="29"/>
        <v>50.257182241614061</v>
      </c>
      <c r="AV40" s="118">
        <f t="shared" si="30"/>
        <v>-1.6677545911548464E-2</v>
      </c>
      <c r="AW40" s="119">
        <f t="shared" si="31"/>
        <v>-3.3184403039888467E-4</v>
      </c>
    </row>
    <row r="41" spans="1:50" ht="17" x14ac:dyDescent="0.2">
      <c r="A41" s="102" t="s">
        <v>49</v>
      </c>
      <c r="B41" s="103">
        <f t="shared" si="2"/>
        <v>18460</v>
      </c>
      <c r="C41" s="104">
        <f t="shared" si="2"/>
        <v>18076.976005661658</v>
      </c>
      <c r="D41" s="105">
        <f t="shared" si="4"/>
        <v>0.9792511379014982</v>
      </c>
      <c r="F41" s="5"/>
      <c r="G41" s="106">
        <f t="shared" si="5"/>
        <v>0</v>
      </c>
      <c r="H41" s="107">
        <f t="shared" si="6"/>
        <v>0.9792511379014982</v>
      </c>
      <c r="I41" s="6"/>
      <c r="J41" s="13">
        <f t="shared" si="3"/>
        <v>0</v>
      </c>
      <c r="K41" s="108">
        <f t="shared" si="7"/>
        <v>0</v>
      </c>
      <c r="L41" s="109">
        <f>MIN(I41*10^18*SUM($L$8:$L40) / ((B41-F41)*10^18), J41*10^18*SUM($L$8:$L40) / ((C41-G41)*10^18))</f>
        <v>0</v>
      </c>
      <c r="N41" s="110">
        <f t="shared" si="0"/>
        <v>36153.952011323316</v>
      </c>
      <c r="O41" s="111">
        <f>SUM($I$9:$I41)-SUM($F$9:$F41)</f>
        <v>18460</v>
      </c>
      <c r="P41" s="111">
        <f>SUM($J$9:$J41)-SUM($G$9:$G41)</f>
        <v>18076.976005661658</v>
      </c>
      <c r="Q41" s="112">
        <f t="shared" si="1"/>
        <v>0</v>
      </c>
      <c r="R41" s="113"/>
      <c r="S41" s="114">
        <f>IF(ROW()&lt;(ROW(A$10)+T$7),"["&amp;$A41&amp;"]", INDEX($L:$L,ROW(A$10)+T$7)/SUM($L$9:$L41))</f>
        <v>0.52811387014077649</v>
      </c>
      <c r="T41" s="115">
        <f t="shared" si="8"/>
        <v>9748.9820427987343</v>
      </c>
      <c r="U41" s="115">
        <f t="shared" si="9"/>
        <v>9546.7017587919327</v>
      </c>
      <c r="V41" s="116">
        <f t="shared" si="10"/>
        <v>19093.403517583865</v>
      </c>
      <c r="W41" s="117">
        <f t="shared" si="11"/>
        <v>19154.440687159891</v>
      </c>
      <c r="X41" s="118">
        <f t="shared" si="12"/>
        <v>-61.037169576025917</v>
      </c>
      <c r="Y41" s="119">
        <f t="shared" si="13"/>
        <v>-3.1865806249796666E-3</v>
      </c>
      <c r="AA41" s="114">
        <f>IF(ROW()&lt;(ROW(I$10)+AB$7),"["&amp;$A41&amp;"]", INDEX($L:$L,ROW(I$10)+AB$7)/SUM($L$9:$L41))</f>
        <v>0</v>
      </c>
      <c r="AB41" s="115">
        <f t="shared" si="14"/>
        <v>0</v>
      </c>
      <c r="AC41" s="115">
        <f t="shared" si="15"/>
        <v>0</v>
      </c>
      <c r="AD41" s="116">
        <f t="shared" si="16"/>
        <v>0</v>
      </c>
      <c r="AE41" s="117">
        <f t="shared" si="17"/>
        <v>0</v>
      </c>
      <c r="AF41" s="118">
        <f t="shared" si="18"/>
        <v>0</v>
      </c>
      <c r="AG41" s="119" t="str">
        <f t="shared" si="19"/>
        <v/>
      </c>
      <c r="AI41" s="114">
        <f>IF(ROW()&lt;(ROW(Q$10)+AJ$7),"["&amp;$A41&amp;"]", INDEX($L:$L,ROW(Q$10)+AJ$7)/SUM($L$9:$L41))</f>
        <v>2.9342942027724334E-3</v>
      </c>
      <c r="AJ41" s="115">
        <f t="shared" si="20"/>
        <v>54.167070983179123</v>
      </c>
      <c r="AK41" s="115">
        <f t="shared" si="21"/>
        <v>53.043165897069386</v>
      </c>
      <c r="AL41" s="116">
        <f t="shared" si="22"/>
        <v>106.08633179413877</v>
      </c>
      <c r="AM41" s="117">
        <f t="shared" si="23"/>
        <v>106.42641554145698</v>
      </c>
      <c r="AN41" s="118">
        <f t="shared" si="24"/>
        <v>-0.34008374731820368</v>
      </c>
      <c r="AO41" s="119">
        <f t="shared" si="25"/>
        <v>-3.1954824898310012E-3</v>
      </c>
      <c r="AQ41" s="114">
        <f>IF(ROW()&lt;(ROW(Y$10)+AR$7),"["&amp;$A41&amp;"]", INDEX($L:$L,ROW(Y$10)+AR$7)/SUM($L$9:$L41))</f>
        <v>1.3896269121552003E-3</v>
      </c>
      <c r="AR41" s="115">
        <f t="shared" si="26"/>
        <v>25.652512798384997</v>
      </c>
      <c r="AS41" s="115">
        <f t="shared" si="27"/>
        <v>25.120252347851256</v>
      </c>
      <c r="AT41" s="116">
        <f t="shared" si="28"/>
        <v>50.240504695702512</v>
      </c>
      <c r="AU41" s="117">
        <f t="shared" si="29"/>
        <v>50.257182241614061</v>
      </c>
      <c r="AV41" s="118">
        <f t="shared" si="30"/>
        <v>-1.6677545911548464E-2</v>
      </c>
      <c r="AW41" s="119">
        <f t="shared" si="31"/>
        <v>-3.3184403039888467E-4</v>
      </c>
    </row>
    <row r="42" spans="1:50" ht="17" x14ac:dyDescent="0.2">
      <c r="A42" s="102" t="s">
        <v>50</v>
      </c>
      <c r="B42" s="103">
        <f t="shared" si="2"/>
        <v>18460</v>
      </c>
      <c r="C42" s="104">
        <f t="shared" si="2"/>
        <v>18076.976005661658</v>
      </c>
      <c r="D42" s="105">
        <f t="shared" si="4"/>
        <v>0.9792511379014982</v>
      </c>
      <c r="F42" s="5"/>
      <c r="G42" s="106">
        <f t="shared" si="5"/>
        <v>0</v>
      </c>
      <c r="H42" s="107">
        <f t="shared" si="6"/>
        <v>0.9792511379014982</v>
      </c>
      <c r="I42" s="6"/>
      <c r="J42" s="13">
        <f t="shared" si="3"/>
        <v>0</v>
      </c>
      <c r="K42" s="108">
        <f t="shared" si="7"/>
        <v>0</v>
      </c>
      <c r="L42" s="109">
        <f>MIN(I42*10^18*SUM($L$8:$L41) / ((B42-F42)*10^18), J42*10^18*SUM($L$8:$L41) / ((C42-G42)*10^18))</f>
        <v>0</v>
      </c>
      <c r="N42" s="110">
        <f t="shared" si="0"/>
        <v>36153.952011323316</v>
      </c>
      <c r="O42" s="111">
        <f>SUM($I$9:$I42)-SUM($F$9:$F42)</f>
        <v>18460</v>
      </c>
      <c r="P42" s="111">
        <f>SUM($J$9:$J42)-SUM($G$9:$G42)</f>
        <v>18076.976005661658</v>
      </c>
      <c r="Q42" s="112">
        <f t="shared" si="1"/>
        <v>0</v>
      </c>
      <c r="R42" s="113"/>
      <c r="S42" s="114">
        <f>IF(ROW()&lt;(ROW(A$10)+T$7),"["&amp;$A42&amp;"]", INDEX($L:$L,ROW(A$10)+T$7)/SUM($L$9:$L42))</f>
        <v>0.52811387014077649</v>
      </c>
      <c r="T42" s="115">
        <f t="shared" si="8"/>
        <v>9748.9820427987343</v>
      </c>
      <c r="U42" s="115">
        <f t="shared" si="9"/>
        <v>9546.7017587919327</v>
      </c>
      <c r="V42" s="116">
        <f t="shared" si="10"/>
        <v>19093.403517583865</v>
      </c>
      <c r="W42" s="117">
        <f t="shared" si="11"/>
        <v>19154.440687159891</v>
      </c>
      <c r="X42" s="118">
        <f t="shared" si="12"/>
        <v>-61.037169576025917</v>
      </c>
      <c r="Y42" s="119">
        <f t="shared" si="13"/>
        <v>-3.1865806249796666E-3</v>
      </c>
      <c r="AA42" s="114">
        <f>IF(ROW()&lt;(ROW(I$10)+AB$7),"["&amp;$A42&amp;"]", INDEX($L:$L,ROW(I$10)+AB$7)/SUM($L$9:$L42))</f>
        <v>0</v>
      </c>
      <c r="AB42" s="115">
        <f t="shared" si="14"/>
        <v>0</v>
      </c>
      <c r="AC42" s="115">
        <f t="shared" si="15"/>
        <v>0</v>
      </c>
      <c r="AD42" s="116">
        <f t="shared" si="16"/>
        <v>0</v>
      </c>
      <c r="AE42" s="117">
        <f t="shared" si="17"/>
        <v>0</v>
      </c>
      <c r="AF42" s="118">
        <f t="shared" si="18"/>
        <v>0</v>
      </c>
      <c r="AG42" s="119" t="str">
        <f t="shared" si="19"/>
        <v/>
      </c>
      <c r="AI42" s="114">
        <f>IF(ROW()&lt;(ROW(Q$10)+AJ$7),"["&amp;$A42&amp;"]", INDEX($L:$L,ROW(Q$10)+AJ$7)/SUM($L$9:$L42))</f>
        <v>2.9342942027724334E-3</v>
      </c>
      <c r="AJ42" s="115">
        <f t="shared" si="20"/>
        <v>54.167070983179123</v>
      </c>
      <c r="AK42" s="115">
        <f t="shared" si="21"/>
        <v>53.043165897069386</v>
      </c>
      <c r="AL42" s="116">
        <f t="shared" si="22"/>
        <v>106.08633179413877</v>
      </c>
      <c r="AM42" s="117">
        <f t="shared" si="23"/>
        <v>106.42641554145698</v>
      </c>
      <c r="AN42" s="118">
        <f t="shared" si="24"/>
        <v>-0.34008374731820368</v>
      </c>
      <c r="AO42" s="119">
        <f t="shared" si="25"/>
        <v>-3.1954824898310012E-3</v>
      </c>
      <c r="AQ42" s="114">
        <f>IF(ROW()&lt;(ROW(Y$10)+AR$7),"["&amp;$A42&amp;"]", INDEX($L:$L,ROW(Y$10)+AR$7)/SUM($L$9:$L42))</f>
        <v>1.3896269121552003E-3</v>
      </c>
      <c r="AR42" s="115">
        <f t="shared" si="26"/>
        <v>25.652512798384997</v>
      </c>
      <c r="AS42" s="115">
        <f t="shared" si="27"/>
        <v>25.120252347851256</v>
      </c>
      <c r="AT42" s="116">
        <f t="shared" si="28"/>
        <v>50.240504695702512</v>
      </c>
      <c r="AU42" s="117">
        <f t="shared" si="29"/>
        <v>50.257182241614061</v>
      </c>
      <c r="AV42" s="118">
        <f t="shared" si="30"/>
        <v>-1.6677545911548464E-2</v>
      </c>
      <c r="AW42" s="119">
        <f t="shared" si="31"/>
        <v>-3.3184403039888467E-4</v>
      </c>
    </row>
    <row r="43" spans="1:50" ht="17" x14ac:dyDescent="0.2">
      <c r="A43" s="102" t="s">
        <v>51</v>
      </c>
      <c r="B43" s="103">
        <f t="shared" si="2"/>
        <v>18460</v>
      </c>
      <c r="C43" s="104">
        <f t="shared" si="2"/>
        <v>18076.976005661658</v>
      </c>
      <c r="D43" s="105">
        <f t="shared" si="4"/>
        <v>0.9792511379014982</v>
      </c>
      <c r="F43" s="5"/>
      <c r="G43" s="106">
        <f t="shared" si="5"/>
        <v>0</v>
      </c>
      <c r="H43" s="107">
        <f t="shared" si="6"/>
        <v>0.9792511379014982</v>
      </c>
      <c r="I43" s="6"/>
      <c r="J43" s="13">
        <f t="shared" si="3"/>
        <v>0</v>
      </c>
      <c r="K43" s="108">
        <f t="shared" si="7"/>
        <v>0</v>
      </c>
      <c r="L43" s="109">
        <f>MIN(I43*10^18*SUM($L$8:$L42) / ((B43-F43)*10^18), J43*10^18*SUM($L$8:$L42) / ((C43-G43)*10^18))</f>
        <v>0</v>
      </c>
      <c r="N43" s="110">
        <f t="shared" si="0"/>
        <v>36153.952011323316</v>
      </c>
      <c r="O43" s="111">
        <f>SUM($I$9:$I43)-SUM($F$9:$F43)</f>
        <v>18460</v>
      </c>
      <c r="P43" s="111">
        <f>SUM($J$9:$J43)-SUM($G$9:$G43)</f>
        <v>18076.976005661658</v>
      </c>
      <c r="Q43" s="112">
        <f t="shared" si="1"/>
        <v>0</v>
      </c>
      <c r="R43" s="113"/>
      <c r="S43" s="114">
        <f>IF(ROW()&lt;(ROW(A$10)+T$7),"["&amp;$A43&amp;"]", INDEX($L:$L,ROW(A$10)+T$7)/SUM($L$9:$L43))</f>
        <v>0.52811387014077649</v>
      </c>
      <c r="T43" s="115">
        <f t="shared" si="8"/>
        <v>9748.9820427987343</v>
      </c>
      <c r="U43" s="115">
        <f t="shared" si="9"/>
        <v>9546.7017587919327</v>
      </c>
      <c r="V43" s="116">
        <f t="shared" si="10"/>
        <v>19093.403517583865</v>
      </c>
      <c r="W43" s="117">
        <f t="shared" si="11"/>
        <v>19154.440687159891</v>
      </c>
      <c r="X43" s="118">
        <f t="shared" si="12"/>
        <v>-61.037169576025917</v>
      </c>
      <c r="Y43" s="119">
        <f t="shared" si="13"/>
        <v>-3.1865806249796666E-3</v>
      </c>
      <c r="AA43" s="114">
        <f>IF(ROW()&lt;(ROW(I$10)+AB$7),"["&amp;$A43&amp;"]", INDEX($L:$L,ROW(I$10)+AB$7)/SUM($L$9:$L43))</f>
        <v>0</v>
      </c>
      <c r="AB43" s="115">
        <f t="shared" si="14"/>
        <v>0</v>
      </c>
      <c r="AC43" s="115">
        <f t="shared" si="15"/>
        <v>0</v>
      </c>
      <c r="AD43" s="116">
        <f t="shared" si="16"/>
        <v>0</v>
      </c>
      <c r="AE43" s="117">
        <f t="shared" si="17"/>
        <v>0</v>
      </c>
      <c r="AF43" s="118">
        <f t="shared" si="18"/>
        <v>0</v>
      </c>
      <c r="AG43" s="119" t="str">
        <f t="shared" si="19"/>
        <v/>
      </c>
      <c r="AI43" s="114">
        <f>IF(ROW()&lt;(ROW(Q$10)+AJ$7),"["&amp;$A43&amp;"]", INDEX($L:$L,ROW(Q$10)+AJ$7)/SUM($L$9:$L43))</f>
        <v>2.9342942027724334E-3</v>
      </c>
      <c r="AJ43" s="115">
        <f t="shared" si="20"/>
        <v>54.167070983179123</v>
      </c>
      <c r="AK43" s="115">
        <f t="shared" si="21"/>
        <v>53.043165897069386</v>
      </c>
      <c r="AL43" s="116">
        <f t="shared" si="22"/>
        <v>106.08633179413877</v>
      </c>
      <c r="AM43" s="117">
        <f t="shared" si="23"/>
        <v>106.42641554145698</v>
      </c>
      <c r="AN43" s="118">
        <f t="shared" si="24"/>
        <v>-0.34008374731820368</v>
      </c>
      <c r="AO43" s="119">
        <f t="shared" si="25"/>
        <v>-3.1954824898310012E-3</v>
      </c>
      <c r="AQ43" s="114">
        <f>IF(ROW()&lt;(ROW(Y$10)+AR$7),"["&amp;$A43&amp;"]", INDEX($L:$L,ROW(Y$10)+AR$7)/SUM($L$9:$L43))</f>
        <v>1.3896269121552003E-3</v>
      </c>
      <c r="AR43" s="115">
        <f t="shared" si="26"/>
        <v>25.652512798384997</v>
      </c>
      <c r="AS43" s="115">
        <f t="shared" si="27"/>
        <v>25.120252347851256</v>
      </c>
      <c r="AT43" s="116">
        <f t="shared" si="28"/>
        <v>50.240504695702512</v>
      </c>
      <c r="AU43" s="117">
        <f t="shared" si="29"/>
        <v>50.257182241614061</v>
      </c>
      <c r="AV43" s="118">
        <f t="shared" si="30"/>
        <v>-1.6677545911548464E-2</v>
      </c>
      <c r="AW43" s="119">
        <f t="shared" si="31"/>
        <v>-3.3184403039888467E-4</v>
      </c>
    </row>
    <row r="44" spans="1:50" ht="17" x14ac:dyDescent="0.2">
      <c r="A44" s="102" t="s">
        <v>52</v>
      </c>
      <c r="B44" s="103">
        <f t="shared" si="2"/>
        <v>18460</v>
      </c>
      <c r="C44" s="104">
        <f t="shared" si="2"/>
        <v>18076.976005661658</v>
      </c>
      <c r="D44" s="105">
        <f t="shared" si="4"/>
        <v>0.9792511379014982</v>
      </c>
      <c r="F44" s="5"/>
      <c r="G44" s="106">
        <f t="shared" si="5"/>
        <v>0</v>
      </c>
      <c r="H44" s="107">
        <f t="shared" si="6"/>
        <v>0.9792511379014982</v>
      </c>
      <c r="I44" s="6"/>
      <c r="J44" s="13">
        <f t="shared" si="3"/>
        <v>0</v>
      </c>
      <c r="K44" s="108">
        <f t="shared" si="7"/>
        <v>0</v>
      </c>
      <c r="L44" s="109">
        <f>MIN(I44*10^18*SUM($L$8:$L43) / ((B44-F44)*10^18), J44*10^18*SUM($L$8:$L43) / ((C44-G44)*10^18))</f>
        <v>0</v>
      </c>
      <c r="N44" s="110">
        <f t="shared" si="0"/>
        <v>36153.952011323316</v>
      </c>
      <c r="O44" s="111">
        <f>SUM($I$9:$I44)-SUM($F$9:$F44)</f>
        <v>18460</v>
      </c>
      <c r="P44" s="111">
        <f>SUM($J$9:$J44)-SUM($G$9:$G44)</f>
        <v>18076.976005661658</v>
      </c>
      <c r="Q44" s="112">
        <f t="shared" si="1"/>
        <v>0</v>
      </c>
      <c r="R44" s="113"/>
      <c r="S44" s="114">
        <f>IF(ROW()&lt;(ROW(A$10)+T$7),"["&amp;$A44&amp;"]", INDEX($L:$L,ROW(A$10)+T$7)/SUM($L$9:$L44))</f>
        <v>0.52811387014077649</v>
      </c>
      <c r="T44" s="115">
        <f t="shared" si="8"/>
        <v>9748.9820427987343</v>
      </c>
      <c r="U44" s="115">
        <f t="shared" si="9"/>
        <v>9546.7017587919327</v>
      </c>
      <c r="V44" s="116">
        <f t="shared" si="10"/>
        <v>19093.403517583865</v>
      </c>
      <c r="W44" s="117">
        <f t="shared" si="11"/>
        <v>19154.440687159891</v>
      </c>
      <c r="X44" s="118">
        <f t="shared" si="12"/>
        <v>-61.037169576025917</v>
      </c>
      <c r="Y44" s="119">
        <f t="shared" si="13"/>
        <v>-3.1865806249796666E-3</v>
      </c>
      <c r="AA44" s="114">
        <f>IF(ROW()&lt;(ROW(I$10)+AB$7),"["&amp;$A44&amp;"]", INDEX($L:$L,ROW(I$10)+AB$7)/SUM($L$9:$L44))</f>
        <v>0</v>
      </c>
      <c r="AB44" s="115">
        <f t="shared" si="14"/>
        <v>0</v>
      </c>
      <c r="AC44" s="115">
        <f t="shared" si="15"/>
        <v>0</v>
      </c>
      <c r="AD44" s="116">
        <f t="shared" si="16"/>
        <v>0</v>
      </c>
      <c r="AE44" s="117">
        <f t="shared" si="17"/>
        <v>0</v>
      </c>
      <c r="AF44" s="118">
        <f t="shared" si="18"/>
        <v>0</v>
      </c>
      <c r="AG44" s="119" t="str">
        <f t="shared" si="19"/>
        <v/>
      </c>
      <c r="AI44" s="114">
        <f>IF(ROW()&lt;(ROW(Q$10)+AJ$7),"["&amp;$A44&amp;"]", INDEX($L:$L,ROW(Q$10)+AJ$7)/SUM($L$9:$L44))</f>
        <v>2.9342942027724334E-3</v>
      </c>
      <c r="AJ44" s="115">
        <f t="shared" si="20"/>
        <v>54.167070983179123</v>
      </c>
      <c r="AK44" s="115">
        <f t="shared" si="21"/>
        <v>53.043165897069386</v>
      </c>
      <c r="AL44" s="116">
        <f t="shared" si="22"/>
        <v>106.08633179413877</v>
      </c>
      <c r="AM44" s="117">
        <f t="shared" si="23"/>
        <v>106.42641554145698</v>
      </c>
      <c r="AN44" s="118">
        <f t="shared" si="24"/>
        <v>-0.34008374731820368</v>
      </c>
      <c r="AO44" s="119">
        <f t="shared" si="25"/>
        <v>-3.1954824898310012E-3</v>
      </c>
      <c r="AQ44" s="114">
        <f>IF(ROW()&lt;(ROW(Y$10)+AR$7),"["&amp;$A44&amp;"]", INDEX($L:$L,ROW(Y$10)+AR$7)/SUM($L$9:$L44))</f>
        <v>1.3896269121552003E-3</v>
      </c>
      <c r="AR44" s="115">
        <f t="shared" si="26"/>
        <v>25.652512798384997</v>
      </c>
      <c r="AS44" s="115">
        <f t="shared" si="27"/>
        <v>25.120252347851256</v>
      </c>
      <c r="AT44" s="116">
        <f t="shared" si="28"/>
        <v>50.240504695702512</v>
      </c>
      <c r="AU44" s="117">
        <f t="shared" si="29"/>
        <v>50.257182241614061</v>
      </c>
      <c r="AV44" s="118">
        <f t="shared" si="30"/>
        <v>-1.6677545911548464E-2</v>
      </c>
      <c r="AW44" s="119">
        <f t="shared" si="31"/>
        <v>-3.3184403039888467E-4</v>
      </c>
    </row>
    <row r="45" spans="1:50" s="121" customFormat="1" x14ac:dyDescent="0.2">
      <c r="A45" s="102"/>
      <c r="B45" s="120"/>
      <c r="C45" s="106"/>
      <c r="D45" s="122"/>
      <c r="E45" s="88"/>
      <c r="F45" s="123"/>
      <c r="G45" s="106"/>
      <c r="H45" s="124"/>
      <c r="I45" s="125"/>
      <c r="J45" s="106"/>
      <c r="K45" s="108"/>
      <c r="L45" s="126"/>
      <c r="M45" s="48"/>
      <c r="N45" s="110"/>
      <c r="O45" s="127"/>
      <c r="P45" s="127"/>
      <c r="Q45" s="128"/>
      <c r="R45" s="59"/>
      <c r="S45" s="114"/>
      <c r="T45" s="129"/>
      <c r="U45" s="129"/>
      <c r="V45" s="116"/>
      <c r="W45" s="117"/>
      <c r="X45" s="118"/>
      <c r="Y45" s="119"/>
      <c r="Z45" s="130"/>
      <c r="AA45" s="114"/>
      <c r="AB45" s="129"/>
      <c r="AC45" s="129"/>
      <c r="AD45" s="116"/>
      <c r="AE45" s="117"/>
      <c r="AF45" s="118"/>
      <c r="AG45" s="119"/>
      <c r="AH45" s="130"/>
      <c r="AI45" s="114"/>
      <c r="AJ45" s="129"/>
      <c r="AK45" s="129"/>
      <c r="AL45" s="116"/>
      <c r="AM45" s="117"/>
      <c r="AN45" s="118"/>
      <c r="AO45" s="119"/>
      <c r="AP45" s="130"/>
      <c r="AQ45" s="114"/>
      <c r="AR45" s="129"/>
      <c r="AS45" s="129"/>
      <c r="AT45" s="116"/>
      <c r="AU45" s="117"/>
      <c r="AV45" s="118"/>
      <c r="AW45" s="119"/>
      <c r="AX45" s="131"/>
    </row>
  </sheetData>
  <mergeCells count="15">
    <mergeCell ref="A1:AW1"/>
    <mergeCell ref="A7:A9"/>
    <mergeCell ref="B7:D7"/>
    <mergeCell ref="F7:L7"/>
    <mergeCell ref="N7:Q7"/>
    <mergeCell ref="F8:H8"/>
    <mergeCell ref="I8:L8"/>
    <mergeCell ref="S8:W8"/>
    <mergeCell ref="X8:Y8"/>
    <mergeCell ref="AA8:AE8"/>
    <mergeCell ref="AF8:AG8"/>
    <mergeCell ref="AI8:AM8"/>
    <mergeCell ref="AN8:AO8"/>
    <mergeCell ref="AQ8:AU8"/>
    <mergeCell ref="AV8:AW8"/>
  </mergeCells>
  <conditionalFormatting sqref="I11">
    <cfRule type="expression" dxfId="48" priority="48">
      <formula>I11&lt;(B11*-1)</formula>
    </cfRule>
  </conditionalFormatting>
  <conditionalFormatting sqref="F11:F44">
    <cfRule type="expression" dxfId="47" priority="47">
      <formula>F11&gt;B11</formula>
    </cfRule>
  </conditionalFormatting>
  <conditionalFormatting sqref="G11:H11">
    <cfRule type="expression" dxfId="46" priority="46">
      <formula>$F11=0</formula>
    </cfRule>
  </conditionalFormatting>
  <conditionalFormatting sqref="H12:H44">
    <cfRule type="expression" dxfId="45" priority="45">
      <formula>$F12=0</formula>
    </cfRule>
  </conditionalFormatting>
  <conditionalFormatting sqref="F11 I11">
    <cfRule type="cellIs" dxfId="44" priority="43" operator="lessThan">
      <formula>0</formula>
    </cfRule>
    <cfRule type="cellIs" dxfId="43" priority="44" operator="greaterThan">
      <formula>0</formula>
    </cfRule>
  </conditionalFormatting>
  <conditionalFormatting sqref="F12:F44">
    <cfRule type="cellIs" dxfId="42" priority="41" operator="lessThan">
      <formula>0</formula>
    </cfRule>
    <cfRule type="cellIs" dxfId="41" priority="42" operator="greaterThan">
      <formula>0</formula>
    </cfRule>
  </conditionalFormatting>
  <conditionalFormatting sqref="I12:I44">
    <cfRule type="expression" dxfId="40" priority="40">
      <formula>I12&lt;(B12*-1)</formula>
    </cfRule>
  </conditionalFormatting>
  <conditionalFormatting sqref="I12:I44">
    <cfRule type="cellIs" dxfId="39" priority="38" operator="lessThan">
      <formula>0</formula>
    </cfRule>
    <cfRule type="cellIs" dxfId="38" priority="39" operator="greaterThan">
      <formula>0</formula>
    </cfRule>
  </conditionalFormatting>
  <conditionalFormatting sqref="G12:G44">
    <cfRule type="expression" dxfId="37" priority="37">
      <formula>$F12=0</formula>
    </cfRule>
  </conditionalFormatting>
  <conditionalFormatting sqref="G12:G44">
    <cfRule type="cellIs" dxfId="36" priority="35" operator="lessThan">
      <formula>0</formula>
    </cfRule>
    <cfRule type="cellIs" dxfId="35" priority="36" operator="greaterThan">
      <formula>0</formula>
    </cfRule>
  </conditionalFormatting>
  <conditionalFormatting sqref="J12:J44">
    <cfRule type="expression" dxfId="34" priority="34">
      <formula>J12&lt;(C12*-1)</formula>
    </cfRule>
  </conditionalFormatting>
  <conditionalFormatting sqref="J12:J44">
    <cfRule type="cellIs" dxfId="33" priority="32" operator="lessThan">
      <formula>0</formula>
    </cfRule>
    <cfRule type="cellIs" dxfId="32" priority="33" operator="greaterThan">
      <formula>0</formula>
    </cfRule>
  </conditionalFormatting>
  <conditionalFormatting sqref="L11">
    <cfRule type="expression" dxfId="31" priority="31">
      <formula>$I11=0</formula>
    </cfRule>
  </conditionalFormatting>
  <conditionalFormatting sqref="L11">
    <cfRule type="cellIs" dxfId="30" priority="29" operator="lessThan">
      <formula>0</formula>
    </cfRule>
    <cfRule type="cellIs" dxfId="29" priority="30" operator="greaterThan">
      <formula>0</formula>
    </cfRule>
  </conditionalFormatting>
  <conditionalFormatting sqref="L12:L44">
    <cfRule type="expression" dxfId="28" priority="28">
      <formula>$I12=0</formula>
    </cfRule>
  </conditionalFormatting>
  <conditionalFormatting sqref="L12:L44">
    <cfRule type="cellIs" dxfId="27" priority="26" operator="lessThan">
      <formula>0</formula>
    </cfRule>
    <cfRule type="cellIs" dxfId="26" priority="27" operator="greaterThan">
      <formula>0</formula>
    </cfRule>
  </conditionalFormatting>
  <conditionalFormatting sqref="J12">
    <cfRule type="expression" dxfId="25" priority="25">
      <formula>I12=0</formula>
    </cfRule>
  </conditionalFormatting>
  <conditionalFormatting sqref="J13:J44">
    <cfRule type="expression" dxfId="24" priority="24">
      <formula>I13=0</formula>
    </cfRule>
  </conditionalFormatting>
  <conditionalFormatting sqref="J11">
    <cfRule type="expression" dxfId="23" priority="23">
      <formula>J11&lt;(C11*-1)</formula>
    </cfRule>
  </conditionalFormatting>
  <conditionalFormatting sqref="J11">
    <cfRule type="cellIs" dxfId="22" priority="21" operator="lessThan">
      <formula>0</formula>
    </cfRule>
    <cfRule type="cellIs" dxfId="21" priority="22" operator="greaterThan">
      <formula>0</formula>
    </cfRule>
  </conditionalFormatting>
  <conditionalFormatting sqref="J11">
    <cfRule type="expression" dxfId="20" priority="20">
      <formula>I11=0</formula>
    </cfRule>
  </conditionalFormatting>
  <conditionalFormatting sqref="K11">
    <cfRule type="expression" dxfId="19" priority="19">
      <formula>I11=0</formula>
    </cfRule>
  </conditionalFormatting>
  <conditionalFormatting sqref="K12:K44">
    <cfRule type="expression" dxfId="18" priority="18">
      <formula>I12=0</formula>
    </cfRule>
  </conditionalFormatting>
  <conditionalFormatting sqref="Y11:Y44 S11:W44">
    <cfRule type="expression" dxfId="17" priority="17" stopIfTrue="1">
      <formula>ROW()&lt;(T$7+6)</formula>
    </cfRule>
  </conditionalFormatting>
  <conditionalFormatting sqref="X11:X44">
    <cfRule type="expression" dxfId="16" priority="16" stopIfTrue="1">
      <formula>ROW()&lt;(Y$7+6)</formula>
    </cfRule>
  </conditionalFormatting>
  <conditionalFormatting sqref="N11:Y44">
    <cfRule type="expression" dxfId="15" priority="49">
      <formula>AND($F11=0,$I11=0)</formula>
    </cfRule>
  </conditionalFormatting>
  <conditionalFormatting sqref="AA11:AE44">
    <cfRule type="expression" dxfId="14" priority="14" stopIfTrue="1">
      <formula>ROW()&lt;(AB$7+6)</formula>
    </cfRule>
  </conditionalFormatting>
  <conditionalFormatting sqref="AA11:AE44">
    <cfRule type="expression" dxfId="13" priority="15">
      <formula>AND($F11=0,$I11=0)</formula>
    </cfRule>
  </conditionalFormatting>
  <conditionalFormatting sqref="AI11:AM44">
    <cfRule type="expression" dxfId="12" priority="12" stopIfTrue="1">
      <formula>ROW()&lt;(AJ$7+6)</formula>
    </cfRule>
  </conditionalFormatting>
  <conditionalFormatting sqref="AI11:AM44">
    <cfRule type="expression" dxfId="11" priority="13">
      <formula>AND($F11=0,$I11=0)</formula>
    </cfRule>
  </conditionalFormatting>
  <conditionalFormatting sqref="AQ11:AU44">
    <cfRule type="expression" dxfId="10" priority="10" stopIfTrue="1">
      <formula>ROW()&lt;(AR$7+6)</formula>
    </cfRule>
  </conditionalFormatting>
  <conditionalFormatting sqref="AQ11:AU44">
    <cfRule type="expression" dxfId="9" priority="11">
      <formula>AND($F11=0,$I11=0)</formula>
    </cfRule>
  </conditionalFormatting>
  <conditionalFormatting sqref="AG11:AG44">
    <cfRule type="expression" dxfId="8" priority="8" stopIfTrue="1">
      <formula>ROW()&lt;(AH$7+6)</formula>
    </cfRule>
  </conditionalFormatting>
  <conditionalFormatting sqref="AF11:AF44">
    <cfRule type="expression" dxfId="7" priority="7" stopIfTrue="1">
      <formula>ROW()&lt;(AG$7+6)</formula>
    </cfRule>
  </conditionalFormatting>
  <conditionalFormatting sqref="AF11:AG44">
    <cfRule type="expression" dxfId="6" priority="9">
      <formula>AND($F11=0,$I11=0)</formula>
    </cfRule>
  </conditionalFormatting>
  <conditionalFormatting sqref="AO11:AO44">
    <cfRule type="expression" dxfId="5" priority="5" stopIfTrue="1">
      <formula>ROW()&lt;(AP$7+6)</formula>
    </cfRule>
  </conditionalFormatting>
  <conditionalFormatting sqref="AN11:AN44">
    <cfRule type="expression" dxfId="4" priority="4" stopIfTrue="1">
      <formula>ROW()&lt;(AO$7+6)</formula>
    </cfRule>
  </conditionalFormatting>
  <conditionalFormatting sqref="AN11:AO44">
    <cfRule type="expression" dxfId="3" priority="6">
      <formula>AND($F11=0,$I11=0)</formula>
    </cfRule>
  </conditionalFormatting>
  <conditionalFormatting sqref="AW11:AW44">
    <cfRule type="expression" dxfId="2" priority="2" stopIfTrue="1">
      <formula>ROW()&lt;(AX$7+6)</formula>
    </cfRule>
  </conditionalFormatting>
  <conditionalFormatting sqref="AV11:AV44">
    <cfRule type="expression" dxfId="1" priority="1" stopIfTrue="1">
      <formula>ROW()&lt;(AW$7+6)</formula>
    </cfRule>
  </conditionalFormatting>
  <conditionalFormatting sqref="AV11:AW44">
    <cfRule type="expression" dxfId="0" priority="3">
      <formula>AND($F11=0,$I11=0)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D8A0-1F15-9C42-9E08-41E0B0AEF39B}">
  <dimension ref="A1:Q23"/>
  <sheetViews>
    <sheetView workbookViewId="0">
      <selection sqref="A1:XFD1"/>
    </sheetView>
  </sheetViews>
  <sheetFormatPr baseColWidth="10" defaultRowHeight="215" customHeight="1" x14ac:dyDescent="0.2"/>
  <sheetData>
    <row r="1" spans="1:17" ht="32" customHeight="1" x14ac:dyDescent="0.2">
      <c r="A1" s="4"/>
    </row>
    <row r="2" spans="1:17" ht="215" customHeight="1" x14ac:dyDescent="0.2">
      <c r="A2" s="7" t="s">
        <v>54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1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1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21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21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</sheetData>
  <mergeCells count="1">
    <mergeCell ref="A2:Q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License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2022-02-25T00:49:38Z</dcterms:created>
  <dcterms:modified xsi:type="dcterms:W3CDTF">2023-10-23T18:41:25Z</dcterms:modified>
  <cp:category/>
</cp:coreProperties>
</file>