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10/"/>
    </mc:Choice>
  </mc:AlternateContent>
  <xr:revisionPtr revIDLastSave="0" documentId="13_ncr:1_{4057B490-193C-184D-978A-3BDDEDE5915E}" xr6:coauthVersionLast="47" xr6:coauthVersionMax="47" xr10:uidLastSave="{00000000-0000-0000-0000-000000000000}"/>
  <bookViews>
    <workbookView xWindow="1100" yWindow="820" windowWidth="28040" windowHeight="17440" activeTab="1" xr2:uid="{C3F028D6-4602-7440-949B-282058AFB94C}"/>
  </bookViews>
  <sheets>
    <sheet name="ion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2" l="1"/>
  <c r="G104" i="2"/>
  <c r="G105" i="2"/>
  <c r="H104" i="2"/>
  <c r="C105" i="2"/>
  <c r="C103" i="2"/>
  <c r="D103" i="2" s="1"/>
  <c r="C83" i="2"/>
  <c r="I84" i="2"/>
  <c r="H52" i="2"/>
  <c r="H53" i="2" s="1"/>
  <c r="G53" i="2"/>
  <c r="G51" i="2"/>
  <c r="H51" i="2"/>
  <c r="C52" i="2" l="1"/>
  <c r="C53" i="2"/>
  <c r="D53" i="2" s="1"/>
  <c r="D52" i="2"/>
  <c r="D51" i="2"/>
  <c r="C51" i="2"/>
  <c r="E29" i="2" l="1"/>
  <c r="F29" i="2"/>
  <c r="G29" i="2"/>
  <c r="H29" i="2"/>
  <c r="C29" i="2"/>
  <c r="E28" i="2"/>
  <c r="F28" i="2"/>
  <c r="G28" i="2"/>
  <c r="H28" i="2"/>
  <c r="C28" i="2"/>
  <c r="D27" i="2"/>
  <c r="D29" i="2" s="1"/>
  <c r="E27" i="2"/>
  <c r="F27" i="2"/>
  <c r="G27" i="2"/>
  <c r="H27" i="2"/>
  <c r="C27" i="2"/>
  <c r="B13" i="2"/>
  <c r="T9" i="2"/>
  <c r="V8" i="2"/>
  <c r="V7" i="2" s="1"/>
  <c r="D28" i="2" l="1"/>
  <c r="C104" i="2"/>
  <c r="C84" i="2"/>
  <c r="C85" i="2" s="1"/>
  <c r="I48" i="1"/>
  <c r="H48" i="1"/>
  <c r="G48" i="1"/>
  <c r="I37" i="1"/>
  <c r="H37" i="1"/>
  <c r="G37" i="1"/>
  <c r="H26" i="1"/>
  <c r="I26" i="1"/>
  <c r="G26" i="1"/>
  <c r="H36" i="1"/>
  <c r="H47" i="1"/>
  <c r="G47" i="1"/>
  <c r="I46" i="1"/>
  <c r="I47" i="1" s="1"/>
  <c r="G36" i="1"/>
  <c r="I35" i="1"/>
  <c r="I36" i="1" s="1"/>
  <c r="H25" i="1"/>
  <c r="I25" i="1"/>
  <c r="G25" i="1"/>
  <c r="I24" i="1"/>
  <c r="B13" i="1"/>
  <c r="T9" i="1"/>
  <c r="V8" i="1"/>
  <c r="V7" i="1"/>
  <c r="H83" i="2" l="1"/>
  <c r="H85" i="2" s="1"/>
  <c r="I83" i="2"/>
  <c r="I85" i="2" s="1"/>
  <c r="D105" i="2"/>
  <c r="D104" i="2"/>
  <c r="G103" i="2" l="1"/>
  <c r="H103" i="2"/>
  <c r="H105" i="2" s="1"/>
</calcChain>
</file>

<file path=xl/sharedStrings.xml><?xml version="1.0" encoding="utf-8"?>
<sst xmlns="http://schemas.openxmlformats.org/spreadsheetml/2006/main" count="170" uniqueCount="74">
  <si>
    <r>
      <t>1.  HO</t>
    </r>
    <r>
      <rPr>
        <b/>
        <vertAlign val="subscript"/>
        <sz val="16"/>
        <color theme="1"/>
        <rFont val="Aptos Narrow (Body)"/>
      </rPr>
      <t>2</t>
    </r>
    <r>
      <rPr>
        <b/>
        <vertAlign val="superscript"/>
        <sz val="16"/>
        <color theme="1"/>
        <rFont val="Aptos Narrow (Body)"/>
      </rPr>
      <t>-</t>
    </r>
  </si>
  <si>
    <t>err %</t>
  </si>
  <si>
    <t>TABLE OF CONSTANTS</t>
  </si>
  <si>
    <t>TABLE OF CONVERSIONS (ENERGY)</t>
  </si>
  <si>
    <t>TABLE OF CONVERSIONS (DISTANCE)</t>
  </si>
  <si>
    <t>TABLE OF CONVERSIONS (MASS)</t>
  </si>
  <si>
    <r>
      <rPr>
        <b/>
        <sz val="14"/>
        <color theme="1"/>
        <rFont val="Aptos Narrow"/>
        <scheme val="minor"/>
      </rPr>
      <t>N</t>
    </r>
    <r>
      <rPr>
        <b/>
        <vertAlign val="subscript"/>
        <sz val="14"/>
        <color theme="1"/>
        <rFont val="Aptos Narrow"/>
        <scheme val="minor"/>
      </rPr>
      <t>avo</t>
    </r>
    <r>
      <rPr>
        <b/>
        <sz val="14"/>
        <color theme="1"/>
        <rFont val="Aptos Narrow"/>
        <scheme val="minor"/>
      </rPr>
      <t xml:space="preserve"> </t>
    </r>
    <r>
      <rPr>
        <sz val="14"/>
        <color theme="1"/>
        <rFont val="Aptos Narrow"/>
        <scheme val="minor"/>
      </rPr>
      <t>[ mol</t>
    </r>
    <r>
      <rPr>
        <vertAlign val="superscript"/>
        <sz val="14"/>
        <color theme="1"/>
        <rFont val="Aptos Narrow"/>
        <scheme val="minor"/>
      </rPr>
      <t>-1</t>
    </r>
    <r>
      <rPr>
        <sz val="14"/>
        <color theme="1"/>
        <rFont val="Aptos Narrow (Corpo)"/>
      </rPr>
      <t xml:space="preserve"> ]</t>
    </r>
  </si>
  <si>
    <t xml:space="preserve">                      out
in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</si>
  <si>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</si>
  <si>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</si>
  <si>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</si>
  <si>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kcal/mol</t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</si>
  <si>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</si>
  <si>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</si>
  <si>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</si>
  <si>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</si>
  <si>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 xml:space="preserve">                   out
in</t>
  </si>
  <si>
    <t>a0</t>
  </si>
  <si>
    <t>angstrom</t>
  </si>
  <si>
    <t>m</t>
  </si>
  <si>
    <r>
      <t>m</t>
    </r>
    <r>
      <rPr>
        <b/>
        <vertAlign val="subscript"/>
        <sz val="14"/>
        <color theme="1"/>
        <rFont val="Aptos Narrow (Body)"/>
      </rPr>
      <t>e</t>
    </r>
  </si>
  <si>
    <t>kg</t>
  </si>
  <si>
    <t>u</t>
  </si>
  <si>
    <r>
      <rPr>
        <b/>
        <sz val="14"/>
        <color theme="1"/>
        <rFont val="Aptos Narrow"/>
        <scheme val="minor"/>
      </rPr>
      <t>R</t>
    </r>
    <r>
      <rPr>
        <sz val="14"/>
        <color theme="1"/>
        <rFont val="Aptos Narrow"/>
        <scheme val="minor"/>
      </rPr>
      <t xml:space="preserve"> [ J mol</t>
    </r>
    <r>
      <rPr>
        <vertAlign val="superscript"/>
        <sz val="14"/>
        <color theme="1"/>
        <rFont val="Aptos Narrow"/>
        <scheme val="minor"/>
      </rPr>
      <t xml:space="preserve">-1 </t>
    </r>
    <r>
      <rPr>
        <sz val="14"/>
        <color theme="1"/>
        <rFont val="Aptos Narrow"/>
        <scheme val="minor"/>
      </rPr>
      <t xml:space="preserve">K </t>
    </r>
    <r>
      <rPr>
        <vertAlign val="superscript"/>
        <sz val="14"/>
        <color theme="1"/>
        <rFont val="Aptos Narrow"/>
        <scheme val="minor"/>
      </rPr>
      <t>-1</t>
    </r>
    <r>
      <rPr>
        <sz val="14"/>
        <color theme="1"/>
        <rFont val="Aptos Narrow (Corpo)"/>
      </rPr>
      <t xml:space="preserve"> ]</t>
    </r>
  </si>
  <si>
    <r>
      <rPr>
        <b/>
        <sz val="14"/>
        <color rgb="FF202122"/>
        <rFont val="Aptos Narrow"/>
        <scheme val="minor"/>
      </rPr>
      <t>k</t>
    </r>
    <r>
      <rPr>
        <b/>
        <vertAlign val="subscript"/>
        <sz val="14"/>
        <color rgb="FF202122"/>
        <rFont val="Aptos Narrow"/>
        <scheme val="minor"/>
      </rPr>
      <t>b</t>
    </r>
    <r>
      <rPr>
        <vertAlign val="subscript"/>
        <sz val="14"/>
        <color rgb="FF202122"/>
        <rFont val="Aptos Narrow"/>
        <scheme val="minor"/>
      </rPr>
      <t xml:space="preserve"> </t>
    </r>
    <r>
      <rPr>
        <sz val="14"/>
        <color rgb="FF202122"/>
        <rFont val="Aptos Narrow (Corpo)"/>
      </rPr>
      <t xml:space="preserve">[ </t>
    </r>
    <r>
      <rPr>
        <sz val="14"/>
        <color rgb="FF202122"/>
        <rFont val="Aptos Narrow"/>
        <scheme val="minor"/>
      </rPr>
      <t>J K</t>
    </r>
    <r>
      <rPr>
        <vertAlign val="superscript"/>
        <sz val="14"/>
        <color rgb="FF202122"/>
        <rFont val="Aptos Narrow"/>
        <scheme val="minor"/>
      </rPr>
      <t>-1</t>
    </r>
    <r>
      <rPr>
        <sz val="14"/>
        <color rgb="FF202122"/>
        <rFont val="Aptos Narrow (Corpo)"/>
      </rPr>
      <t xml:space="preserve"> ]</t>
    </r>
  </si>
  <si>
    <r>
      <rPr>
        <b/>
        <sz val="14"/>
        <color theme="1"/>
        <rFont val="Aptos Narrow"/>
        <scheme val="minor"/>
      </rPr>
      <t>e</t>
    </r>
    <r>
      <rPr>
        <sz val="14"/>
        <color theme="1"/>
        <rFont val="Aptos Narrow"/>
        <scheme val="minor"/>
      </rPr>
      <t xml:space="preserve"> [ C ]</t>
    </r>
  </si>
  <si>
    <r>
      <rPr>
        <b/>
        <sz val="14"/>
        <color theme="1"/>
        <rFont val="Aptos Narrow"/>
        <scheme val="minor"/>
      </rPr>
      <t>m</t>
    </r>
    <r>
      <rPr>
        <b/>
        <vertAlign val="subscript"/>
        <sz val="14"/>
        <color theme="1"/>
        <rFont val="Aptos Narrow (Corpo)"/>
      </rPr>
      <t xml:space="preserve">e </t>
    </r>
    <r>
      <rPr>
        <sz val="14"/>
        <color theme="1"/>
        <rFont val="Aptos Narrow"/>
        <scheme val="minor"/>
      </rPr>
      <t>[ kg ]</t>
    </r>
  </si>
  <si>
    <r>
      <rPr>
        <b/>
        <sz val="14"/>
        <color theme="1"/>
        <rFont val="Aptos Narrow"/>
        <scheme val="minor"/>
      </rPr>
      <t>eps</t>
    </r>
    <r>
      <rPr>
        <b/>
        <vertAlign val="subscript"/>
        <sz val="14"/>
        <color theme="1"/>
        <rFont val="Aptos Narrow (Corpo)"/>
      </rPr>
      <t>0</t>
    </r>
    <r>
      <rPr>
        <sz val="14"/>
        <color theme="1"/>
        <rFont val="Aptos Narrow"/>
        <scheme val="minor"/>
      </rPr>
      <t xml:space="preserve"> [ F m</t>
    </r>
    <r>
      <rPr>
        <vertAlign val="superscript"/>
        <sz val="14"/>
        <color theme="1"/>
        <rFont val="Aptos Narrow (Body)"/>
      </rPr>
      <t>-1</t>
    </r>
    <r>
      <rPr>
        <sz val="14"/>
        <color theme="1"/>
        <rFont val="Aptos Narrow"/>
        <scheme val="minor"/>
      </rPr>
      <t>]</t>
    </r>
  </si>
  <si>
    <r>
      <rPr>
        <b/>
        <sz val="14"/>
        <color theme="1"/>
        <rFont val="Aptos Narrow"/>
        <scheme val="minor"/>
      </rPr>
      <t>a</t>
    </r>
    <r>
      <rPr>
        <b/>
        <vertAlign val="subscript"/>
        <sz val="14"/>
        <color theme="1"/>
        <rFont val="Aptos Narrow (Corpo)"/>
      </rPr>
      <t>0</t>
    </r>
    <r>
      <rPr>
        <sz val="14"/>
        <color theme="1"/>
        <rFont val="Aptos Narrow"/>
        <scheme val="minor"/>
      </rPr>
      <t xml:space="preserve"> [ m ]</t>
    </r>
  </si>
  <si>
    <r>
      <rPr>
        <b/>
        <sz val="14"/>
        <color theme="1"/>
        <rFont val="Aptos Narrow"/>
        <scheme val="minor"/>
      </rPr>
      <t>Tamb</t>
    </r>
    <r>
      <rPr>
        <sz val="14"/>
        <color theme="1"/>
        <rFont val="Aptos Narrow"/>
        <scheme val="minor"/>
      </rPr>
      <t xml:space="preserve"> [ K ]</t>
    </r>
  </si>
  <si>
    <r>
      <rPr>
        <b/>
        <sz val="14"/>
        <color theme="1"/>
        <rFont val="Aptos Narrow"/>
        <scheme val="minor"/>
      </rPr>
      <t>h</t>
    </r>
    <r>
      <rPr>
        <sz val="14"/>
        <color theme="1"/>
        <rFont val="Aptos Narrow"/>
        <scheme val="minor"/>
      </rPr>
      <t xml:space="preserve"> [ J s ]</t>
    </r>
  </si>
  <si>
    <r>
      <rPr>
        <b/>
        <sz val="14"/>
        <color theme="1"/>
        <rFont val="Aptos Narrow"/>
        <scheme val="minor"/>
      </rPr>
      <t xml:space="preserve">P </t>
    </r>
    <r>
      <rPr>
        <sz val="14"/>
        <color theme="1"/>
        <rFont val="Aptos Narrow"/>
        <scheme val="minor"/>
      </rPr>
      <t>[ atm ]</t>
    </r>
  </si>
  <si>
    <r>
      <rPr>
        <b/>
        <sz val="14"/>
        <color theme="1"/>
        <rFont val="Aptos Narrow"/>
        <scheme val="minor"/>
      </rPr>
      <t xml:space="preserve">P </t>
    </r>
    <r>
      <rPr>
        <sz val="14"/>
        <color theme="1"/>
        <rFont val="Aptos Narrow"/>
        <scheme val="minor"/>
      </rPr>
      <t>[ Pa ]</t>
    </r>
  </si>
  <si>
    <r>
      <rPr>
        <b/>
        <sz val="14"/>
        <color theme="1"/>
        <rFont val="Aptos Narrow"/>
        <scheme val="minor"/>
      </rPr>
      <t>c</t>
    </r>
    <r>
      <rPr>
        <sz val="14"/>
        <color theme="1"/>
        <rFont val="Aptos Narrow"/>
        <scheme val="minor"/>
      </rPr>
      <t xml:space="preserve"> [ m s</t>
    </r>
    <r>
      <rPr>
        <vertAlign val="superscript"/>
        <sz val="14"/>
        <color theme="1"/>
        <rFont val="Aptos Narrow (Body)"/>
      </rPr>
      <t>-1</t>
    </r>
    <r>
      <rPr>
        <sz val="14"/>
        <color theme="1"/>
        <rFont val="Aptos Narrow"/>
        <scheme val="minor"/>
      </rPr>
      <t xml:space="preserve"> ]</t>
    </r>
  </si>
  <si>
    <t>[Hartree]</t>
  </si>
  <si>
    <t>[kcal/mol]</t>
  </si>
  <si>
    <r>
      <t>2.  NH</t>
    </r>
    <r>
      <rPr>
        <b/>
        <vertAlign val="subscript"/>
        <sz val="16"/>
        <color theme="1"/>
        <rFont val="Aptos Narrow (Body)"/>
      </rPr>
      <t>2</t>
    </r>
    <r>
      <rPr>
        <b/>
        <vertAlign val="superscript"/>
        <sz val="16"/>
        <color theme="1"/>
        <rFont val="Aptos Narrow (Body)"/>
      </rPr>
      <t>-</t>
    </r>
  </si>
  <si>
    <r>
      <t>3.  CH</t>
    </r>
    <r>
      <rPr>
        <b/>
        <vertAlign val="subscript"/>
        <sz val="16"/>
        <color theme="1"/>
        <rFont val="Aptos Narrow (Body)"/>
      </rPr>
      <t>3</t>
    </r>
    <r>
      <rPr>
        <b/>
        <sz val="16"/>
        <color theme="1"/>
        <rFont val="Aptos Narrow"/>
        <scheme val="minor"/>
      </rPr>
      <t>O</t>
    </r>
    <r>
      <rPr>
        <b/>
        <vertAlign val="superscript"/>
        <sz val="16"/>
        <color theme="1"/>
        <rFont val="Aptos Narrow (Body)"/>
      </rPr>
      <t>-</t>
    </r>
  </si>
  <si>
    <t>[KJ/mol]</t>
  </si>
  <si>
    <t>SCF gas</t>
  </si>
  <si>
    <t>SCF solution</t>
  </si>
  <si>
    <t>CH3COOH</t>
  </si>
  <si>
    <t>CH3COO-</t>
  </si>
  <si>
    <t>H2O4S</t>
  </si>
  <si>
    <t>HO4S-</t>
  </si>
  <si>
    <t>H2O</t>
  </si>
  <si>
    <t>H3O+</t>
  </si>
  <si>
    <t>sulphuric acid</t>
  </si>
  <si>
    <t>acetic acid</t>
  </si>
  <si>
    <t>water and hydronium</t>
  </si>
  <si>
    <r>
      <rPr>
        <b/>
        <sz val="18"/>
        <color theme="1"/>
        <rFont val="Aptos Narrow"/>
        <scheme val="minor"/>
      </rPr>
      <t>Acetic acid</t>
    </r>
    <r>
      <rPr>
        <sz val="18"/>
        <color theme="1"/>
        <rFont val="Aptos Narrow"/>
        <scheme val="minor"/>
      </rPr>
      <t xml:space="preserve"> using </t>
    </r>
    <r>
      <rPr>
        <b/>
        <sz val="18"/>
        <color theme="1"/>
        <rFont val="Aptos Narrow"/>
        <scheme val="minor"/>
      </rPr>
      <t>TCB</t>
    </r>
    <r>
      <rPr>
        <sz val="18"/>
        <color theme="1"/>
        <rFont val="Aptos Narrow"/>
        <scheme val="minor"/>
      </rPr>
      <t xml:space="preserve"> described</t>
    </r>
  </si>
  <si>
    <t>Hartrees</t>
  </si>
  <si>
    <r>
      <t>∆𝐺</t>
    </r>
    <r>
      <rPr>
        <b/>
        <vertAlign val="subscript"/>
        <sz val="14"/>
        <color theme="1"/>
        <rFont val="Aptos Narrow (Body)"/>
      </rPr>
      <t>solv</t>
    </r>
  </si>
  <si>
    <t>exp. ∆𝐺solv</t>
  </si>
  <si>
    <r>
      <t>∆𝐺°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[Hartrees]</t>
    </r>
  </si>
  <si>
    <r>
      <t>∆𝐺°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[kJ/mol]</t>
    </r>
  </si>
  <si>
    <r>
      <t>∆𝐺°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[kcal/mol]</t>
    </r>
  </si>
  <si>
    <t>exp. ∆𝐺°solv [kcal/mol]</t>
  </si>
  <si>
    <r>
      <t>∆𝐺°</t>
    </r>
    <r>
      <rPr>
        <vertAlign val="subscript"/>
        <sz val="14"/>
        <color theme="1"/>
        <rFont val="Aptos Narrow (Body)"/>
      </rPr>
      <t>gas</t>
    </r>
  </si>
  <si>
    <r>
      <t>∆𝐺°</t>
    </r>
    <r>
      <rPr>
        <vertAlign val="subscript"/>
        <sz val="14"/>
        <color theme="1"/>
        <rFont val="Aptos Narrow (Body)"/>
      </rPr>
      <t>solv</t>
    </r>
  </si>
  <si>
    <t>∆𝐺°</t>
  </si>
  <si>
    <t>pKa</t>
  </si>
  <si>
    <t>pKa exp.</t>
  </si>
  <si>
    <t>pKa corrected</t>
  </si>
  <si>
    <r>
      <rPr>
        <b/>
        <sz val="18"/>
        <color theme="1"/>
        <rFont val="Aptos Narrow"/>
        <scheme val="minor"/>
      </rPr>
      <t>Sulphuric acid</t>
    </r>
    <r>
      <rPr>
        <sz val="18"/>
        <color theme="1"/>
        <rFont val="Aptos Narrow"/>
        <family val="2"/>
        <scheme val="minor"/>
      </rPr>
      <t xml:space="preserve"> using </t>
    </r>
    <r>
      <rPr>
        <b/>
        <sz val="18"/>
        <color theme="1"/>
        <rFont val="Aptos Narrow"/>
        <scheme val="minor"/>
      </rPr>
      <t>TCA</t>
    </r>
    <r>
      <rPr>
        <sz val="18"/>
        <color theme="1"/>
        <rFont val="Aptos Narrow"/>
        <family val="2"/>
        <scheme val="minor"/>
      </rPr>
      <t xml:space="preserve"> described</t>
    </r>
  </si>
  <si>
    <r>
      <t>∆G°</t>
    </r>
    <r>
      <rPr>
        <vertAlign val="subscript"/>
        <sz val="12"/>
        <color theme="1"/>
        <rFont val="Aptos Narrow (Body)"/>
      </rPr>
      <t>gas</t>
    </r>
    <r>
      <rPr>
        <sz val="12"/>
        <color theme="1"/>
        <rFont val="Aptos Narrow"/>
        <family val="2"/>
        <scheme val="minor"/>
      </rPr>
      <t xml:space="preserve"> [Hartrees]</t>
    </r>
  </si>
  <si>
    <r>
      <t>∆G°</t>
    </r>
    <r>
      <rPr>
        <vertAlign val="subscript"/>
        <sz val="12"/>
        <color theme="1"/>
        <rFont val="Aptos Narrow (Body)"/>
      </rPr>
      <t>sol</t>
    </r>
    <r>
      <rPr>
        <sz val="12"/>
        <color theme="1"/>
        <rFont val="Aptos Narrow"/>
        <family val="2"/>
        <scheme val="minor"/>
      </rPr>
      <t xml:space="preserve"> [Hartrees]</t>
    </r>
  </si>
  <si>
    <r>
      <t>∆𝐺°</t>
    </r>
    <r>
      <rPr>
        <vertAlign val="subscript"/>
        <sz val="14"/>
        <color theme="1"/>
        <rFont val="Aptos Narrow (Body)"/>
      </rPr>
      <t>4,gas</t>
    </r>
  </si>
  <si>
    <r>
      <t>∆𝐺°</t>
    </r>
    <r>
      <rPr>
        <vertAlign val="subscript"/>
        <sz val="14"/>
        <color theme="1"/>
        <rFont val="Aptos Narrow (Body)"/>
      </rPr>
      <t>4,solv</t>
    </r>
  </si>
  <si>
    <r>
      <t>∆𝐺°</t>
    </r>
    <r>
      <rPr>
        <b/>
        <vertAlign val="subscript"/>
        <sz val="14"/>
        <color theme="1"/>
        <rFont val="Aptos Narrow (Body)"/>
      </rPr>
      <t>5</t>
    </r>
  </si>
  <si>
    <t>(from experimental value pKa = 4.76)</t>
  </si>
  <si>
    <t>Gas conditions</t>
  </si>
  <si>
    <t>Pressure [atm]</t>
  </si>
  <si>
    <t>Temperature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</si>
</sst>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3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vertAlign val="superscript"/>
      <sz val="16"/>
      <color theme="1"/>
      <name val="Aptos Narrow (Body)"/>
    </font>
    <font>
      <b/>
      <vertAlign val="subscript"/>
      <sz val="16"/>
      <color theme="1"/>
      <name val="Aptos Narrow (Body)"/>
    </font>
    <font>
      <vertAlign val="subscript"/>
      <sz val="12"/>
      <color theme="1"/>
      <name val="Aptos Narrow (Body)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b/>
      <vertAlign val="subscript"/>
      <sz val="14"/>
      <color theme="1"/>
      <name val="Aptos Narrow"/>
      <scheme val="minor"/>
    </font>
    <font>
      <vertAlign val="superscript"/>
      <sz val="14"/>
      <color theme="1"/>
      <name val="Aptos Narrow"/>
      <scheme val="minor"/>
    </font>
    <font>
      <sz val="14"/>
      <color theme="1"/>
      <name val="Aptos Narrow (Corpo)"/>
    </font>
    <font>
      <sz val="14"/>
      <color rgb="FF202122"/>
      <name val="Aptos Narrow"/>
      <scheme val="minor"/>
    </font>
    <font>
      <b/>
      <sz val="10"/>
      <color theme="1"/>
      <name val="Aptos Narrow (Body)"/>
    </font>
    <font>
      <b/>
      <vertAlign val="superscript"/>
      <sz val="14"/>
      <color theme="1"/>
      <name val="Aptos Narrow"/>
      <scheme val="minor"/>
    </font>
    <font>
      <b/>
      <vertAlign val="subscript"/>
      <sz val="14"/>
      <color theme="1"/>
      <name val="Aptos Narrow (Body)"/>
    </font>
    <font>
      <sz val="14"/>
      <color rgb="FF000000"/>
      <name val="Aptos Narrow"/>
      <scheme val="minor"/>
    </font>
    <font>
      <b/>
      <sz val="14"/>
      <color rgb="FF202122"/>
      <name val="Aptos Narrow"/>
      <scheme val="minor"/>
    </font>
    <font>
      <b/>
      <vertAlign val="subscript"/>
      <sz val="14"/>
      <color rgb="FF202122"/>
      <name val="Aptos Narrow"/>
      <scheme val="minor"/>
    </font>
    <font>
      <vertAlign val="subscript"/>
      <sz val="14"/>
      <color rgb="FF202122"/>
      <name val="Aptos Narrow"/>
      <scheme val="minor"/>
    </font>
    <font>
      <sz val="14"/>
      <color rgb="FF202122"/>
      <name val="Aptos Narrow (Corpo)"/>
    </font>
    <font>
      <vertAlign val="superscript"/>
      <sz val="14"/>
      <color rgb="FF202122"/>
      <name val="Aptos Narrow"/>
      <scheme val="minor"/>
    </font>
    <font>
      <sz val="14"/>
      <color rgb="FF202122"/>
      <name val="Arial"/>
      <family val="2"/>
    </font>
    <font>
      <b/>
      <vertAlign val="subscript"/>
      <sz val="14"/>
      <color theme="1"/>
      <name val="Aptos Narrow (Corpo)"/>
    </font>
    <font>
      <vertAlign val="superscript"/>
      <sz val="14"/>
      <color theme="1"/>
      <name val="Aptos Narrow (Body)"/>
    </font>
    <font>
      <vertAlign val="subscript"/>
      <sz val="14"/>
      <color theme="1"/>
      <name val="Aptos Narrow (Body)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8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D93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65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7" fillId="0" borderId="0" xfId="0" applyFont="1"/>
    <xf numFmtId="0" fontId="8" fillId="0" borderId="0" xfId="0" applyFont="1"/>
    <xf numFmtId="0" fontId="3" fillId="2" borderId="2" xfId="0" applyFont="1" applyFill="1" applyBorder="1"/>
    <xf numFmtId="0" fontId="8" fillId="2" borderId="4" xfId="0" applyFont="1" applyFill="1" applyBorder="1"/>
    <xf numFmtId="0" fontId="3" fillId="3" borderId="5" xfId="0" applyFont="1" applyFill="1" applyBorder="1"/>
    <xf numFmtId="0" fontId="9" fillId="3" borderId="6" xfId="0" applyFont="1" applyFill="1" applyBorder="1"/>
    <xf numFmtId="0" fontId="7" fillId="3" borderId="7" xfId="0" applyFont="1" applyFill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8" fillId="2" borderId="8" xfId="0" applyFont="1" applyFill="1" applyBorder="1"/>
    <xf numFmtId="11" fontId="13" fillId="2" borderId="9" xfId="0" applyNumberFormat="1" applyFont="1" applyFill="1" applyBorder="1"/>
    <xf numFmtId="0" fontId="14" fillId="3" borderId="10" xfId="0" applyFont="1" applyFill="1" applyBorder="1" applyAlignment="1">
      <alignment wrapText="1"/>
    </xf>
    <xf numFmtId="0" fontId="9" fillId="3" borderId="11" xfId="0" applyFont="1" applyFill="1" applyBorder="1"/>
    <xf numFmtId="0" fontId="15" fillId="3" borderId="11" xfId="0" applyFont="1" applyFill="1" applyBorder="1"/>
    <xf numFmtId="0" fontId="9" fillId="3" borderId="12" xfId="0" applyFont="1" applyFill="1" applyBorder="1"/>
    <xf numFmtId="0" fontId="14" fillId="4" borderId="10" xfId="0" applyFont="1" applyFill="1" applyBorder="1" applyAlignment="1">
      <alignment wrapText="1"/>
    </xf>
    <xf numFmtId="0" fontId="9" fillId="4" borderId="11" xfId="0" applyFont="1" applyFill="1" applyBorder="1"/>
    <xf numFmtId="0" fontId="9" fillId="4" borderId="12" xfId="0" applyFont="1" applyFill="1" applyBorder="1"/>
    <xf numFmtId="0" fontId="14" fillId="5" borderId="10" xfId="0" applyFont="1" applyFill="1" applyBorder="1" applyAlignment="1">
      <alignment wrapText="1"/>
    </xf>
    <xf numFmtId="0" fontId="9" fillId="5" borderId="11" xfId="0" applyFont="1" applyFill="1" applyBorder="1"/>
    <xf numFmtId="0" fontId="9" fillId="5" borderId="12" xfId="0" applyFont="1" applyFill="1" applyBorder="1"/>
    <xf numFmtId="0" fontId="8" fillId="2" borderId="13" xfId="0" applyFont="1" applyFill="1" applyBorder="1"/>
    <xf numFmtId="164" fontId="13" fillId="2" borderId="14" xfId="0" applyNumberFormat="1" applyFont="1" applyFill="1" applyBorder="1"/>
    <xf numFmtId="0" fontId="9" fillId="3" borderId="15" xfId="0" applyFont="1" applyFill="1" applyBorder="1"/>
    <xf numFmtId="0" fontId="17" fillId="6" borderId="11" xfId="0" applyFont="1" applyFill="1" applyBorder="1"/>
    <xf numFmtId="0" fontId="17" fillId="6" borderId="16" xfId="0" applyFont="1" applyFill="1" applyBorder="1"/>
    <xf numFmtId="0" fontId="17" fillId="6" borderId="14" xfId="0" applyFont="1" applyFill="1" applyBorder="1"/>
    <xf numFmtId="0" fontId="9" fillId="4" borderId="15" xfId="0" applyFont="1" applyFill="1" applyBorder="1"/>
    <xf numFmtId="0" fontId="2" fillId="4" borderId="11" xfId="0" applyFont="1" applyFill="1" applyBorder="1"/>
    <xf numFmtId="11" fontId="2" fillId="4" borderId="12" xfId="0" applyNumberFormat="1" applyFont="1" applyFill="1" applyBorder="1"/>
    <xf numFmtId="0" fontId="9" fillId="5" borderId="15" xfId="0" applyFont="1" applyFill="1" applyBorder="1"/>
    <xf numFmtId="0" fontId="2" fillId="5" borderId="11" xfId="0" applyFont="1" applyFill="1" applyBorder="1"/>
    <xf numFmtId="11" fontId="2" fillId="5" borderId="11" xfId="0" applyNumberFormat="1" applyFont="1" applyFill="1" applyBorder="1"/>
    <xf numFmtId="11" fontId="2" fillId="5" borderId="12" xfId="0" applyNumberFormat="1" applyFont="1" applyFill="1" applyBorder="1"/>
    <xf numFmtId="0" fontId="13" fillId="2" borderId="17" xfId="0" applyFont="1" applyFill="1" applyBorder="1"/>
    <xf numFmtId="11" fontId="23" fillId="2" borderId="18" xfId="0" applyNumberFormat="1" applyFont="1" applyFill="1" applyBorder="1"/>
    <xf numFmtId="0" fontId="17" fillId="6" borderId="19" xfId="0" applyFont="1" applyFill="1" applyBorder="1"/>
    <xf numFmtId="0" fontId="17" fillId="6" borderId="20" xfId="0" applyFont="1" applyFill="1" applyBorder="1"/>
    <xf numFmtId="11" fontId="17" fillId="6" borderId="20" xfId="0" applyNumberFormat="1" applyFont="1" applyFill="1" applyBorder="1"/>
    <xf numFmtId="0" fontId="17" fillId="6" borderId="9" xfId="0" applyFont="1" applyFill="1" applyBorder="1"/>
    <xf numFmtId="165" fontId="2" fillId="4" borderId="11" xfId="0" applyNumberFormat="1" applyFont="1" applyFill="1" applyBorder="1"/>
    <xf numFmtId="11" fontId="23" fillId="2" borderId="14" xfId="0" applyNumberFormat="1" applyFont="1" applyFill="1" applyBorder="1"/>
    <xf numFmtId="0" fontId="9" fillId="4" borderId="21" xfId="0" applyFont="1" applyFill="1" applyBorder="1"/>
    <xf numFmtId="11" fontId="2" fillId="4" borderId="22" xfId="0" applyNumberFormat="1" applyFont="1" applyFill="1" applyBorder="1"/>
    <xf numFmtId="0" fontId="2" fillId="4" borderId="23" xfId="0" applyFont="1" applyFill="1" applyBorder="1"/>
    <xf numFmtId="0" fontId="9" fillId="5" borderId="21" xfId="0" applyFont="1" applyFill="1" applyBorder="1"/>
    <xf numFmtId="11" fontId="2" fillId="5" borderId="22" xfId="0" applyNumberFormat="1" applyFont="1" applyFill="1" applyBorder="1"/>
    <xf numFmtId="0" fontId="2" fillId="5" borderId="23" xfId="0" applyFont="1" applyFill="1" applyBorder="1"/>
    <xf numFmtId="0" fontId="8" fillId="2" borderId="17" xfId="0" applyFont="1" applyFill="1" applyBorder="1"/>
    <xf numFmtId="11" fontId="2" fillId="2" borderId="18" xfId="0" applyNumberFormat="1" applyFont="1" applyFill="1" applyBorder="1"/>
    <xf numFmtId="11" fontId="2" fillId="2" borderId="14" xfId="0" applyNumberFormat="1" applyFont="1" applyFill="1" applyBorder="1"/>
    <xf numFmtId="0" fontId="15" fillId="3" borderId="15" xfId="0" applyFont="1" applyFill="1" applyBorder="1"/>
    <xf numFmtId="0" fontId="2" fillId="2" borderId="14" xfId="0" applyFont="1" applyFill="1" applyBorder="1" applyAlignment="1">
      <alignment horizontal="right" vertical="center"/>
    </xf>
    <xf numFmtId="11" fontId="2" fillId="2" borderId="14" xfId="0" applyNumberFormat="1" applyFont="1" applyFill="1" applyBorder="1" applyAlignment="1">
      <alignment horizontal="right" vertical="center"/>
    </xf>
    <xf numFmtId="0" fontId="9" fillId="3" borderId="21" xfId="0" applyFont="1" applyFill="1" applyBorder="1"/>
    <xf numFmtId="0" fontId="17" fillId="6" borderId="24" xfId="0" applyFont="1" applyFill="1" applyBorder="1"/>
    <xf numFmtId="0" fontId="17" fillId="6" borderId="25" xfId="0" applyFont="1" applyFill="1" applyBorder="1"/>
    <xf numFmtId="0" fontId="17" fillId="6" borderId="26" xfId="0" applyFont="1" applyFill="1" applyBorder="1"/>
    <xf numFmtId="0" fontId="2" fillId="2" borderId="18" xfId="0" applyFont="1" applyFill="1" applyBorder="1" applyAlignment="1">
      <alignment horizontal="right" vertical="center"/>
    </xf>
    <xf numFmtId="11" fontId="2" fillId="2" borderId="9" xfId="0" applyNumberFormat="1" applyFont="1" applyFill="1" applyBorder="1" applyAlignment="1">
      <alignment horizontal="right"/>
    </xf>
    <xf numFmtId="0" fontId="2" fillId="0" borderId="0" xfId="0" applyFont="1"/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8" fillId="0" borderId="27" xfId="0" applyFont="1" applyBorder="1"/>
    <xf numFmtId="0" fontId="28" fillId="0" borderId="28" xfId="0" applyFont="1" applyBorder="1"/>
    <xf numFmtId="0" fontId="28" fillId="0" borderId="29" xfId="0" applyFont="1" applyBorder="1"/>
    <xf numFmtId="0" fontId="0" fillId="0" borderId="0" xfId="0" applyBorder="1"/>
    <xf numFmtId="0" fontId="0" fillId="9" borderId="31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0" fontId="0" fillId="11" borderId="34" xfId="0" applyFill="1" applyBorder="1"/>
    <xf numFmtId="0" fontId="0" fillId="0" borderId="35" xfId="0" applyBorder="1"/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9" fillId="12" borderId="31" xfId="0" applyFont="1" applyFill="1" applyBorder="1" applyAlignment="1">
      <alignment horizontal="center"/>
    </xf>
    <xf numFmtId="0" fontId="29" fillId="12" borderId="40" xfId="0" applyFont="1" applyFill="1" applyBorder="1" applyAlignment="1">
      <alignment horizontal="center"/>
    </xf>
    <xf numFmtId="0" fontId="29" fillId="12" borderId="32" xfId="0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2" fillId="0" borderId="15" xfId="0" applyFont="1" applyBorder="1"/>
    <xf numFmtId="0" fontId="2" fillId="0" borderId="1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7" xfId="0" applyBorder="1"/>
    <xf numFmtId="0" fontId="0" fillId="0" borderId="11" xfId="0" applyBorder="1"/>
    <xf numFmtId="9" fontId="0" fillId="0" borderId="11" xfId="1" applyFont="1" applyBorder="1"/>
    <xf numFmtId="0" fontId="29" fillId="13" borderId="31" xfId="0" applyFont="1" applyFill="1" applyBorder="1" applyAlignment="1">
      <alignment horizontal="center"/>
    </xf>
    <xf numFmtId="0" fontId="31" fillId="13" borderId="40" xfId="0" applyFont="1" applyFill="1" applyBorder="1" applyAlignment="1">
      <alignment horizontal="center"/>
    </xf>
    <xf numFmtId="0" fontId="31" fillId="13" borderId="32" xfId="0" applyFont="1" applyFill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2" fillId="0" borderId="51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6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669139</xdr:colOff>
      <xdr:row>20</xdr:row>
      <xdr:rowOff>70559</xdr:rowOff>
    </xdr:from>
    <xdr:to>
      <xdr:col>3</xdr:col>
      <xdr:colOff>743171</xdr:colOff>
      <xdr:row>27</xdr:row>
      <xdr:rowOff>140337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3B0F4B-4922-4C37-F186-C73908C36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574" b="20073"/>
        <a:stretch/>
      </xdr:blipFill>
      <xdr:spPr>
        <a:xfrm>
          <a:off x="1493046" y="830738"/>
          <a:ext cx="2469552" cy="1590911"/>
        </a:xfrm>
        <a:prstGeom prst="rect">
          <a:avLst/>
        </a:prstGeom>
      </xdr:spPr>
    </xdr:pic>
    <xdr:clientData/>
  </xdr:twoCellAnchor>
  <xdr:oneCellAnchor>
    <xdr:from>
      <xdr:col>6</xdr:col>
      <xdr:colOff>731736</xdr:colOff>
      <xdr:row>27</xdr:row>
      <xdr:rowOff>146275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AD7FFC-5F29-0C98-6878-8B455796E9F8}"/>
            </a:ext>
          </a:extLst>
        </xdr:cNvPr>
        <xdr:cNvSpPr txBox="1"/>
      </xdr:nvSpPr>
      <xdr:spPr>
        <a:xfrm>
          <a:off x="5703651" y="2362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22</xdr:row>
      <xdr:rowOff>45042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2ABF33-384F-79D9-69F2-1F89F23A2288}"/>
            </a:ext>
          </a:extLst>
        </xdr:cNvPr>
        <xdr:cNvSpPr txBox="1"/>
      </xdr:nvSpPr>
      <xdr:spPr>
        <a:xfrm>
          <a:off x="4947497" y="121587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669139</xdr:colOff>
      <xdr:row>31</xdr:row>
      <xdr:rowOff>70559</xdr:rowOff>
    </xdr:from>
    <xdr:ext cx="2471792" cy="1585983"/>
    <xdr:pic>
      <xdr:nvPicPr>
        <xdr:cNvPr id="6" name="Picture 5">
          <a:extLst>
            <a:ext uri="{FF2B5EF4-FFF2-40B4-BE49-F238E27FC236}">
              <a16:creationId xmlns:a16="http://schemas.microsoft.com/office/drawing/2014/main" id="{2D61E1EB-9C81-4C47-8950-F86D27ECE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8" b="17918"/>
        <a:stretch/>
      </xdr:blipFill>
      <xdr:spPr>
        <a:xfrm>
          <a:off x="1492099" y="7781999"/>
          <a:ext cx="2471792" cy="1585983"/>
        </a:xfrm>
        <a:prstGeom prst="rect">
          <a:avLst/>
        </a:prstGeom>
      </xdr:spPr>
    </xdr:pic>
    <xdr:clientData/>
  </xdr:oneCellAnchor>
  <xdr:oneCellAnchor>
    <xdr:from>
      <xdr:col>6</xdr:col>
      <xdr:colOff>731736</xdr:colOff>
      <xdr:row>38</xdr:row>
      <xdr:rowOff>146275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50AE7A-B207-044B-A179-E0F44BE6C901}"/>
            </a:ext>
          </a:extLst>
        </xdr:cNvPr>
        <xdr:cNvSpPr txBox="1"/>
      </xdr:nvSpPr>
      <xdr:spPr>
        <a:xfrm>
          <a:off x="6787096" y="6892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33</xdr:row>
      <xdr:rowOff>45042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0F4E7B-901C-824C-852E-F14320EE8F39}"/>
            </a:ext>
          </a:extLst>
        </xdr:cNvPr>
        <xdr:cNvSpPr txBox="1"/>
      </xdr:nvSpPr>
      <xdr:spPr>
        <a:xfrm>
          <a:off x="5778877" y="5714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669139</xdr:colOff>
      <xdr:row>42</xdr:row>
      <xdr:rowOff>70559</xdr:rowOff>
    </xdr:from>
    <xdr:ext cx="2442474" cy="1839521"/>
    <xdr:pic>
      <xdr:nvPicPr>
        <xdr:cNvPr id="9" name="Picture 8">
          <a:extLst>
            <a:ext uri="{FF2B5EF4-FFF2-40B4-BE49-F238E27FC236}">
              <a16:creationId xmlns:a16="http://schemas.microsoft.com/office/drawing/2014/main" id="{886C4B03-3918-184C-9B87-75AE500697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8" r="8281" b="13005"/>
        <a:stretch/>
      </xdr:blipFill>
      <xdr:spPr>
        <a:xfrm>
          <a:off x="1492099" y="10230559"/>
          <a:ext cx="2442474" cy="1839521"/>
        </a:xfrm>
        <a:prstGeom prst="rect">
          <a:avLst/>
        </a:prstGeom>
      </xdr:spPr>
    </xdr:pic>
    <xdr:clientData/>
  </xdr:oneCellAnchor>
  <xdr:oneCellAnchor>
    <xdr:from>
      <xdr:col>6</xdr:col>
      <xdr:colOff>731736</xdr:colOff>
      <xdr:row>49</xdr:row>
      <xdr:rowOff>146275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4FE8DF-D0F6-E44A-8A08-B4D7C698CC36}"/>
            </a:ext>
          </a:extLst>
        </xdr:cNvPr>
        <xdr:cNvSpPr txBox="1"/>
      </xdr:nvSpPr>
      <xdr:spPr>
        <a:xfrm>
          <a:off x="6787096" y="6892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44</xdr:row>
      <xdr:rowOff>45042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D0C4E06-1608-6745-81B3-C1080841F9D3}"/>
            </a:ext>
          </a:extLst>
        </xdr:cNvPr>
        <xdr:cNvSpPr txBox="1"/>
      </xdr:nvSpPr>
      <xdr:spPr>
        <a:xfrm>
          <a:off x="5778877" y="5714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135467</xdr:colOff>
      <xdr:row>18</xdr:row>
      <xdr:rowOff>152400</xdr:rowOff>
    </xdr:from>
    <xdr:to>
      <xdr:col>14</xdr:col>
      <xdr:colOff>203201</xdr:colOff>
      <xdr:row>54</xdr:row>
      <xdr:rowOff>16934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7F3E147-17E7-D2C9-C887-CD640B9D0085}"/>
            </a:ext>
          </a:extLst>
        </xdr:cNvPr>
        <xdr:cNvSpPr/>
      </xdr:nvSpPr>
      <xdr:spPr>
        <a:xfrm flipH="1">
          <a:off x="13749867" y="4859867"/>
          <a:ext cx="897467" cy="7975600"/>
        </a:xfrm>
        <a:prstGeom prst="leftBrace">
          <a:avLst>
            <a:gd name="adj1" fmla="val 8333"/>
            <a:gd name="adj2" fmla="val 50212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237067</xdr:colOff>
      <xdr:row>33</xdr:row>
      <xdr:rowOff>149412</xdr:rowOff>
    </xdr:from>
    <xdr:to>
      <xdr:col>18</xdr:col>
      <xdr:colOff>567765</xdr:colOff>
      <xdr:row>38</xdr:row>
      <xdr:rowOff>44824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40329D6-930A-4C5C-BC6F-07A5821C36A4}"/>
            </a:ext>
          </a:extLst>
        </xdr:cNvPr>
        <xdr:cNvSpPr txBox="1"/>
      </xdr:nvSpPr>
      <xdr:spPr>
        <a:xfrm>
          <a:off x="14681200" y="8345145"/>
          <a:ext cx="3700432" cy="1013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BASIS SET</a:t>
          </a:r>
          <a:r>
            <a:rPr lang="en-US" sz="1800">
              <a:solidFill>
                <a:srgbClr val="FF0000"/>
              </a:solidFill>
            </a:rPr>
            <a:t>:</a:t>
          </a:r>
          <a:r>
            <a:rPr lang="en-US" sz="1800" baseline="0">
              <a:solidFill>
                <a:srgbClr val="FF0000"/>
              </a:solidFill>
            </a:rPr>
            <a:t> 6-31+g(d,p)</a:t>
          </a:r>
        </a:p>
        <a:p>
          <a:r>
            <a:rPr lang="en-US" sz="1800" b="1" baseline="0"/>
            <a:t>THEORY LEVEL</a:t>
          </a:r>
          <a:r>
            <a:rPr lang="en-US" sz="1800" baseline="0"/>
            <a:t>: </a:t>
          </a:r>
          <a:r>
            <a:rPr lang="en-US" sz="1800" baseline="0">
              <a:solidFill>
                <a:srgbClr val="FF0000"/>
              </a:solidFill>
            </a:rPr>
            <a:t>DFT (B3LYP)</a:t>
          </a:r>
        </a:p>
        <a:p>
          <a:r>
            <a:rPr lang="en-US" sz="1800" b="1"/>
            <a:t>SCRF method</a:t>
          </a:r>
          <a:r>
            <a:rPr lang="en-US" sz="1800"/>
            <a:t>: </a:t>
          </a:r>
          <a:r>
            <a:rPr lang="en-US" sz="1800">
              <a:solidFill>
                <a:srgbClr val="FF0000"/>
              </a:solidFill>
            </a:rPr>
            <a:t>SMD - water</a:t>
          </a:r>
        </a:p>
      </xdr:txBody>
    </xdr:sp>
    <xdr:clientData/>
  </xdr:twoCellAnchor>
  <xdr:twoCellAnchor>
    <xdr:from>
      <xdr:col>14</xdr:col>
      <xdr:colOff>79376</xdr:colOff>
      <xdr:row>23</xdr:row>
      <xdr:rowOff>141110</xdr:rowOff>
    </xdr:from>
    <xdr:to>
      <xdr:col>23</xdr:col>
      <xdr:colOff>776112</xdr:colOff>
      <xdr:row>27</xdr:row>
      <xdr:rowOff>52916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B03F5FA-D674-0AA8-C076-350A2C1C8939}"/>
            </a:ext>
          </a:extLst>
        </xdr:cNvPr>
        <xdr:cNvSpPr txBox="1"/>
      </xdr:nvSpPr>
      <xdr:spPr>
        <a:xfrm>
          <a:off x="14507987" y="6067777"/>
          <a:ext cx="8184444" cy="7320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NOTE</a:t>
          </a:r>
          <a:r>
            <a:rPr lang="en-US" sz="1800"/>
            <a:t>: The</a:t>
          </a:r>
          <a:r>
            <a:rPr lang="en-US" sz="1800" baseline="0"/>
            <a:t> way used to calculate the Gibbs free energies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requires the approximation that the thermochemical energy correction (arising from the hessian diagonalization) is equal in both geometries, which can be used for most of the cases.</a:t>
          </a:r>
          <a:endParaRPr lang="en-US" sz="1800"/>
        </a:p>
        <a:p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68551</xdr:colOff>
      <xdr:row>20</xdr:row>
      <xdr:rowOff>24533</xdr:rowOff>
    </xdr:from>
    <xdr:to>
      <xdr:col>1</xdr:col>
      <xdr:colOff>1494414</xdr:colOff>
      <xdr:row>23</xdr:row>
      <xdr:rowOff>126277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CF1D6-8ABF-EF8D-17F0-3958B9837480}"/>
            </a:ext>
          </a:extLst>
        </xdr:cNvPr>
        <xdr:cNvSpPr txBox="1"/>
      </xdr:nvSpPr>
      <xdr:spPr>
        <a:xfrm>
          <a:off x="68551" y="5116078"/>
          <a:ext cx="2257136" cy="748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estimated as</a:t>
          </a:r>
          <a:r>
            <a:rPr lang="en-US" sz="1100" baseline="0"/>
            <a:t> internal eletronic energy + thermal energy</a:t>
          </a:r>
          <a:endParaRPr lang="en-US" sz="1100"/>
        </a:p>
      </xdr:txBody>
    </xdr:sp>
    <xdr:clientData/>
  </xdr:twoCellAnchor>
  <xdr:twoCellAnchor>
    <xdr:from>
      <xdr:col>6</xdr:col>
      <xdr:colOff>555625</xdr:colOff>
      <xdr:row>30</xdr:row>
      <xdr:rowOff>15875</xdr:rowOff>
    </xdr:from>
    <xdr:to>
      <xdr:col>6</xdr:col>
      <xdr:colOff>555625</xdr:colOff>
      <xdr:row>32</xdr:row>
      <xdr:rowOff>79375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615D3F6-7E10-179D-4F4E-C2703493A404}"/>
            </a:ext>
          </a:extLst>
        </xdr:cNvPr>
        <xdr:cNvCxnSpPr/>
      </xdr:nvCxnSpPr>
      <xdr:spPr>
        <a:xfrm flipV="1">
          <a:off x="6945313" y="7350125"/>
          <a:ext cx="0" cy="4762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500062</xdr:colOff>
      <xdr:row>30</xdr:row>
      <xdr:rowOff>31750</xdr:rowOff>
    </xdr:from>
    <xdr:to>
      <xdr:col>7</xdr:col>
      <xdr:colOff>500062</xdr:colOff>
      <xdr:row>32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F932CD-7BCA-4C40-8D53-899F79CCAA1E}"/>
            </a:ext>
          </a:extLst>
        </xdr:cNvPr>
        <xdr:cNvCxnSpPr/>
      </xdr:nvCxnSpPr>
      <xdr:spPr>
        <a:xfrm flipV="1">
          <a:off x="7818437" y="7366000"/>
          <a:ext cx="0" cy="4762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904874</xdr:colOff>
      <xdr:row>32</xdr:row>
      <xdr:rowOff>134937</xdr:rowOff>
    </xdr:from>
    <xdr:to>
      <xdr:col>7</xdr:col>
      <xdr:colOff>23812</xdr:colOff>
      <xdr:row>34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B93A37-0B62-2BDD-F321-1134FF36A340}"/>
            </a:ext>
          </a:extLst>
        </xdr:cNvPr>
        <xdr:cNvSpPr txBox="1"/>
      </xdr:nvSpPr>
      <xdr:spPr>
        <a:xfrm>
          <a:off x="6294437" y="7881937"/>
          <a:ext cx="1047750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over</a:t>
          </a:r>
          <a:r>
            <a:rPr lang="en-US" sz="1100"/>
            <a:t>estimated</a:t>
          </a:r>
        </a:p>
      </xdr:txBody>
    </xdr:sp>
    <xdr:clientData/>
  </xdr:twoCellAnchor>
  <xdr:twoCellAnchor>
    <xdr:from>
      <xdr:col>7</xdr:col>
      <xdr:colOff>168274</xdr:colOff>
      <xdr:row>32</xdr:row>
      <xdr:rowOff>128587</xdr:rowOff>
    </xdr:from>
    <xdr:to>
      <xdr:col>8</xdr:col>
      <xdr:colOff>420688</xdr:colOff>
      <xdr:row>34</xdr:row>
      <xdr:rowOff>7938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CA4756-D5F0-E44D-BD18-6F648720A16F}"/>
            </a:ext>
          </a:extLst>
        </xdr:cNvPr>
        <xdr:cNvSpPr txBox="1"/>
      </xdr:nvSpPr>
      <xdr:spPr>
        <a:xfrm>
          <a:off x="7486649" y="7875587"/>
          <a:ext cx="1077914" cy="292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60000"/>
                  <a:lumOff val="40000"/>
                </a:schemeClr>
              </a:solidFill>
            </a:rPr>
            <a:t>under</a:t>
          </a:r>
          <a:r>
            <a:rPr lang="en-US" sz="1100"/>
            <a:t>estimated</a:t>
          </a:r>
        </a:p>
      </xdr:txBody>
    </xdr:sp>
    <xdr:clientData/>
  </xdr:twoCellAnchor>
  <xdr:twoCellAnchor>
    <xdr:from>
      <xdr:col>6</xdr:col>
      <xdr:colOff>142876</xdr:colOff>
      <xdr:row>34</xdr:row>
      <xdr:rowOff>119063</xdr:rowOff>
    </xdr:from>
    <xdr:to>
      <xdr:col>8</xdr:col>
      <xdr:colOff>222251</xdr:colOff>
      <xdr:row>37</xdr:row>
      <xdr:rowOff>127000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4CCA864-F19A-5EF4-7A91-A13C8948B06C}"/>
            </a:ext>
          </a:extLst>
        </xdr:cNvPr>
        <xdr:cNvSpPr txBox="1"/>
      </xdr:nvSpPr>
      <xdr:spPr>
        <a:xfrm>
          <a:off x="6532564" y="8278813"/>
          <a:ext cx="1833562" cy="627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will</a:t>
          </a:r>
          <a:r>
            <a:rPr lang="en-US" sz="1100" baseline="0"/>
            <a:t> be using these experimatal values from this point on</a:t>
          </a:r>
          <a:endParaRPr lang="en-US" sz="1100"/>
        </a:p>
      </xdr:txBody>
    </xdr:sp>
    <xdr:clientData/>
  </xdr:twoCellAnchor>
  <xdr:twoCellAnchor editAs="oneCell">
    <xdr:from>
      <xdr:col>1</xdr:col>
      <xdr:colOff>337889</xdr:colOff>
      <xdr:row>41</xdr:row>
      <xdr:rowOff>46605</xdr:rowOff>
    </xdr:from>
    <xdr:to>
      <xdr:col>8</xdr:col>
      <xdr:colOff>713840</xdr:colOff>
      <xdr:row>47</xdr:row>
      <xdr:rowOff>36168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3C7DB2-DDB6-B1CD-B564-425A074E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137" y="9705596"/>
          <a:ext cx="7772400" cy="1178004"/>
        </a:xfrm>
        <a:prstGeom prst="rect">
          <a:avLst/>
        </a:prstGeom>
      </xdr:spPr>
    </xdr:pic>
    <xdr:clientData/>
  </xdr:twoCellAnchor>
  <xdr:twoCellAnchor>
    <xdr:from>
      <xdr:col>6</xdr:col>
      <xdr:colOff>20189</xdr:colOff>
      <xdr:row>16</xdr:row>
      <xdr:rowOff>197665</xdr:rowOff>
    </xdr:from>
    <xdr:to>
      <xdr:col>10</xdr:col>
      <xdr:colOff>74774</xdr:colOff>
      <xdr:row>21</xdr:row>
      <xdr:rowOff>123982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4EE1A79-909B-2F46-BC53-3D80EEFCD50B}"/>
            </a:ext>
          </a:extLst>
        </xdr:cNvPr>
        <xdr:cNvSpPr txBox="1"/>
      </xdr:nvSpPr>
      <xdr:spPr>
        <a:xfrm>
          <a:off x="6410894" y="4398434"/>
          <a:ext cx="3669201" cy="100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BASIS SET</a:t>
          </a:r>
          <a:r>
            <a:rPr lang="en-US" sz="1800">
              <a:solidFill>
                <a:srgbClr val="FF0000"/>
              </a:solidFill>
            </a:rPr>
            <a:t>:</a:t>
          </a:r>
          <a:r>
            <a:rPr lang="en-US" sz="1800" baseline="0">
              <a:solidFill>
                <a:srgbClr val="FF0000"/>
              </a:solidFill>
            </a:rPr>
            <a:t> 6-31+g(d,p)</a:t>
          </a:r>
        </a:p>
        <a:p>
          <a:r>
            <a:rPr lang="en-US" sz="1800" b="1" baseline="0"/>
            <a:t>THEORY LEVEL</a:t>
          </a:r>
          <a:r>
            <a:rPr lang="en-US" sz="1800" baseline="0"/>
            <a:t>: </a:t>
          </a:r>
          <a:r>
            <a:rPr lang="en-US" sz="1800" baseline="0">
              <a:solidFill>
                <a:srgbClr val="FF0000"/>
              </a:solidFill>
            </a:rPr>
            <a:t>DFT (B3LYP)</a:t>
          </a:r>
        </a:p>
        <a:p>
          <a:r>
            <a:rPr lang="en-US" sz="1800" b="1"/>
            <a:t>SCRF method</a:t>
          </a:r>
          <a:r>
            <a:rPr lang="en-US" sz="1800"/>
            <a:t>: </a:t>
          </a:r>
          <a:r>
            <a:rPr lang="en-US" sz="1800">
              <a:solidFill>
                <a:srgbClr val="FF0000"/>
              </a:solidFill>
            </a:rPr>
            <a:t>SMD - water</a:t>
          </a:r>
        </a:p>
      </xdr:txBody>
    </xdr:sp>
    <xdr:clientData/>
  </xdr:twoCellAnchor>
  <xdr:twoCellAnchor>
    <xdr:from>
      <xdr:col>12</xdr:col>
      <xdr:colOff>702076</xdr:colOff>
      <xdr:row>50</xdr:row>
      <xdr:rowOff>259827</xdr:rowOff>
    </xdr:from>
    <xdr:to>
      <xdr:col>20</xdr:col>
      <xdr:colOff>204793</xdr:colOff>
      <xdr:row>56</xdr:row>
      <xdr:rowOff>181194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1A815FE-AFDE-C230-C1CC-2CD88FEA274B}"/>
                </a:ext>
              </a:extLst>
            </xdr:cNvPr>
            <xdr:cNvSpPr txBox="1"/>
          </xdr:nvSpPr>
          <xdr:spPr>
            <a:xfrm>
              <a:off x="12830576" y="11804127"/>
              <a:ext cx="6221017" cy="1343767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it-IT" sz="1800" b="0" i="1">
                      <a:latin typeface="Cambria Math" panose="02040503050406030204" pitchFamily="18" charset="0"/>
                    </a:rPr>
                    <m:t>𝑝𝐾𝑎</m:t>
                  </m:r>
                  <m:r>
                    <a:rPr lang="it-IT" sz="1800" b="0" i="1">
                      <a:latin typeface="Cambria Math" panose="02040503050406030204" pitchFamily="18" charset="0"/>
                    </a:rPr>
                    <m:t> </m:t>
                  </m:r>
                  <m:r>
                    <a:rPr lang="it-IT" sz="1800" b="0" i="1">
                      <a:latin typeface="Cambria Math" panose="02040503050406030204" pitchFamily="18" charset="0"/>
                    </a:rPr>
                    <m:t>𝑐𝑜𝑟𝑟𝑒𝑐𝑡𝑒𝑑</m:t>
                  </m:r>
                  <m:r>
                    <a:rPr lang="it-IT" sz="18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8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num>
                    <m:den>
                      <m:r>
                        <a:rPr lang="it-IT" sz="1800" b="0" i="1">
                          <a:latin typeface="Cambria Math" panose="02040503050406030204" pitchFamily="18" charset="0"/>
                        </a:rPr>
                        <m:t>1.364</m:t>
                      </m:r>
                    </m:den>
                  </m:f>
                  <m:r>
                    <a:rPr lang="it-IT" sz="1800" b="0" i="1">
                      <a:latin typeface="Cambria Math" panose="02040503050406030204" pitchFamily="18" charset="0"/>
                    </a:rPr>
                    <m:t>−4.53</m:t>
                  </m:r>
                </m:oMath>
              </a14:m>
              <a:r>
                <a:rPr lang="en-US" sz="1800"/>
                <a:t> </a:t>
              </a:r>
              <a:r>
                <a:rPr lang="en-US" sz="1800" baseline="0"/>
                <a:t> (found in http://pogorelov.scs.illinois.edu/wp-content/uploads/2019/09/pKa_Estimations_Tutorial_web.pdf )</a:t>
              </a:r>
              <a:endParaRPr lang="en-US" sz="18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1A815FE-AFDE-C230-C1CC-2CD88FEA274B}"/>
                </a:ext>
              </a:extLst>
            </xdr:cNvPr>
            <xdr:cNvSpPr txBox="1"/>
          </xdr:nvSpPr>
          <xdr:spPr>
            <a:xfrm>
              <a:off x="12830576" y="11804127"/>
              <a:ext cx="6221017" cy="1343767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800" b="0" i="0">
                  <a:latin typeface="Cambria Math" panose="02040503050406030204" pitchFamily="18" charset="0"/>
                </a:rPr>
                <a:t>𝑝𝐾𝑎 𝑐𝑜𝑟𝑟𝑒𝑐𝑡𝑒𝑑=</a:t>
              </a:r>
              <a:r>
                <a:rPr lang="en-US" sz="1800"/>
                <a:t> </a:t>
              </a:r>
              <a:r>
                <a:rPr lang="it-IT" sz="1800" b="0" i="0">
                  <a:latin typeface="Cambria Math" panose="02040503050406030204" pitchFamily="18" charset="0"/>
                </a:rPr>
                <a:t>(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𝐺°)/</a:t>
              </a:r>
              <a:r>
                <a:rPr lang="it-IT" sz="1800" b="0" i="0">
                  <a:latin typeface="Cambria Math" panose="02040503050406030204" pitchFamily="18" charset="0"/>
                </a:rPr>
                <a:t>1.364−4.53</a:t>
              </a:r>
              <a:r>
                <a:rPr lang="en-US" sz="1800"/>
                <a:t> </a:t>
              </a:r>
              <a:r>
                <a:rPr lang="en-US" sz="1800" baseline="0"/>
                <a:t> (found in http://pogorelov.scs.illinois.edu/wp-content/uploads/2019/09/pKa_Estimations_Tutorial_web.pdf )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1</xdr:col>
      <xdr:colOff>60960</xdr:colOff>
      <xdr:row>63</xdr:row>
      <xdr:rowOff>152400</xdr:rowOff>
    </xdr:from>
    <xdr:to>
      <xdr:col>9</xdr:col>
      <xdr:colOff>362224</xdr:colOff>
      <xdr:row>69</xdr:row>
      <xdr:rowOff>50800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1239239-FFA9-8510-B292-D4453D55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14711680"/>
          <a:ext cx="8548454" cy="11176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70</xdr:row>
      <xdr:rowOff>101601</xdr:rowOff>
    </xdr:from>
    <xdr:to>
      <xdr:col>7</xdr:col>
      <xdr:colOff>628429</xdr:colOff>
      <xdr:row>78</xdr:row>
      <xdr:rowOff>121921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F50A3DB-51C1-A4A1-FDF2-2EBC8CC0C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160" y="16083281"/>
          <a:ext cx="6917469" cy="1645920"/>
        </a:xfrm>
        <a:prstGeom prst="rect">
          <a:avLst/>
        </a:prstGeom>
      </xdr:spPr>
    </xdr:pic>
    <xdr:clientData/>
  </xdr:twoCellAnchor>
  <xdr:twoCellAnchor>
    <xdr:from>
      <xdr:col>9</xdr:col>
      <xdr:colOff>577272</xdr:colOff>
      <xdr:row>36</xdr:row>
      <xdr:rowOff>115454</xdr:rowOff>
    </xdr:from>
    <xdr:to>
      <xdr:col>20</xdr:col>
      <xdr:colOff>187377</xdr:colOff>
      <xdr:row>50</xdr:row>
      <xdr:rowOff>126999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0B900F8-7A7E-D790-FB5F-7ED166EDFB3E}"/>
                </a:ext>
              </a:extLst>
            </xdr:cNvPr>
            <xdr:cNvSpPr txBox="1"/>
          </xdr:nvSpPr>
          <xdr:spPr>
            <a:xfrm>
              <a:off x="9633829" y="8651520"/>
              <a:ext cx="9145515" cy="3072036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𝐻𝐴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𝑂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</m:oMath>
                </m:oMathPara>
              </a14:m>
              <a:endParaRPr lang="en-US" sz="1800"/>
            </a:p>
            <a:p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𝐻𝐴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𝑂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</m:oMath>
                </m:oMathPara>
              </a14:m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sub>
                    </m:sSub>
                  </m:oMath>
                </m:oMathPara>
              </a14:m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°=−2.303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𝑅𝑇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it-IT" sz="18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lg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𝐾𝑎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/⁡[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𝑂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𝑝𝐾𝑎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1.364</m:t>
                        </m:r>
                      </m:den>
                    </m:f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e>
                        </m:d>
                      </m:e>
                    </m:fun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1.364</m:t>
                        </m:r>
                      </m:den>
                    </m:f>
                    <m:r>
                      <a:rPr lang="it-IT" sz="1800" b="0" i="1">
                        <a:latin typeface="Cambria Math" panose="02040503050406030204" pitchFamily="18" charset="0"/>
                      </a:rPr>
                      <m:t>+2.36</m:t>
                    </m:r>
                  </m:oMath>
                </m:oMathPara>
              </a14:m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endParaRPr lang="en-US" sz="18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0B900F8-7A7E-D790-FB5F-7ED166EDFB3E}"/>
                </a:ext>
              </a:extLst>
            </xdr:cNvPr>
            <xdr:cNvSpPr txBox="1"/>
          </xdr:nvSpPr>
          <xdr:spPr>
            <a:xfrm>
              <a:off x="9633829" y="8651520"/>
              <a:ext cx="9145515" cy="3072036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𝐺°〗_𝑠𝑜𝑙𝑣=∆𝐺°(𝐴^−,𝑠𝑜𝑙𝑣)+∆𝐺°(〖𝐻_3 𝑂〗^+,𝑠𝑜𝑙𝑣)− ∆𝐺°(𝐻𝐴,𝑠𝑜𝑙𝑣)− ∆𝐺°(𝐻_2 𝑂,𝑠𝑜𝑙𝑣)</a:t>
              </a:r>
              <a:endParaRPr lang="en-US" sz="1800"/>
            </a:p>
            <a:p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𝐺°〗_𝑔𝑎𝑠=∆𝐺°(𝐴^−,𝑔𝑎𝑠)+∆𝐺°(〖𝐻_3 𝑂〗^+,𝑔𝑎𝑠)− ∆𝐺°(𝐻𝐴,𝑔𝑎𝑠)− ∆𝐺°(𝐻_2 𝑂,𝑔𝑎𝑠)</a:t>
              </a: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𝐺°=〖∆𝐺°〗_𝑔𝑎𝑠+〖∆𝐺°〗_𝑠𝑜𝑙𝑣</a:t>
              </a: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𝐺°=−2.303𝑅𝑇 lg⁡(𝐾𝑎/⁡[𝐻_2 𝑂</a:t>
              </a:r>
              <a:r>
                <a:rPr lang="it-IT" sz="1800" b="0" i="0">
                  <a:latin typeface="Cambria Math" panose="02040503050406030204" pitchFamily="18" charset="0"/>
                </a:rPr>
                <a:t>]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</a:rPr>
                <a:t>𝑝𝐾𝑎= 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𝐺°)/</a:t>
              </a:r>
              <a:r>
                <a:rPr lang="it-IT" sz="1800" b="0" i="0">
                  <a:latin typeface="Cambria Math" panose="02040503050406030204" pitchFamily="18" charset="0"/>
                </a:rPr>
                <a:t>1.364+log⁡[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𝐻_2 𝑂]</a:t>
              </a:r>
              <a:r>
                <a:rPr lang="it-IT" sz="1800" b="0" i="0">
                  <a:latin typeface="Cambria Math" panose="02040503050406030204" pitchFamily="18" charset="0"/>
                </a:rPr>
                <a:t>=(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𝐺°)/</a:t>
              </a:r>
              <a:r>
                <a:rPr lang="it-IT" sz="1800" b="0" i="0">
                  <a:latin typeface="Cambria Math" panose="02040503050406030204" pitchFamily="18" charset="0"/>
                </a:rPr>
                <a:t>1.364+2.36</a:t>
              </a: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endParaRPr lang="en-US" sz="1800"/>
            </a:p>
          </xdr:txBody>
        </xdr:sp>
      </mc:Fallback>
    </mc:AlternateContent>
    <xdr:clientData/>
  </xdr:twoCellAnchor>
  <xdr:oneCellAnchor>
    <xdr:from>
      <xdr:col>17</xdr:col>
      <xdr:colOff>496172</xdr:colOff>
      <xdr:row>45</xdr:row>
      <xdr:rowOff>188557</xdr:rowOff>
    </xdr:from>
    <xdr:ext cx="3464410" cy="25051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BE22650-E3C1-8641-91EB-F23456DC89B7}"/>
            </a:ext>
          </a:extLst>
        </xdr:cNvPr>
        <xdr:cNvSpPr txBox="1"/>
      </xdr:nvSpPr>
      <xdr:spPr>
        <a:xfrm>
          <a:off x="16590536" y="10140739"/>
          <a:ext cx="3464410" cy="250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/>
            <a:t>concentration of bulk water is 55.49 mol/L </a:t>
          </a:r>
          <a:endParaRPr lang="en-US" sz="1600"/>
        </a:p>
      </xdr:txBody>
    </xdr:sp>
    <xdr:clientData/>
  </xdr:oneCellAnchor>
  <xdr:twoCellAnchor>
    <xdr:from>
      <xdr:col>16</xdr:col>
      <xdr:colOff>542637</xdr:colOff>
      <xdr:row>45</xdr:row>
      <xdr:rowOff>0</xdr:rowOff>
    </xdr:from>
    <xdr:to>
      <xdr:col>17</xdr:col>
      <xdr:colOff>496173</xdr:colOff>
      <xdr:row>46</xdr:row>
      <xdr:rowOff>105998</xdr:rowOff>
    </xdr:to>
    <xdr:cxnSp macro="">
      <xdr:nvCxnSpPr>
        <xdr:cNvPr id="19" name="Curved Connector 18">
          <a:extLst>
            <a:ext uri="{FF2B5EF4-FFF2-40B4-BE49-F238E27FC236}">
              <a16:creationId xmlns:a16="http://schemas.microsoft.com/office/drawing/2014/main" id="{2AF69F9B-F09A-4179-134A-F99B65640ABB}"/>
            </a:ext>
          </a:extLst>
        </xdr:cNvPr>
        <xdr:cNvCxnSpPr>
          <a:cxnSpLocks/>
          <a:stCxn id="17" idx="1"/>
        </xdr:cNvCxnSpPr>
      </xdr:nvCxnSpPr>
      <xdr:spPr>
        <a:xfrm rot="10800000">
          <a:off x="15805728" y="9952182"/>
          <a:ext cx="784809" cy="31381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812800</xdr:colOff>
      <xdr:row>64</xdr:row>
      <xdr:rowOff>50800</xdr:rowOff>
    </xdr:from>
    <xdr:to>
      <xdr:col>24</xdr:col>
      <xdr:colOff>372533</xdr:colOff>
      <xdr:row>76</xdr:row>
      <xdr:rowOff>169334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BE3F11E8-84C6-6F45-94D6-C865B9290AF8}"/>
                </a:ext>
              </a:extLst>
            </xdr:cNvPr>
            <xdr:cNvSpPr txBox="1"/>
          </xdr:nvSpPr>
          <xdr:spPr>
            <a:xfrm>
              <a:off x="9872133" y="14901333"/>
              <a:ext cx="12412133" cy="2556934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it-IT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𝑠𝑜𝑙𝑣</m:t>
                  </m:r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𝐶𝑂𝑂𝐻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𝐻𝐴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𝐶𝑂𝑂𝐻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</m:oMath>
                </m:oMathPara>
              </a14:m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𝐶𝑂𝑂𝐻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𝐻𝐴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𝐶𝑂𝑂𝐻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</m:oMath>
                </m:oMathPara>
              </a14:m>
              <a:endParaRPr lang="en-US" sz="1800"/>
            </a:p>
            <a:p>
              <a:pPr algn="ctr"/>
              <a:endParaRPr lang="en-US" sz="18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BE3F11E8-84C6-6F45-94D6-C865B9290AF8}"/>
                </a:ext>
              </a:extLst>
            </xdr:cNvPr>
            <xdr:cNvSpPr txBox="1"/>
          </xdr:nvSpPr>
          <xdr:spPr>
            <a:xfrm>
              <a:off x="9872133" y="14901333"/>
              <a:ext cx="12412133" cy="2556934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𝐺°=〖∆𝐺°〗_4+〖∆𝐺°〗_5</a:t>
              </a:r>
              <a:endParaRPr lang="it-IT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〖∆𝐺°〗_4=〖∆𝐺°〗_4 (𝑔𝑎𝑠)</a:t>
              </a:r>
              <a:r>
                <a:rPr lang="en-US" sz="1800"/>
                <a:t>+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〖∆𝐺°〗_4 (𝑠𝑜𝑙𝑣)</a:t>
              </a: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〖∆𝐺°〗_(4,𝑔𝑎𝑠)=∆𝐺°(𝐴^−,𝑔𝑎𝑠)+∆𝐺°(〖𝐶𝐻〗_3 𝐶𝑂𝑂𝐻,𝑔𝑎𝑠)− ∆𝐺°(𝐻𝐴,𝑔𝑎𝑠)− ∆𝐺°(〖〖𝐶𝐻〗_3 𝐶𝑂𝑂𝐻〗^−,𝑔𝑎𝑠)</a:t>
              </a: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〖∆𝐺°〗_(4,𝑠𝑜𝑙𝑣)=∆𝐺°(𝐴^−,𝑠𝑜𝑙𝑣)+∆𝐺°(〖𝐶𝐻〗_3 𝐶𝑂𝑂𝐻,𝑠𝑜𝑙𝑣)− ∆𝐺°(𝐻𝐴,𝑠𝑜𝑙𝑣)− ∆𝐺°(〖〖𝐶𝐻〗_3 𝐶𝑂𝑂𝐻〗^−,𝑠𝑜𝑙𝑣)</a:t>
              </a:r>
              <a:endParaRPr lang="en-US" sz="1800"/>
            </a:p>
            <a:p>
              <a:pPr algn="ctr"/>
              <a:endParaRPr lang="en-US" sz="1800"/>
            </a:p>
          </xdr:txBody>
        </xdr:sp>
      </mc:Fallback>
    </mc:AlternateContent>
    <xdr:clientData/>
  </xdr:twoCellAnchor>
  <xdr:twoCellAnchor editAs="oneCell">
    <xdr:from>
      <xdr:col>9</xdr:col>
      <xdr:colOff>843280</xdr:colOff>
      <xdr:row>77</xdr:row>
      <xdr:rowOff>79374</xdr:rowOff>
    </xdr:from>
    <xdr:to>
      <xdr:col>12</xdr:col>
      <xdr:colOff>672000</xdr:colOff>
      <xdr:row>91</xdr:row>
      <xdr:rowOff>1634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4CD4688-AAE4-8716-53BC-AFB1233FE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5520" y="17483454"/>
          <a:ext cx="3088640" cy="3094649"/>
        </a:xfrm>
        <a:prstGeom prst="rect">
          <a:avLst/>
        </a:prstGeom>
      </xdr:spPr>
    </xdr:pic>
    <xdr:clientData/>
  </xdr:twoCellAnchor>
  <xdr:oneCellAnchor>
    <xdr:from>
      <xdr:col>1</xdr:col>
      <xdr:colOff>337889</xdr:colOff>
      <xdr:row>93</xdr:row>
      <xdr:rowOff>46605</xdr:rowOff>
    </xdr:from>
    <xdr:ext cx="7783682" cy="1199087"/>
    <xdr:pic>
      <xdr:nvPicPr>
        <xdr:cNvPr id="36" name="Picture 35">
          <a:extLst>
            <a:ext uri="{FF2B5EF4-FFF2-40B4-BE49-F238E27FC236}">
              <a16:creationId xmlns:a16="http://schemas.microsoft.com/office/drawing/2014/main" id="{65547DE2-9E8E-F24D-AFC5-4C9CD6954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97" y="9682478"/>
          <a:ext cx="7783682" cy="1199087"/>
        </a:xfrm>
        <a:prstGeom prst="rect">
          <a:avLst/>
        </a:prstGeom>
      </xdr:spPr>
    </xdr:pic>
    <xdr:clientData/>
  </xdr:oneCellAnchor>
  <xdr:twoCellAnchor editAs="oneCell">
    <xdr:from>
      <xdr:col>9</xdr:col>
      <xdr:colOff>609600</xdr:colOff>
      <xdr:row>51</xdr:row>
      <xdr:rowOff>0</xdr:rowOff>
    </xdr:from>
    <xdr:to>
      <xdr:col>12</xdr:col>
      <xdr:colOff>54780</xdr:colOff>
      <xdr:row>63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F034154-1F26-4C96-32EE-7717CF8C3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1823700"/>
          <a:ext cx="2705100" cy="2705100"/>
        </a:xfrm>
        <a:prstGeom prst="rect">
          <a:avLst/>
        </a:prstGeom>
      </xdr:spPr>
    </xdr:pic>
    <xdr:clientData/>
  </xdr:twoCellAnchor>
  <xdr:twoCellAnchor>
    <xdr:from>
      <xdr:col>8</xdr:col>
      <xdr:colOff>464403</xdr:colOff>
      <xdr:row>101</xdr:row>
      <xdr:rowOff>104254</xdr:rowOff>
    </xdr:from>
    <xdr:to>
      <xdr:col>12</xdr:col>
      <xdr:colOff>473880</xdr:colOff>
      <xdr:row>103</xdr:row>
      <xdr:rowOff>236940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1C7EE35-C031-0EEE-A9C4-958B2E0CE2E2}"/>
            </a:ext>
          </a:extLst>
        </xdr:cNvPr>
        <xdr:cNvSpPr txBox="1"/>
      </xdr:nvSpPr>
      <xdr:spPr>
        <a:xfrm>
          <a:off x="8690970" y="22518806"/>
          <a:ext cx="4122761" cy="66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https://global.oup.com/us/companion.websites/fdscontent/uscompanion/us/static/companion.websites/9780197651896/Table_7.2_Acidity_constants_for_common_acids.pdf</a:t>
          </a:r>
        </a:p>
      </xdr:txBody>
    </xdr:sp>
    <xdr:clientData/>
  </xdr:twoCellAnchor>
  <xdr:twoCellAnchor>
    <xdr:from>
      <xdr:col>8</xdr:col>
      <xdr:colOff>482958</xdr:colOff>
      <xdr:row>104</xdr:row>
      <xdr:rowOff>152043</xdr:rowOff>
    </xdr:from>
    <xdr:to>
      <xdr:col>12</xdr:col>
      <xdr:colOff>393521</xdr:colOff>
      <xdr:row>107</xdr:row>
      <xdr:rowOff>134155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AA1EDC3-17ED-B1CE-3AB1-B02D97B5F0D5}"/>
            </a:ext>
          </a:extLst>
        </xdr:cNvPr>
        <xdr:cNvSpPr txBox="1"/>
      </xdr:nvSpPr>
      <xdr:spPr>
        <a:xfrm>
          <a:off x="8702183" y="23772254"/>
          <a:ext cx="4024648" cy="6439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sometimes</a:t>
          </a:r>
          <a:r>
            <a:rPr lang="en-US" sz="1100" baseline="0"/>
            <a:t> -10 for frirst dissociation: https://owl.oit.umass.edu/departments/OrganicChemistry/appendix/pKaTable.html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9F39-B11C-7A4B-AEA4-4056C843DDDF}">
  <dimension ref="A3:V48"/>
  <sheetViews>
    <sheetView topLeftCell="D22" zoomScale="106" workbookViewId="0">
      <selection activeCell="J45" sqref="J45"/>
    </sheetView>
  </sheetViews>
  <sheetFormatPr baseColWidth="10" defaultRowHeight="16" x14ac:dyDescent="0.2"/>
  <cols>
    <col min="2" max="2" width="20.6640625" customWidth="1"/>
    <col min="5" max="5" width="12" bestFit="1" customWidth="1"/>
    <col min="6" max="6" width="14.33203125" bestFit="1" customWidth="1"/>
    <col min="7" max="7" width="16.1640625" customWidth="1"/>
    <col min="8" max="8" width="16.6640625" customWidth="1"/>
    <col min="9" max="9" width="13.33203125" customWidth="1"/>
    <col min="10" max="10" width="17.5" customWidth="1"/>
    <col min="11" max="11" width="11" bestFit="1" customWidth="1"/>
    <col min="12" max="12" width="13.1640625" bestFit="1" customWidth="1"/>
    <col min="15" max="17" width="11" bestFit="1" customWidth="1"/>
  </cols>
  <sheetData>
    <row r="3" spans="1:22" x14ac:dyDescent="0.2">
      <c r="A3" s="1"/>
      <c r="B3" s="1"/>
    </row>
    <row r="4" spans="1:22" ht="20" thickBot="1" x14ac:dyDescent="0.3">
      <c r="A4" s="2"/>
      <c r="B4" s="2"/>
    </row>
    <row r="5" spans="1:22" ht="23" thickBot="1" x14ac:dyDescent="0.35">
      <c r="A5" s="3" t="s">
        <v>2</v>
      </c>
      <c r="B5" s="4"/>
      <c r="D5" s="5" t="s">
        <v>3</v>
      </c>
      <c r="E5" s="6"/>
      <c r="F5" s="6"/>
      <c r="G5" s="6"/>
      <c r="H5" s="6"/>
      <c r="I5" s="6"/>
      <c r="J5" s="6"/>
      <c r="K5" s="6"/>
      <c r="L5" s="7"/>
      <c r="N5" s="8" t="s">
        <v>4</v>
      </c>
      <c r="O5" s="9"/>
      <c r="P5" s="9"/>
      <c r="Q5" s="10"/>
      <c r="S5" s="11" t="s">
        <v>5</v>
      </c>
      <c r="T5" s="12"/>
      <c r="U5" s="12"/>
      <c r="V5" s="13"/>
    </row>
    <row r="6" spans="1:22" ht="32" x14ac:dyDescent="0.3">
      <c r="A6" s="14" t="s">
        <v>6</v>
      </c>
      <c r="B6" s="15">
        <v>6.0221399999999997E+23</v>
      </c>
      <c r="D6" s="16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8" t="s">
        <v>13</v>
      </c>
      <c r="K6" s="17" t="s">
        <v>14</v>
      </c>
      <c r="L6" s="19" t="s">
        <v>15</v>
      </c>
      <c r="N6" s="20" t="s">
        <v>16</v>
      </c>
      <c r="O6" s="21" t="s">
        <v>17</v>
      </c>
      <c r="P6" s="21" t="s">
        <v>18</v>
      </c>
      <c r="Q6" s="22" t="s">
        <v>19</v>
      </c>
      <c r="S6" s="23" t="s">
        <v>16</v>
      </c>
      <c r="T6" s="24" t="s">
        <v>20</v>
      </c>
      <c r="U6" s="24" t="s">
        <v>21</v>
      </c>
      <c r="V6" s="25" t="s">
        <v>22</v>
      </c>
    </row>
    <row r="7" spans="1:22" ht="22" x14ac:dyDescent="0.3">
      <c r="A7" s="26" t="s">
        <v>23</v>
      </c>
      <c r="B7" s="27">
        <v>8.3143999999999991</v>
      </c>
      <c r="D7" s="28" t="s">
        <v>8</v>
      </c>
      <c r="E7" s="29">
        <v>1</v>
      </c>
      <c r="F7" s="30">
        <v>27.210699999999999</v>
      </c>
      <c r="G7" s="30">
        <v>219474.63</v>
      </c>
      <c r="H7" s="30">
        <v>627.50300000000004</v>
      </c>
      <c r="I7" s="30">
        <v>2625.5</v>
      </c>
      <c r="J7" s="30">
        <v>315777</v>
      </c>
      <c r="K7" s="30">
        <v>4.3599999999999999E-18</v>
      </c>
      <c r="L7" s="31">
        <v>6579660000000000</v>
      </c>
      <c r="N7" s="32" t="s">
        <v>17</v>
      </c>
      <c r="O7" s="33">
        <v>1</v>
      </c>
      <c r="P7" s="33">
        <v>0.52917999956390005</v>
      </c>
      <c r="Q7" s="34">
        <v>5.2917999999999999E-11</v>
      </c>
      <c r="S7" s="35" t="s">
        <v>20</v>
      </c>
      <c r="T7" s="36">
        <v>1</v>
      </c>
      <c r="U7" s="37">
        <v>9.1093800000000005E-31</v>
      </c>
      <c r="V7" s="38">
        <f>U7*V8</f>
        <v>5.4875783132530122E-4</v>
      </c>
    </row>
    <row r="8" spans="1:22" ht="22" x14ac:dyDescent="0.3">
      <c r="A8" s="39" t="s">
        <v>24</v>
      </c>
      <c r="B8" s="40">
        <v>1.38065E-23</v>
      </c>
      <c r="D8" s="28" t="s">
        <v>9</v>
      </c>
      <c r="E8" s="41">
        <v>3.6750199999999997E-2</v>
      </c>
      <c r="F8" s="42">
        <v>1</v>
      </c>
      <c r="G8" s="42">
        <v>8065.73</v>
      </c>
      <c r="H8" s="42">
        <v>23.0609</v>
      </c>
      <c r="I8" s="42">
        <v>96.486900000000006</v>
      </c>
      <c r="J8" s="42">
        <v>11604.9</v>
      </c>
      <c r="K8" s="43">
        <v>1.5999999999999999E-19</v>
      </c>
      <c r="L8" s="44">
        <v>241804000000000</v>
      </c>
      <c r="N8" s="32" t="s">
        <v>18</v>
      </c>
      <c r="O8" s="45">
        <v>1.8897299999999999</v>
      </c>
      <c r="P8" s="33">
        <v>1</v>
      </c>
      <c r="Q8" s="34">
        <v>1E-10</v>
      </c>
      <c r="S8" s="35" t="s">
        <v>21</v>
      </c>
      <c r="T8" s="37">
        <v>1.098E+30</v>
      </c>
      <c r="U8" s="36">
        <v>1</v>
      </c>
      <c r="V8" s="38">
        <f>1/U9</f>
        <v>6.0240963855421691E+26</v>
      </c>
    </row>
    <row r="9" spans="1:22" ht="22" thickBot="1" x14ac:dyDescent="0.3">
      <c r="A9" s="26" t="s">
        <v>25</v>
      </c>
      <c r="B9" s="46">
        <v>1.6021760000000001E-16</v>
      </c>
      <c r="D9" s="28" t="s">
        <v>10</v>
      </c>
      <c r="E9" s="41">
        <v>4.5563300000000003E-6</v>
      </c>
      <c r="F9" s="42">
        <v>1.23981E-4</v>
      </c>
      <c r="G9" s="42">
        <v>1</v>
      </c>
      <c r="H9" s="42">
        <v>2.8590999999999998E-3</v>
      </c>
      <c r="I9" s="42">
        <v>1.1963E-2</v>
      </c>
      <c r="J9" s="42">
        <v>1.42879</v>
      </c>
      <c r="K9" s="42">
        <v>1.9863000000000001E-23</v>
      </c>
      <c r="L9" s="44">
        <v>29979300000</v>
      </c>
      <c r="N9" s="47" t="s">
        <v>19</v>
      </c>
      <c r="O9" s="48">
        <v>18900000000</v>
      </c>
      <c r="P9" s="48">
        <v>10000000000</v>
      </c>
      <c r="Q9" s="49">
        <v>1</v>
      </c>
      <c r="S9" s="50" t="s">
        <v>22</v>
      </c>
      <c r="T9" s="51">
        <f>U9*T8</f>
        <v>1822.6799999999998</v>
      </c>
      <c r="U9" s="51">
        <v>1.6599999999999999E-27</v>
      </c>
      <c r="V9" s="52">
        <v>1</v>
      </c>
    </row>
    <row r="10" spans="1:22" ht="21" x14ac:dyDescent="0.3">
      <c r="A10" s="53" t="s">
        <v>26</v>
      </c>
      <c r="B10" s="54">
        <v>9.1092999999999998E-31</v>
      </c>
      <c r="D10" s="28" t="s">
        <v>11</v>
      </c>
      <c r="E10" s="41">
        <v>1.59362E-3</v>
      </c>
      <c r="F10" s="42">
        <v>4.3363400000000003E-2</v>
      </c>
      <c r="G10" s="42">
        <v>349.75700000000001</v>
      </c>
      <c r="H10" s="42">
        <v>1</v>
      </c>
      <c r="I10" s="42">
        <v>4.1840000000000002</v>
      </c>
      <c r="J10" s="42">
        <v>503.22800000000001</v>
      </c>
      <c r="K10" s="42">
        <v>6.9500000000000005E-21</v>
      </c>
      <c r="L10" s="44">
        <v>10485400000000</v>
      </c>
    </row>
    <row r="11" spans="1:22" ht="22" x14ac:dyDescent="0.3">
      <c r="A11" s="26" t="s">
        <v>27</v>
      </c>
      <c r="B11" s="55">
        <v>8.8541799999999997E-12</v>
      </c>
      <c r="D11" s="28" t="s">
        <v>12</v>
      </c>
      <c r="E11" s="41">
        <v>3.8088E-4</v>
      </c>
      <c r="F11" s="42">
        <v>1.0364099999999999E-2</v>
      </c>
      <c r="G11" s="42">
        <v>83.593000000000004</v>
      </c>
      <c r="H11" s="42">
        <v>0.23900099999999999</v>
      </c>
      <c r="I11" s="42">
        <v>1</v>
      </c>
      <c r="J11" s="42">
        <v>120.274</v>
      </c>
      <c r="K11" s="42">
        <v>1.6599999999999999E-21</v>
      </c>
      <c r="L11" s="44">
        <v>2506070000000</v>
      </c>
    </row>
    <row r="12" spans="1:22" ht="22" x14ac:dyDescent="0.3">
      <c r="A12" s="53" t="s">
        <v>28</v>
      </c>
      <c r="B12" s="54">
        <v>5.2917700000000002E-12</v>
      </c>
      <c r="D12" s="56" t="s">
        <v>13</v>
      </c>
      <c r="E12" s="41">
        <v>3.1667800000000002E-6</v>
      </c>
      <c r="F12" s="42">
        <v>8.6170500000000004E-5</v>
      </c>
      <c r="G12" s="42">
        <v>0.69502799999999998</v>
      </c>
      <c r="H12" s="42">
        <v>1.9872000000000002E-3</v>
      </c>
      <c r="I12" s="42">
        <v>8.3140000000000002E-3</v>
      </c>
      <c r="J12" s="42">
        <v>1</v>
      </c>
      <c r="K12" s="42">
        <v>1.38054E-23</v>
      </c>
      <c r="L12" s="44">
        <v>20836400000</v>
      </c>
    </row>
    <row r="13" spans="1:22" ht="19" x14ac:dyDescent="0.25">
      <c r="A13" s="26" t="s">
        <v>29</v>
      </c>
      <c r="B13" s="57">
        <f>298.15</f>
        <v>298.14999999999998</v>
      </c>
      <c r="D13" s="28" t="s">
        <v>14</v>
      </c>
      <c r="E13" s="41">
        <v>2.294E+17</v>
      </c>
      <c r="F13" s="42">
        <v>6.24181E+18</v>
      </c>
      <c r="G13" s="42">
        <v>5.0344500000000003E+22</v>
      </c>
      <c r="H13" s="42">
        <v>1.44E+20</v>
      </c>
      <c r="I13" s="42">
        <v>6.02E+20</v>
      </c>
      <c r="J13" s="42">
        <v>7.2435399999999999E+22</v>
      </c>
      <c r="K13" s="42">
        <v>1</v>
      </c>
      <c r="L13" s="44">
        <v>1.5093E+33</v>
      </c>
    </row>
    <row r="14" spans="1:22" ht="20" thickBot="1" x14ac:dyDescent="0.3">
      <c r="A14" s="26" t="s">
        <v>30</v>
      </c>
      <c r="B14" s="58">
        <v>6.626068E-34</v>
      </c>
      <c r="D14" s="59" t="s">
        <v>15</v>
      </c>
      <c r="E14" s="60">
        <v>1.5198300000000001E-16</v>
      </c>
      <c r="F14" s="61">
        <v>4.13558E-15</v>
      </c>
      <c r="G14" s="61">
        <v>3.3356499999999997E-11</v>
      </c>
      <c r="H14" s="61">
        <v>9.5370000000000002E-14</v>
      </c>
      <c r="I14" s="61"/>
      <c r="J14" s="61">
        <v>4.7993E-11</v>
      </c>
      <c r="K14" s="61">
        <v>6.62561E-34</v>
      </c>
      <c r="L14" s="62">
        <v>1</v>
      </c>
    </row>
    <row r="15" spans="1:22" ht="19" x14ac:dyDescent="0.25">
      <c r="A15" s="53" t="s">
        <v>31</v>
      </c>
      <c r="B15" s="63">
        <v>1</v>
      </c>
    </row>
    <row r="16" spans="1:22" ht="19" x14ac:dyDescent="0.25">
      <c r="A16" s="26" t="s">
        <v>32</v>
      </c>
      <c r="B16" s="57">
        <v>101325</v>
      </c>
    </row>
    <row r="17" spans="1:13" ht="21" x14ac:dyDescent="0.25">
      <c r="A17" s="14" t="s">
        <v>33</v>
      </c>
      <c r="B17" s="64">
        <v>299792459</v>
      </c>
    </row>
    <row r="19" spans="1:13" ht="17" thickBot="1" x14ac:dyDescent="0.25"/>
    <row r="20" spans="1:13" ht="27" thickBot="1" x14ac:dyDescent="0.4">
      <c r="B20" s="72" t="s">
        <v>0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4"/>
    </row>
    <row r="22" spans="1:13" ht="17" thickBot="1" x14ac:dyDescent="0.25"/>
    <row r="23" spans="1:13" ht="22" thickBot="1" x14ac:dyDescent="0.35">
      <c r="G23" s="75" t="s">
        <v>39</v>
      </c>
      <c r="H23" s="76" t="s">
        <v>40</v>
      </c>
      <c r="I23" s="76" t="s">
        <v>52</v>
      </c>
      <c r="J23" s="76" t="s">
        <v>53</v>
      </c>
      <c r="K23" s="77" t="s">
        <v>1</v>
      </c>
    </row>
    <row r="24" spans="1:13" x14ac:dyDescent="0.2">
      <c r="F24" s="81" t="s">
        <v>34</v>
      </c>
      <c r="G24">
        <v>-150.952115397</v>
      </c>
      <c r="H24">
        <v>-151.09426110699999</v>
      </c>
      <c r="I24">
        <f>H24-G24</f>
        <v>-0.1421457099999941</v>
      </c>
    </row>
    <row r="25" spans="1:13" x14ac:dyDescent="0.2">
      <c r="F25" s="82" t="s">
        <v>35</v>
      </c>
      <c r="G25">
        <f>G24*$H$7</f>
        <v>-94722.905267963695</v>
      </c>
      <c r="H25">
        <f t="shared" ref="H25:I25" si="0">H24*$H$7</f>
        <v>-94812.102127425824</v>
      </c>
      <c r="I25">
        <f t="shared" si="0"/>
        <v>-89.196859462126298</v>
      </c>
    </row>
    <row r="26" spans="1:13" ht="17" thickBot="1" x14ac:dyDescent="0.25">
      <c r="F26" s="83" t="s">
        <v>38</v>
      </c>
      <c r="G26">
        <f>G24*$I$7</f>
        <v>-396324.77897482348</v>
      </c>
      <c r="H26">
        <f t="shared" ref="H26:I26" si="1">H24*$I$7</f>
        <v>-396697.98253642849</v>
      </c>
      <c r="I26">
        <f t="shared" si="1"/>
        <v>-373.20356160498449</v>
      </c>
    </row>
    <row r="30" spans="1:13" ht="17" thickBot="1" x14ac:dyDescent="0.25"/>
    <row r="31" spans="1:13" ht="27" thickBot="1" x14ac:dyDescent="0.4">
      <c r="B31" s="66" t="s">
        <v>36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8"/>
    </row>
    <row r="33" spans="2:13" ht="17" thickBot="1" x14ac:dyDescent="0.25"/>
    <row r="34" spans="2:13" ht="22" thickBot="1" x14ac:dyDescent="0.35">
      <c r="G34" s="75" t="s">
        <v>39</v>
      </c>
      <c r="H34" s="76" t="s">
        <v>40</v>
      </c>
      <c r="I34" s="76" t="s">
        <v>52</v>
      </c>
      <c r="J34" s="76" t="s">
        <v>53</v>
      </c>
      <c r="K34" s="77" t="s">
        <v>1</v>
      </c>
    </row>
    <row r="35" spans="2:13" x14ac:dyDescent="0.2">
      <c r="F35" s="78" t="s">
        <v>34</v>
      </c>
      <c r="G35">
        <v>-55.909251517100003</v>
      </c>
      <c r="H35">
        <v>-56.0358232882</v>
      </c>
      <c r="I35">
        <f>H35-G35</f>
        <v>-0.12657177109999651</v>
      </c>
    </row>
    <row r="36" spans="2:13" x14ac:dyDescent="0.2">
      <c r="F36" s="79" t="s">
        <v>35</v>
      </c>
      <c r="G36">
        <f>G35*$H$7</f>
        <v>-35083.223054734808</v>
      </c>
      <c r="H36">
        <f>H35*$H$7</f>
        <v>-35162.647220815365</v>
      </c>
      <c r="I36">
        <f t="shared" ref="I36" si="2">I35*$H$7</f>
        <v>-79.424166080561122</v>
      </c>
    </row>
    <row r="37" spans="2:13" ht="17" thickBot="1" x14ac:dyDescent="0.25">
      <c r="F37" s="80" t="s">
        <v>38</v>
      </c>
      <c r="G37">
        <f>G35*$I$7</f>
        <v>-146789.73985814606</v>
      </c>
      <c r="H37">
        <f t="shared" ref="H37:I37" si="3">H35*$I$7</f>
        <v>-147122.0540431691</v>
      </c>
      <c r="I37">
        <f t="shared" si="3"/>
        <v>-332.31418502304086</v>
      </c>
    </row>
    <row r="41" spans="2:13" ht="17" thickBot="1" x14ac:dyDescent="0.25"/>
    <row r="42" spans="2:13" ht="27" thickBot="1" x14ac:dyDescent="0.4">
      <c r="B42" s="69" t="s">
        <v>37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</row>
    <row r="44" spans="2:13" ht="17" thickBot="1" x14ac:dyDescent="0.25"/>
    <row r="45" spans="2:13" ht="22" thickBot="1" x14ac:dyDescent="0.35">
      <c r="G45" s="75" t="s">
        <v>39</v>
      </c>
      <c r="H45" s="76" t="s">
        <v>40</v>
      </c>
      <c r="I45" s="76" t="s">
        <v>52</v>
      </c>
      <c r="J45" s="76" t="s">
        <v>53</v>
      </c>
      <c r="K45" s="77" t="s">
        <v>1</v>
      </c>
    </row>
    <row r="46" spans="2:13" x14ac:dyDescent="0.2">
      <c r="F46" s="78" t="s">
        <v>34</v>
      </c>
      <c r="G46">
        <v>-115.115520549</v>
      </c>
      <c r="H46">
        <v>-115.245517046</v>
      </c>
      <c r="I46">
        <f>H46-G46</f>
        <v>-0.12999649700000759</v>
      </c>
    </row>
    <row r="47" spans="2:13" x14ac:dyDescent="0.2">
      <c r="F47" s="79" t="s">
        <v>35</v>
      </c>
      <c r="G47">
        <f>G46*$H$7</f>
        <v>-72235.334491059155</v>
      </c>
      <c r="H47">
        <f t="shared" ref="H47" si="4">H46*$H$7</f>
        <v>-72316.907682916149</v>
      </c>
      <c r="I47">
        <f t="shared" ref="I47" si="5">I46*$H$7</f>
        <v>-81.573191856995777</v>
      </c>
    </row>
    <row r="48" spans="2:13" ht="17" thickBot="1" x14ac:dyDescent="0.25">
      <c r="F48" s="80" t="s">
        <v>38</v>
      </c>
      <c r="G48">
        <f>G46*$I$7</f>
        <v>-302235.7992013995</v>
      </c>
      <c r="H48">
        <f t="shared" ref="H48:I48" si="6">H46*$I$7</f>
        <v>-302577.10500427301</v>
      </c>
      <c r="I48">
        <f t="shared" si="6"/>
        <v>-341.30580287351995</v>
      </c>
    </row>
  </sheetData>
  <mergeCells count="3">
    <mergeCell ref="B20:M20"/>
    <mergeCell ref="B31:M31"/>
    <mergeCell ref="B42:M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1192-A836-A949-8E9C-35A7B609FA1C}">
  <dimension ref="A3:V105"/>
  <sheetViews>
    <sheetView tabSelected="1" topLeftCell="A62" zoomScale="59" workbookViewId="0">
      <selection activeCell="Q98" sqref="Q98"/>
    </sheetView>
  </sheetViews>
  <sheetFormatPr baseColWidth="10" defaultRowHeight="16" x14ac:dyDescent="0.2"/>
  <cols>
    <col min="2" max="2" width="21.33203125" customWidth="1"/>
    <col min="3" max="3" width="12.83203125" customWidth="1"/>
    <col min="4" max="4" width="13" customWidth="1"/>
    <col min="5" max="5" width="12.6640625" customWidth="1"/>
    <col min="6" max="6" width="13.1640625" customWidth="1"/>
    <col min="7" max="7" width="12.1640625" customWidth="1"/>
    <col min="8" max="8" width="11.83203125" bestFit="1" customWidth="1"/>
    <col min="9" max="9" width="11.1640625" bestFit="1" customWidth="1"/>
    <col min="10" max="10" width="14.83203125" bestFit="1" customWidth="1"/>
    <col min="11" max="11" width="14.1640625" bestFit="1" customWidth="1"/>
    <col min="12" max="12" width="13.83203125" customWidth="1"/>
    <col min="13" max="13" width="12.33203125" customWidth="1"/>
  </cols>
  <sheetData>
    <row r="3" spans="1:22" x14ac:dyDescent="0.2">
      <c r="A3" s="1"/>
      <c r="B3" s="1"/>
    </row>
    <row r="4" spans="1:22" ht="20" thickBot="1" x14ac:dyDescent="0.3">
      <c r="A4" s="2"/>
      <c r="B4" s="2"/>
    </row>
    <row r="5" spans="1:22" ht="23" thickBot="1" x14ac:dyDescent="0.35">
      <c r="A5" s="3" t="s">
        <v>2</v>
      </c>
      <c r="B5" s="4"/>
      <c r="D5" s="5" t="s">
        <v>3</v>
      </c>
      <c r="E5" s="6"/>
      <c r="F5" s="6"/>
      <c r="G5" s="6"/>
      <c r="H5" s="6"/>
      <c r="I5" s="6"/>
      <c r="J5" s="6"/>
      <c r="K5" s="6"/>
      <c r="L5" s="7"/>
      <c r="N5" s="8" t="s">
        <v>4</v>
      </c>
      <c r="O5" s="9"/>
      <c r="P5" s="9"/>
      <c r="Q5" s="10"/>
      <c r="S5" s="11" t="s">
        <v>5</v>
      </c>
      <c r="T5" s="12"/>
      <c r="U5" s="12"/>
      <c r="V5" s="13"/>
    </row>
    <row r="6" spans="1:22" ht="32" x14ac:dyDescent="0.3">
      <c r="A6" s="14" t="s">
        <v>6</v>
      </c>
      <c r="B6" s="15">
        <v>6.0221399999999997E+23</v>
      </c>
      <c r="D6" s="16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8" t="s">
        <v>13</v>
      </c>
      <c r="K6" s="17" t="s">
        <v>14</v>
      </c>
      <c r="L6" s="19" t="s">
        <v>15</v>
      </c>
      <c r="N6" s="20" t="s">
        <v>16</v>
      </c>
      <c r="O6" s="21" t="s">
        <v>17</v>
      </c>
      <c r="P6" s="21" t="s">
        <v>18</v>
      </c>
      <c r="Q6" s="22" t="s">
        <v>19</v>
      </c>
      <c r="S6" s="23" t="s">
        <v>16</v>
      </c>
      <c r="T6" s="24" t="s">
        <v>20</v>
      </c>
      <c r="U6" s="24" t="s">
        <v>21</v>
      </c>
      <c r="V6" s="25" t="s">
        <v>22</v>
      </c>
    </row>
    <row r="7" spans="1:22" ht="22" x14ac:dyDescent="0.3">
      <c r="A7" s="26" t="s">
        <v>23</v>
      </c>
      <c r="B7" s="27">
        <v>8.3143999999999991</v>
      </c>
      <c r="D7" s="28" t="s">
        <v>8</v>
      </c>
      <c r="E7" s="29">
        <v>1</v>
      </c>
      <c r="F7" s="30">
        <v>27.210699999999999</v>
      </c>
      <c r="G7" s="30">
        <v>219474.63</v>
      </c>
      <c r="H7" s="30">
        <v>627.50300000000004</v>
      </c>
      <c r="I7" s="30">
        <v>2625.5</v>
      </c>
      <c r="J7" s="30">
        <v>315777</v>
      </c>
      <c r="K7" s="30">
        <v>4.3599999999999999E-18</v>
      </c>
      <c r="L7" s="31">
        <v>6579660000000000</v>
      </c>
      <c r="N7" s="32" t="s">
        <v>17</v>
      </c>
      <c r="O7" s="33">
        <v>1</v>
      </c>
      <c r="P7" s="33">
        <v>0.52917999956390005</v>
      </c>
      <c r="Q7" s="34">
        <v>5.2917999999999999E-11</v>
      </c>
      <c r="S7" s="35" t="s">
        <v>20</v>
      </c>
      <c r="T7" s="36">
        <v>1</v>
      </c>
      <c r="U7" s="37">
        <v>9.1093800000000005E-31</v>
      </c>
      <c r="V7" s="38">
        <f>U7*V8</f>
        <v>5.4875783132530122E-4</v>
      </c>
    </row>
    <row r="8" spans="1:22" ht="22" x14ac:dyDescent="0.3">
      <c r="A8" s="39" t="s">
        <v>24</v>
      </c>
      <c r="B8" s="40">
        <v>1.38065E-23</v>
      </c>
      <c r="D8" s="28" t="s">
        <v>9</v>
      </c>
      <c r="E8" s="41">
        <v>3.6750199999999997E-2</v>
      </c>
      <c r="F8" s="42">
        <v>1</v>
      </c>
      <c r="G8" s="42">
        <v>8065.73</v>
      </c>
      <c r="H8" s="42">
        <v>23.0609</v>
      </c>
      <c r="I8" s="42">
        <v>96.486900000000006</v>
      </c>
      <c r="J8" s="42">
        <v>11604.9</v>
      </c>
      <c r="K8" s="43">
        <v>1.5999999999999999E-19</v>
      </c>
      <c r="L8" s="44">
        <v>241804000000000</v>
      </c>
      <c r="N8" s="32" t="s">
        <v>18</v>
      </c>
      <c r="O8" s="45">
        <v>1.8897299999999999</v>
      </c>
      <c r="P8" s="33">
        <v>1</v>
      </c>
      <c r="Q8" s="34">
        <v>1E-10</v>
      </c>
      <c r="S8" s="35" t="s">
        <v>21</v>
      </c>
      <c r="T8" s="37">
        <v>1.098E+30</v>
      </c>
      <c r="U8" s="36">
        <v>1</v>
      </c>
      <c r="V8" s="38">
        <f>1/U9</f>
        <v>6.0240963855421691E+26</v>
      </c>
    </row>
    <row r="9" spans="1:22" ht="22" thickBot="1" x14ac:dyDescent="0.3">
      <c r="A9" s="26" t="s">
        <v>25</v>
      </c>
      <c r="B9" s="46">
        <v>1.6021760000000001E-16</v>
      </c>
      <c r="D9" s="28" t="s">
        <v>10</v>
      </c>
      <c r="E9" s="41">
        <v>4.5563300000000003E-6</v>
      </c>
      <c r="F9" s="42">
        <v>1.23981E-4</v>
      </c>
      <c r="G9" s="42">
        <v>1</v>
      </c>
      <c r="H9" s="42">
        <v>2.8590999999999998E-3</v>
      </c>
      <c r="I9" s="42">
        <v>1.1963E-2</v>
      </c>
      <c r="J9" s="42">
        <v>1.42879</v>
      </c>
      <c r="K9" s="42">
        <v>1.9863000000000001E-23</v>
      </c>
      <c r="L9" s="44">
        <v>29979300000</v>
      </c>
      <c r="N9" s="47" t="s">
        <v>19</v>
      </c>
      <c r="O9" s="48">
        <v>18900000000</v>
      </c>
      <c r="P9" s="48">
        <v>10000000000</v>
      </c>
      <c r="Q9" s="49">
        <v>1</v>
      </c>
      <c r="S9" s="50" t="s">
        <v>22</v>
      </c>
      <c r="T9" s="51">
        <f>U9*T8</f>
        <v>1822.6799999999998</v>
      </c>
      <c r="U9" s="51">
        <v>1.6599999999999999E-27</v>
      </c>
      <c r="V9" s="52">
        <v>1</v>
      </c>
    </row>
    <row r="10" spans="1:22" ht="21" x14ac:dyDescent="0.3">
      <c r="A10" s="53" t="s">
        <v>26</v>
      </c>
      <c r="B10" s="54">
        <v>9.1092999999999998E-31</v>
      </c>
      <c r="D10" s="28" t="s">
        <v>11</v>
      </c>
      <c r="E10" s="41">
        <v>1.59362E-3</v>
      </c>
      <c r="F10" s="42">
        <v>4.3363400000000003E-2</v>
      </c>
      <c r="G10" s="42">
        <v>349.75700000000001</v>
      </c>
      <c r="H10" s="42">
        <v>1</v>
      </c>
      <c r="I10" s="42">
        <v>4.1840000000000002</v>
      </c>
      <c r="J10" s="42">
        <v>503.22800000000001</v>
      </c>
      <c r="K10" s="42">
        <v>6.9500000000000005E-21</v>
      </c>
      <c r="L10" s="44">
        <v>10485400000000</v>
      </c>
    </row>
    <row r="11" spans="1:22" ht="22" x14ac:dyDescent="0.3">
      <c r="A11" s="26" t="s">
        <v>27</v>
      </c>
      <c r="B11" s="55">
        <v>8.8541799999999997E-12</v>
      </c>
      <c r="D11" s="28" t="s">
        <v>12</v>
      </c>
      <c r="E11" s="41">
        <v>3.8088E-4</v>
      </c>
      <c r="F11" s="42">
        <v>1.0364099999999999E-2</v>
      </c>
      <c r="G11" s="42">
        <v>83.593000000000004</v>
      </c>
      <c r="H11" s="42">
        <v>0.23900099999999999</v>
      </c>
      <c r="I11" s="42">
        <v>1</v>
      </c>
      <c r="J11" s="42">
        <v>120.274</v>
      </c>
      <c r="K11" s="42">
        <v>1.6599999999999999E-21</v>
      </c>
      <c r="L11" s="44">
        <v>2506070000000</v>
      </c>
    </row>
    <row r="12" spans="1:22" ht="22" x14ac:dyDescent="0.3">
      <c r="A12" s="53" t="s">
        <v>28</v>
      </c>
      <c r="B12" s="54">
        <v>5.2917700000000002E-12</v>
      </c>
      <c r="D12" s="56" t="s">
        <v>13</v>
      </c>
      <c r="E12" s="41">
        <v>3.1667800000000002E-6</v>
      </c>
      <c r="F12" s="42">
        <v>8.6170500000000004E-5</v>
      </c>
      <c r="G12" s="42">
        <v>0.69502799999999998</v>
      </c>
      <c r="H12" s="42">
        <v>1.9872000000000002E-3</v>
      </c>
      <c r="I12" s="42">
        <v>8.3140000000000002E-3</v>
      </c>
      <c r="J12" s="42">
        <v>1</v>
      </c>
      <c r="K12" s="42">
        <v>1.38054E-23</v>
      </c>
      <c r="L12" s="44">
        <v>20836400000</v>
      </c>
    </row>
    <row r="13" spans="1:22" ht="19" x14ac:dyDescent="0.25">
      <c r="A13" s="26" t="s">
        <v>29</v>
      </c>
      <c r="B13" s="57">
        <f>298.15</f>
        <v>298.14999999999998</v>
      </c>
      <c r="D13" s="28" t="s">
        <v>14</v>
      </c>
      <c r="E13" s="41">
        <v>2.294E+17</v>
      </c>
      <c r="F13" s="42">
        <v>6.24181E+18</v>
      </c>
      <c r="G13" s="42">
        <v>5.0344500000000003E+22</v>
      </c>
      <c r="H13" s="42">
        <v>1.44E+20</v>
      </c>
      <c r="I13" s="42">
        <v>6.02E+20</v>
      </c>
      <c r="J13" s="42">
        <v>7.2435399999999999E+22</v>
      </c>
      <c r="K13" s="42">
        <v>1</v>
      </c>
      <c r="L13" s="44">
        <v>1.5093E+33</v>
      </c>
    </row>
    <row r="14" spans="1:22" ht="20" thickBot="1" x14ac:dyDescent="0.3">
      <c r="A14" s="26" t="s">
        <v>30</v>
      </c>
      <c r="B14" s="58">
        <v>6.626068E-34</v>
      </c>
      <c r="D14" s="59" t="s">
        <v>15</v>
      </c>
      <c r="E14" s="60">
        <v>1.5198300000000001E-16</v>
      </c>
      <c r="F14" s="61">
        <v>4.13558E-15</v>
      </c>
      <c r="G14" s="61">
        <v>3.3356499999999997E-11</v>
      </c>
      <c r="H14" s="61">
        <v>9.5370000000000002E-14</v>
      </c>
      <c r="I14" s="61"/>
      <c r="J14" s="61">
        <v>4.7993E-11</v>
      </c>
      <c r="K14" s="61">
        <v>6.62561E-34</v>
      </c>
      <c r="L14" s="62">
        <v>1</v>
      </c>
    </row>
    <row r="15" spans="1:22" ht="19" x14ac:dyDescent="0.25">
      <c r="A15" s="53" t="s">
        <v>31</v>
      </c>
      <c r="B15" s="63">
        <v>1</v>
      </c>
    </row>
    <row r="16" spans="1:22" ht="19" x14ac:dyDescent="0.25">
      <c r="A16" s="26" t="s">
        <v>32</v>
      </c>
      <c r="B16" s="57">
        <v>101325</v>
      </c>
    </row>
    <row r="17" spans="1:13" ht="21" x14ac:dyDescent="0.25">
      <c r="A17" s="14" t="s">
        <v>33</v>
      </c>
      <c r="B17" s="64">
        <v>299792459</v>
      </c>
    </row>
    <row r="22" spans="1:13" ht="17" thickBot="1" x14ac:dyDescent="0.25"/>
    <row r="23" spans="1:13" ht="17" thickBot="1" x14ac:dyDescent="0.25">
      <c r="C23" s="85" t="s">
        <v>47</v>
      </c>
      <c r="D23" s="86"/>
      <c r="E23" s="87" t="s">
        <v>48</v>
      </c>
      <c r="F23" s="88"/>
      <c r="G23" s="89" t="s">
        <v>49</v>
      </c>
      <c r="H23" s="90"/>
      <c r="K23" s="122" t="s">
        <v>71</v>
      </c>
      <c r="L23" s="91" t="s">
        <v>72</v>
      </c>
      <c r="M23" s="91" t="s">
        <v>73</v>
      </c>
    </row>
    <row r="24" spans="1:13" ht="17" thickBot="1" x14ac:dyDescent="0.25">
      <c r="C24" s="91" t="s">
        <v>43</v>
      </c>
      <c r="D24" s="91" t="s">
        <v>44</v>
      </c>
      <c r="E24" s="91" t="s">
        <v>41</v>
      </c>
      <c r="F24" s="91" t="s">
        <v>42</v>
      </c>
      <c r="G24" s="91" t="s">
        <v>45</v>
      </c>
      <c r="H24" s="91" t="s">
        <v>46</v>
      </c>
      <c r="K24" s="123"/>
      <c r="L24" s="124">
        <v>1</v>
      </c>
      <c r="M24" s="92">
        <v>298.14999999999998</v>
      </c>
    </row>
    <row r="25" spans="1:13" ht="18" x14ac:dyDescent="0.25">
      <c r="B25" s="99" t="s">
        <v>65</v>
      </c>
      <c r="C25" s="96">
        <v>-700.18973200000005</v>
      </c>
      <c r="D25" s="92">
        <v>-699.69981499999994</v>
      </c>
      <c r="E25" s="92">
        <v>-229.03990999999999</v>
      </c>
      <c r="F25" s="92">
        <v>-228.49106399999999</v>
      </c>
      <c r="G25" s="92">
        <v>-76.409916999999993</v>
      </c>
      <c r="H25" s="92">
        <v>-76.670537999999993</v>
      </c>
    </row>
    <row r="26" spans="1:13" ht="18" x14ac:dyDescent="0.25">
      <c r="B26" s="100" t="s">
        <v>66</v>
      </c>
      <c r="C26" s="97">
        <v>-700.21422299999995</v>
      </c>
      <c r="D26" s="93">
        <v>-699.80724699999996</v>
      </c>
      <c r="E26" s="93">
        <v>-229.051771</v>
      </c>
      <c r="F26" s="93">
        <v>-228.605279</v>
      </c>
      <c r="G26" s="93">
        <v>-76.424204000000003</v>
      </c>
      <c r="H26" s="93">
        <v>-76.824552999999995</v>
      </c>
    </row>
    <row r="27" spans="1:13" ht="18" x14ac:dyDescent="0.25">
      <c r="B27" s="100" t="s">
        <v>54</v>
      </c>
      <c r="C27" s="97">
        <f>C26-C25</f>
        <v>-2.4490999999898122E-2</v>
      </c>
      <c r="D27" s="93">
        <f t="shared" ref="D27:H27" si="0">D26-D25</f>
        <v>-0.10743200000001707</v>
      </c>
      <c r="E27" s="93">
        <f t="shared" si="0"/>
        <v>-1.1861000000010335E-2</v>
      </c>
      <c r="F27" s="93">
        <f t="shared" si="0"/>
        <v>-0.11421500000000151</v>
      </c>
      <c r="G27" s="93">
        <f t="shared" si="0"/>
        <v>-1.4287000000010153E-2</v>
      </c>
      <c r="H27" s="93">
        <f t="shared" si="0"/>
        <v>-0.15401500000000112</v>
      </c>
    </row>
    <row r="28" spans="1:13" ht="18" x14ac:dyDescent="0.25">
      <c r="B28" s="100" t="s">
        <v>55</v>
      </c>
      <c r="C28" s="97">
        <f>C27*$I$7</f>
        <v>-64.301120499732519</v>
      </c>
      <c r="D28" s="93">
        <f t="shared" ref="D28:H28" si="1">D27*$I$7</f>
        <v>-282.06271600004482</v>
      </c>
      <c r="E28" s="93">
        <f t="shared" si="1"/>
        <v>-31.141055500027136</v>
      </c>
      <c r="F28" s="93">
        <f t="shared" si="1"/>
        <v>-299.87148250000394</v>
      </c>
      <c r="G28" s="93">
        <f t="shared" si="1"/>
        <v>-37.510518500026656</v>
      </c>
      <c r="H28" s="93">
        <f t="shared" si="1"/>
        <v>-404.36638250000294</v>
      </c>
    </row>
    <row r="29" spans="1:13" ht="18" x14ac:dyDescent="0.25">
      <c r="B29" s="100" t="s">
        <v>56</v>
      </c>
      <c r="C29" s="97">
        <f>C27*$H$7</f>
        <v>-15.368175972936072</v>
      </c>
      <c r="D29" s="93">
        <f t="shared" ref="D29:H29" si="2">D27*$H$7</f>
        <v>-67.413902296010718</v>
      </c>
      <c r="E29" s="93">
        <f t="shared" si="2"/>
        <v>-7.4428130830064863</v>
      </c>
      <c r="F29" s="93">
        <f t="shared" si="2"/>
        <v>-71.670255145000951</v>
      </c>
      <c r="G29" s="93">
        <f t="shared" si="2"/>
        <v>-8.9651353610063715</v>
      </c>
      <c r="H29" s="93">
        <f t="shared" si="2"/>
        <v>-96.644874545000718</v>
      </c>
      <c r="I29" s="84"/>
    </row>
    <row r="30" spans="1:13" ht="17" thickBot="1" x14ac:dyDescent="0.25">
      <c r="B30" s="101" t="s">
        <v>57</v>
      </c>
      <c r="C30" s="98"/>
      <c r="D30" s="94"/>
      <c r="E30" s="94"/>
      <c r="F30" s="94"/>
      <c r="G30" s="95">
        <v>-6.32</v>
      </c>
      <c r="H30" s="95">
        <v>-110.4</v>
      </c>
    </row>
    <row r="39" spans="2:9" ht="17" thickBot="1" x14ac:dyDescent="0.25"/>
    <row r="40" spans="2:9" ht="25" thickBot="1" x14ac:dyDescent="0.35">
      <c r="B40" s="102" t="s">
        <v>50</v>
      </c>
      <c r="C40" s="103"/>
      <c r="D40" s="103"/>
      <c r="E40" s="103"/>
      <c r="F40" s="103"/>
      <c r="G40" s="103"/>
      <c r="H40" s="103"/>
      <c r="I40" s="104"/>
    </row>
    <row r="49" spans="2:9" ht="17" thickBot="1" x14ac:dyDescent="0.25"/>
    <row r="50" spans="2:9" ht="20" thickBot="1" x14ac:dyDescent="0.3">
      <c r="B50" s="65"/>
      <c r="C50" s="108" t="s">
        <v>51</v>
      </c>
      <c r="D50" s="109" t="s">
        <v>11</v>
      </c>
      <c r="G50" s="114" t="s">
        <v>63</v>
      </c>
      <c r="H50" s="114" t="s">
        <v>61</v>
      </c>
    </row>
    <row r="51" spans="2:9" ht="22" thickBot="1" x14ac:dyDescent="0.35">
      <c r="B51" s="105" t="s">
        <v>58</v>
      </c>
      <c r="C51" s="110">
        <f>F25+H25-E25-G25</f>
        <v>0.28822499999996865</v>
      </c>
      <c r="D51" s="111">
        <f>C51*$H$7</f>
        <v>180.86205217498033</v>
      </c>
      <c r="G51" s="116">
        <f>D53/1.364-4.54</f>
        <v>4.6641580623731906</v>
      </c>
      <c r="H51" s="116">
        <f>D53/1.364 - 2.36</f>
        <v>6.8441580623731912</v>
      </c>
    </row>
    <row r="52" spans="2:9" ht="22" thickBot="1" x14ac:dyDescent="0.35">
      <c r="B52" s="106" t="s">
        <v>59</v>
      </c>
      <c r="C52" s="112">
        <f>F27+(H30-G30)*$E$10-E27</f>
        <v>-0.26821796959999122</v>
      </c>
      <c r="D52" s="113">
        <f>C52*$H$7</f>
        <v>-168.30758057790331</v>
      </c>
      <c r="F52" s="115" t="s">
        <v>62</v>
      </c>
      <c r="G52" s="117">
        <v>4.76</v>
      </c>
      <c r="H52" s="117">
        <f>G52</f>
        <v>4.76</v>
      </c>
    </row>
    <row r="53" spans="2:9" ht="20" thickBot="1" x14ac:dyDescent="0.3">
      <c r="B53" s="107" t="s">
        <v>60</v>
      </c>
      <c r="C53" s="112">
        <f>SUM(C51:C52)</f>
        <v>2.0007030399977421E-2</v>
      </c>
      <c r="D53" s="113">
        <f>C53*$H$7</f>
        <v>12.554471597077033</v>
      </c>
      <c r="F53" s="115" t="s">
        <v>1</v>
      </c>
      <c r="G53" s="118">
        <f>ABS(G51-G52)/(G51+G52)/2</f>
        <v>5.0849071605381284E-3</v>
      </c>
      <c r="H53" s="118">
        <f>ABS(H51-H52)/(H51+H52)/2</f>
        <v>8.9802209310261491E-2</v>
      </c>
    </row>
    <row r="62" spans="2:9" ht="17" thickBot="1" x14ac:dyDescent="0.25"/>
    <row r="63" spans="2:9" ht="25" thickBot="1" x14ac:dyDescent="0.35">
      <c r="B63" s="119" t="s">
        <v>64</v>
      </c>
      <c r="C63" s="120"/>
      <c r="D63" s="120"/>
      <c r="E63" s="120"/>
      <c r="F63" s="120"/>
      <c r="G63" s="120"/>
      <c r="H63" s="120"/>
      <c r="I63" s="121"/>
    </row>
    <row r="80" ht="17" thickBot="1" x14ac:dyDescent="0.25"/>
    <row r="81" spans="2:9" ht="17" thickBot="1" x14ac:dyDescent="0.25">
      <c r="C81" s="127" t="s">
        <v>11</v>
      </c>
    </row>
    <row r="82" spans="2:9" ht="22" thickBot="1" x14ac:dyDescent="0.35">
      <c r="B82" s="126" t="s">
        <v>69</v>
      </c>
      <c r="C82">
        <f>1.36*4.76 +2.36</f>
        <v>8.8336000000000006</v>
      </c>
      <c r="D82" t="s">
        <v>70</v>
      </c>
      <c r="H82" s="114" t="s">
        <v>63</v>
      </c>
      <c r="I82" s="114" t="s">
        <v>61</v>
      </c>
    </row>
    <row r="83" spans="2:9" ht="22" thickBot="1" x14ac:dyDescent="0.35">
      <c r="B83" s="125" t="s">
        <v>67</v>
      </c>
      <c r="C83">
        <f>(D25+E25-C25-F25)*$H$7</f>
        <v>-36.978124286914735</v>
      </c>
      <c r="H83" s="116">
        <f>C85/1.364-4.54</f>
        <v>-16.242938818178086</v>
      </c>
      <c r="I83" s="116">
        <f>C85/1.364 - 2.36</f>
        <v>-14.062938818178086</v>
      </c>
    </row>
    <row r="84" spans="2:9" ht="22" thickBot="1" x14ac:dyDescent="0.35">
      <c r="B84" s="106" t="s">
        <v>68</v>
      </c>
      <c r="C84">
        <f>(D27+E27-C27-F27)*$H$7</f>
        <v>12.181715738919824</v>
      </c>
      <c r="G84" s="115" t="s">
        <v>62</v>
      </c>
      <c r="H84" s="117">
        <v>-3</v>
      </c>
      <c r="I84" s="117">
        <f>H84</f>
        <v>-3</v>
      </c>
    </row>
    <row r="85" spans="2:9" ht="20" thickBot="1" x14ac:dyDescent="0.3">
      <c r="B85" s="107" t="s">
        <v>60</v>
      </c>
      <c r="C85">
        <f>SUM(C82:C84)</f>
        <v>-15.962808547994911</v>
      </c>
      <c r="G85" s="115" t="s">
        <v>1</v>
      </c>
      <c r="H85" s="118">
        <f>ABS(H83-H84)/(H83+H84)/2</f>
        <v>-0.34409865726091632</v>
      </c>
      <c r="I85" s="118">
        <f>ABS(I83-I84)/(I83+I84)/2</f>
        <v>-0.32418034595518003</v>
      </c>
    </row>
    <row r="91" spans="2:9" ht="17" thickBot="1" x14ac:dyDescent="0.25"/>
    <row r="92" spans="2:9" ht="25" thickBot="1" x14ac:dyDescent="0.35">
      <c r="B92" s="102" t="s">
        <v>50</v>
      </c>
      <c r="C92" s="103"/>
      <c r="D92" s="103"/>
      <c r="E92" s="103"/>
      <c r="F92" s="103"/>
      <c r="G92" s="103"/>
      <c r="H92" s="103"/>
      <c r="I92" s="104"/>
    </row>
    <row r="101" spans="2:8" ht="17" thickBot="1" x14ac:dyDescent="0.25"/>
    <row r="102" spans="2:8" ht="20" thickBot="1" x14ac:dyDescent="0.3">
      <c r="B102" s="65"/>
      <c r="C102" s="108" t="s">
        <v>51</v>
      </c>
      <c r="D102" s="109" t="s">
        <v>11</v>
      </c>
      <c r="G102" s="114" t="s">
        <v>63</v>
      </c>
      <c r="H102" s="114" t="s">
        <v>61</v>
      </c>
    </row>
    <row r="103" spans="2:8" ht="22" thickBot="1" x14ac:dyDescent="0.35">
      <c r="B103" s="105" t="s">
        <v>58</v>
      </c>
      <c r="C103" s="110">
        <f>D25+H25-C25-G25</f>
        <v>0.22929600000013295</v>
      </c>
      <c r="D103" s="111">
        <f>C103*$H$7</f>
        <v>143.88392788808343</v>
      </c>
      <c r="G103" s="116">
        <f>D105/1.364-4.54</f>
        <v>-13.515027090102674</v>
      </c>
      <c r="H103" s="116">
        <f>D105/1.364 - 2.36</f>
        <v>-11.335027090102672</v>
      </c>
    </row>
    <row r="104" spans="2:8" ht="22" thickBot="1" x14ac:dyDescent="0.35">
      <c r="B104" s="106" t="s">
        <v>59</v>
      </c>
      <c r="C104" s="112">
        <f>D27+(H30-G30)*$E$10-C27</f>
        <v>-0.248804969600119</v>
      </c>
      <c r="D104" s="113">
        <f>C104*$H$7</f>
        <v>-156.12586483898349</v>
      </c>
      <c r="F104" s="115" t="s">
        <v>62</v>
      </c>
      <c r="G104" s="117">
        <f>-3</f>
        <v>-3</v>
      </c>
      <c r="H104" s="117">
        <f>-3</f>
        <v>-3</v>
      </c>
    </row>
    <row r="105" spans="2:8" ht="20" thickBot="1" x14ac:dyDescent="0.3">
      <c r="B105" s="107" t="s">
        <v>60</v>
      </c>
      <c r="C105" s="112">
        <f>SUM(C103:C104)</f>
        <v>-1.9508969599986048E-2</v>
      </c>
      <c r="D105" s="113">
        <f>C105*$H$7</f>
        <v>-12.241936950900046</v>
      </c>
      <c r="F105" s="115" t="s">
        <v>1</v>
      </c>
      <c r="G105" s="118">
        <f>ABS(G103-G104)/(G103+G104)/2</f>
        <v>-0.31834725528256164</v>
      </c>
      <c r="H105" s="118">
        <f>ABS(H103-H104)/(H103+H104)/2</f>
        <v>-0.29072240455888021</v>
      </c>
    </row>
  </sheetData>
  <mergeCells count="7">
    <mergeCell ref="B92:I92"/>
    <mergeCell ref="C23:D23"/>
    <mergeCell ref="E23:F23"/>
    <mergeCell ref="G23:H23"/>
    <mergeCell ref="B40:I40"/>
    <mergeCell ref="B63:I63"/>
    <mergeCell ref="K23:K24"/>
  </mergeCells>
  <conditionalFormatting sqref="G53:H53">
    <cfRule type="colorScale" priority="3">
      <colorScale>
        <cfvo type="percent" val="0"/>
        <cfvo type="percent" val="100"/>
        <color theme="9" tint="0.39997558519241921"/>
        <color rgb="FFFF0000"/>
      </colorScale>
    </cfRule>
  </conditionalFormatting>
  <conditionalFormatting sqref="H85:I85">
    <cfRule type="colorScale" priority="2">
      <colorScale>
        <cfvo type="percent" val="0"/>
        <cfvo type="percent" val="100"/>
        <color theme="9" tint="0.39997558519241921"/>
        <color rgb="FFFF0000"/>
      </colorScale>
    </cfRule>
  </conditionalFormatting>
  <conditionalFormatting sqref="G105:H105">
    <cfRule type="colorScale" priority="1">
      <colorScale>
        <cfvo type="percent" val="0"/>
        <cfvo type="percent" val="100"/>
        <color theme="9" tint="0.39997558519241921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2024-09-16T22:34:33Z</dcterms:created>
  <dcterms:modified xsi:type="dcterms:W3CDTF">2024-09-17T22:38:44Z</dcterms:modified>
</cp:coreProperties>
</file>