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9/"/>
    </mc:Choice>
  </mc:AlternateContent>
  <xr:revisionPtr revIDLastSave="0" documentId="13_ncr:1_{F7A3FFD5-F55F-0541-8ECC-8B2EDF94D55B}" xr6:coauthVersionLast="47" xr6:coauthVersionMax="47" xr10:uidLastSave="{00000000-0000-0000-0000-000000000000}"/>
  <bookViews>
    <workbookView xWindow="1020" yWindow="760" windowWidth="27640" windowHeight="16940" activeTab="2" xr2:uid="{D56578DA-A4F6-BD41-864A-63BAFB928500}"/>
  </bookViews>
  <sheets>
    <sheet name="NH3" sheetId="4" r:id="rId1"/>
    <sheet name="H" sheetId="2" r:id="rId2"/>
    <sheet name="NH2" sheetId="5" r:id="rId3"/>
    <sheet name="H2" sheetId="3" r:id="rId4"/>
    <sheet name="Sheet1" sheetId="1" r:id="rId5"/>
  </sheets>
  <externalReferences>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3" i="5" l="1" a="1"/>
  <c r="G263" i="5" s="1"/>
  <c r="G264" i="5" a="1"/>
  <c r="G264" i="5"/>
  <c r="G265" i="5" a="1"/>
  <c r="G265" i="5" s="1"/>
  <c r="G266" i="5" a="1"/>
  <c r="G266" i="5"/>
  <c r="G267" i="5" a="1"/>
  <c r="G267" i="5" s="1"/>
  <c r="G268" i="5" a="1"/>
  <c r="G268" i="5"/>
  <c r="G269" i="5" a="1"/>
  <c r="G269" i="5"/>
  <c r="G270" i="5" a="1"/>
  <c r="G270" i="5"/>
  <c r="G271" i="5" a="1"/>
  <c r="G271" i="5" s="1"/>
  <c r="G272" i="5" a="1"/>
  <c r="G272" i="5"/>
  <c r="G273" i="5" a="1"/>
  <c r="G273" i="5"/>
  <c r="G274" i="5" a="1"/>
  <c r="G274" i="5"/>
  <c r="G275" i="5" a="1"/>
  <c r="G275" i="5" s="1"/>
  <c r="G276" i="5" a="1"/>
  <c r="G276" i="5"/>
  <c r="G277" i="5" a="1"/>
  <c r="G277" i="5"/>
  <c r="G278" i="5" a="1"/>
  <c r="G278" i="5"/>
  <c r="G279" i="5" a="1"/>
  <c r="G279" i="5" s="1"/>
  <c r="G280" i="5" a="1"/>
  <c r="G280" i="5"/>
  <c r="G262" i="5" a="1"/>
  <c r="G262" i="5" s="1"/>
  <c r="O264" i="5" s="1"/>
  <c r="L215" i="5"/>
  <c r="K215" i="5"/>
  <c r="E215" i="5" a="1"/>
  <c r="E215" i="5" s="1"/>
  <c r="E216" i="5" a="1"/>
  <c r="E216" i="5" s="1"/>
  <c r="E217" i="5" a="1"/>
  <c r="E217" i="5" s="1"/>
  <c r="E218" i="5" a="1"/>
  <c r="E218" i="5"/>
  <c r="E219" i="5" a="1"/>
  <c r="E219" i="5" s="1"/>
  <c r="E220" i="5" a="1"/>
  <c r="E220" i="5" s="1"/>
  <c r="E221" i="5" a="1"/>
  <c r="E221" i="5" s="1"/>
  <c r="E222" i="5" a="1"/>
  <c r="E222" i="5"/>
  <c r="E223" i="5" a="1"/>
  <c r="E223" i="5" s="1"/>
  <c r="E224" i="5" a="1"/>
  <c r="E224" i="5" s="1"/>
  <c r="E225" i="5" a="1"/>
  <c r="E225" i="5" s="1"/>
  <c r="E226" i="5" a="1"/>
  <c r="E226" i="5"/>
  <c r="E227" i="5" a="1"/>
  <c r="E227" i="5" s="1"/>
  <c r="E228" i="5" a="1"/>
  <c r="E228" i="5" s="1"/>
  <c r="E229" i="5" a="1"/>
  <c r="E229" i="5" s="1"/>
  <c r="E230" i="5" a="1"/>
  <c r="E230" i="5"/>
  <c r="E231" i="5" a="1"/>
  <c r="E231" i="5" s="1"/>
  <c r="E232" i="5" a="1"/>
  <c r="E232" i="5" s="1"/>
  <c r="E214" i="5" a="1"/>
  <c r="E214" i="5" s="1"/>
  <c r="L217" i="5" s="1"/>
  <c r="M45" i="5"/>
  <c r="I280" i="5"/>
  <c r="I279" i="5"/>
  <c r="I278" i="5"/>
  <c r="I277" i="5"/>
  <c r="I276" i="5"/>
  <c r="I275" i="5"/>
  <c r="I274" i="5"/>
  <c r="I273" i="5"/>
  <c r="I272" i="5"/>
  <c r="I271" i="5"/>
  <c r="I270" i="5"/>
  <c r="I269" i="5"/>
  <c r="I268" i="5"/>
  <c r="I267" i="5"/>
  <c r="I266" i="5"/>
  <c r="I265" i="5"/>
  <c r="Q264" i="5"/>
  <c r="I264" i="5"/>
  <c r="E264" i="5"/>
  <c r="F264" i="5" s="1"/>
  <c r="D264" i="5"/>
  <c r="C264" i="5"/>
  <c r="C265" i="5" s="1"/>
  <c r="H265" i="5" s="1"/>
  <c r="I263" i="5"/>
  <c r="H263" i="5"/>
  <c r="E263" i="5"/>
  <c r="F263" i="5" s="1"/>
  <c r="D263" i="5"/>
  <c r="I262" i="5"/>
  <c r="H262" i="5"/>
  <c r="P264" i="5" s="1"/>
  <c r="E262" i="5"/>
  <c r="F262" i="5" s="1"/>
  <c r="D262" i="5"/>
  <c r="F256" i="5"/>
  <c r="E256" i="5"/>
  <c r="E257" i="5" s="1"/>
  <c r="D256" i="5"/>
  <c r="D257" i="5" s="1"/>
  <c r="D258" i="5" s="1"/>
  <c r="E251" i="5"/>
  <c r="O265" i="5" s="1"/>
  <c r="D251" i="5"/>
  <c r="E250" i="5"/>
  <c r="P265" i="5" s="1"/>
  <c r="D250" i="5"/>
  <c r="D249" i="5"/>
  <c r="E249" i="5" s="1"/>
  <c r="N265" i="5" s="1"/>
  <c r="D248" i="5"/>
  <c r="E248" i="5" s="1"/>
  <c r="Q265"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M216" i="5"/>
  <c r="F216" i="5"/>
  <c r="D216" i="5"/>
  <c r="C216" i="5"/>
  <c r="N215" i="5"/>
  <c r="F215" i="5"/>
  <c r="D215" i="5"/>
  <c r="F214" i="5"/>
  <c r="M215" i="5" s="1"/>
  <c r="D214" i="5"/>
  <c r="K209" i="5"/>
  <c r="E209" i="5"/>
  <c r="L216" i="5" s="1"/>
  <c r="D209" i="5"/>
  <c r="D208" i="5"/>
  <c r="E208" i="5" s="1"/>
  <c r="E207" i="5"/>
  <c r="K216" i="5" s="1"/>
  <c r="D207" i="5"/>
  <c r="D206" i="5"/>
  <c r="E206" i="5" s="1"/>
  <c r="N216" i="5" s="1"/>
  <c r="N217" i="5" s="1"/>
  <c r="E205" i="5"/>
  <c r="O216" i="5" s="1"/>
  <c r="D205" i="5"/>
  <c r="D193" i="5"/>
  <c r="D192" i="5"/>
  <c r="Y119" i="5" s="1"/>
  <c r="D191" i="5"/>
  <c r="Y118" i="5" s="1"/>
  <c r="D190" i="5"/>
  <c r="Y117" i="5" s="1"/>
  <c r="D189" i="5"/>
  <c r="D188" i="5"/>
  <c r="Y115" i="5" s="1"/>
  <c r="D187" i="5"/>
  <c r="Y114" i="5" s="1"/>
  <c r="D186" i="5"/>
  <c r="D185" i="5"/>
  <c r="D184" i="5"/>
  <c r="Y111" i="5" s="1"/>
  <c r="D183" i="5"/>
  <c r="D182" i="5"/>
  <c r="Y109" i="5" s="1"/>
  <c r="D181" i="5"/>
  <c r="D180" i="5"/>
  <c r="Y107" i="5" s="1"/>
  <c r="D179" i="5"/>
  <c r="Y106" i="5" s="1"/>
  <c r="C179" i="5"/>
  <c r="C180" i="5" s="1"/>
  <c r="C181" i="5" s="1"/>
  <c r="C182" i="5" s="1"/>
  <c r="C183" i="5" s="1"/>
  <c r="C184" i="5" s="1"/>
  <c r="C185" i="5" s="1"/>
  <c r="C186" i="5" s="1"/>
  <c r="C187" i="5" s="1"/>
  <c r="C188" i="5" s="1"/>
  <c r="C189" i="5" s="1"/>
  <c r="C190" i="5" s="1"/>
  <c r="C191" i="5" s="1"/>
  <c r="C192" i="5" s="1"/>
  <c r="C193" i="5" s="1"/>
  <c r="D178" i="5"/>
  <c r="Y105" i="5" s="1"/>
  <c r="D177" i="5"/>
  <c r="Y104" i="5" s="1"/>
  <c r="C177" i="5"/>
  <c r="C178" i="5" s="1"/>
  <c r="L176" i="5"/>
  <c r="D176" i="5"/>
  <c r="Y103" i="5" s="1"/>
  <c r="L175" i="5"/>
  <c r="D175" i="5"/>
  <c r="E169" i="5"/>
  <c r="F168" i="5"/>
  <c r="F169" i="5" s="1"/>
  <c r="E168" i="5"/>
  <c r="D168" i="5"/>
  <c r="D169" i="5" s="1"/>
  <c r="E167" i="5"/>
  <c r="C141" i="5"/>
  <c r="L140" i="5"/>
  <c r="M140" i="5" s="1"/>
  <c r="C140" i="5"/>
  <c r="E139" i="5"/>
  <c r="X104" i="5" s="1"/>
  <c r="C139" i="5"/>
  <c r="E138" i="5"/>
  <c r="X103" i="5" s="1"/>
  <c r="E137" i="5"/>
  <c r="E123" i="5"/>
  <c r="F123" i="5" s="1"/>
  <c r="Y120" i="5"/>
  <c r="Y116" i="5"/>
  <c r="Y113" i="5"/>
  <c r="Y112" i="5"/>
  <c r="Y110" i="5"/>
  <c r="Y108" i="5"/>
  <c r="AF107" i="5"/>
  <c r="AE107" i="5"/>
  <c r="P105" i="5"/>
  <c r="O105" i="5"/>
  <c r="N105" i="5"/>
  <c r="U104" i="5"/>
  <c r="U105" i="5" s="1"/>
  <c r="U106" i="5" s="1"/>
  <c r="U107" i="5" s="1"/>
  <c r="U108" i="5" s="1"/>
  <c r="U109" i="5" s="1"/>
  <c r="U110" i="5" s="1"/>
  <c r="U111" i="5" s="1"/>
  <c r="U112" i="5" s="1"/>
  <c r="U113" i="5" s="1"/>
  <c r="U114" i="5" s="1"/>
  <c r="U115" i="5" s="1"/>
  <c r="U116" i="5" s="1"/>
  <c r="U117" i="5" s="1"/>
  <c r="U118" i="5" s="1"/>
  <c r="U119" i="5" s="1"/>
  <c r="C104" i="5"/>
  <c r="C105" i="5" s="1"/>
  <c r="C106" i="5" s="1"/>
  <c r="Y102" i="5"/>
  <c r="E101" i="5"/>
  <c r="F101" i="5" s="1"/>
  <c r="F97" i="5" a="1"/>
  <c r="F97" i="5" s="1"/>
  <c r="F98" i="5" s="1"/>
  <c r="E97" i="5" a="1"/>
  <c r="E97" i="5" s="1"/>
  <c r="E98" i="5" s="1"/>
  <c r="D97" i="5" a="1"/>
  <c r="D97" i="5" s="1"/>
  <c r="D98" i="5" s="1"/>
  <c r="L68" i="5"/>
  <c r="C68" i="5"/>
  <c r="C67" i="5"/>
  <c r="D67" i="5" s="1"/>
  <c r="D66" i="5"/>
  <c r="E66" i="5" s="1"/>
  <c r="V103" i="5" s="1"/>
  <c r="D65" i="5"/>
  <c r="E65" i="5" s="1"/>
  <c r="L67" i="5" s="1"/>
  <c r="K45" i="5"/>
  <c r="L45" i="5" s="1"/>
  <c r="F44" i="5"/>
  <c r="F43" i="5"/>
  <c r="C43" i="5"/>
  <c r="C44" i="5" s="1"/>
  <c r="F42" i="5"/>
  <c r="L38" i="5"/>
  <c r="K38" i="5"/>
  <c r="J38" i="5"/>
  <c r="I38" i="5"/>
  <c r="L33" i="5"/>
  <c r="K33" i="5"/>
  <c r="J33" i="5"/>
  <c r="I33" i="5"/>
  <c r="L28" i="5"/>
  <c r="K28" i="5"/>
  <c r="J28" i="5"/>
  <c r="I28" i="5"/>
  <c r="D25" i="5"/>
  <c r="F24" i="5"/>
  <c r="F132" i="5" s="1"/>
  <c r="E24" i="5"/>
  <c r="E25" i="5" s="1"/>
  <c r="D24" i="5"/>
  <c r="D132" i="5" s="1"/>
  <c r="L23" i="5"/>
  <c r="K23" i="5"/>
  <c r="J23" i="5"/>
  <c r="I23" i="5"/>
  <c r="B13" i="5"/>
  <c r="T9" i="5"/>
  <c r="V8" i="5"/>
  <c r="V7" i="5"/>
  <c r="P265" i="4"/>
  <c r="Q264" i="4"/>
  <c r="P264" i="4"/>
  <c r="P266" i="4" s="1"/>
  <c r="C264" i="4"/>
  <c r="H263" i="4"/>
  <c r="G263" i="4"/>
  <c r="G263" i="4" a="1"/>
  <c r="E263" i="4"/>
  <c r="D263" i="4"/>
  <c r="H262" i="4"/>
  <c r="G262" i="4" a="1"/>
  <c r="G262" i="4" s="1"/>
  <c r="O264" i="4" s="1"/>
  <c r="O266" i="4" s="1"/>
  <c r="F262" i="4"/>
  <c r="N264" i="4" s="1"/>
  <c r="E262" i="4"/>
  <c r="D262" i="4"/>
  <c r="F258" i="4"/>
  <c r="F257" i="4"/>
  <c r="F256" i="4"/>
  <c r="E256" i="4"/>
  <c r="D256" i="4"/>
  <c r="D257" i="4" s="1"/>
  <c r="D258" i="4" s="1"/>
  <c r="E251" i="4"/>
  <c r="O265" i="4" s="1"/>
  <c r="D251" i="4"/>
  <c r="E250" i="4"/>
  <c r="D250" i="4"/>
  <c r="D249" i="4"/>
  <c r="E249" i="4" s="1"/>
  <c r="N265" i="4" s="1"/>
  <c r="E248" i="4"/>
  <c r="Q265" i="4" s="1"/>
  <c r="Q266" i="4" s="1"/>
  <c r="D248" i="4"/>
  <c r="E247" i="4"/>
  <c r="R265" i="4" s="1"/>
  <c r="D247" i="4"/>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O217" i="4"/>
  <c r="F217" i="4"/>
  <c r="D217" i="4"/>
  <c r="C217" i="4"/>
  <c r="F216" i="4"/>
  <c r="E216" i="4" a="1"/>
  <c r="E216" i="4" s="1"/>
  <c r="H216" i="4" s="1"/>
  <c r="D216" i="4"/>
  <c r="C216" i="4"/>
  <c r="N215" i="4"/>
  <c r="F215" i="4"/>
  <c r="E215" i="4" a="1"/>
  <c r="E215" i="4" s="1"/>
  <c r="H215" i="4" s="1"/>
  <c r="D215" i="4"/>
  <c r="F214" i="4"/>
  <c r="M215" i="4" s="1"/>
  <c r="M217" i="4" s="1"/>
  <c r="E214" i="4" a="1"/>
  <c r="E214" i="4" s="1"/>
  <c r="L215" i="4" s="1"/>
  <c r="D214" i="4"/>
  <c r="H214" i="4" s="1"/>
  <c r="O215" i="4" s="1"/>
  <c r="K209" i="4"/>
  <c r="E209" i="4"/>
  <c r="L216" i="4" s="1"/>
  <c r="D209" i="4"/>
  <c r="E208" i="4"/>
  <c r="M216" i="4" s="1"/>
  <c r="D208" i="4"/>
  <c r="D207" i="4"/>
  <c r="E207" i="4" s="1"/>
  <c r="K216" i="4" s="1"/>
  <c r="E206" i="4"/>
  <c r="N216" i="4" s="1"/>
  <c r="N217" i="4" s="1"/>
  <c r="D206" i="4"/>
  <c r="E205" i="4"/>
  <c r="O216" i="4" s="1"/>
  <c r="D205" i="4"/>
  <c r="D193" i="4"/>
  <c r="D192" i="4"/>
  <c r="D191" i="4"/>
  <c r="AD118" i="4" s="1"/>
  <c r="D190" i="4"/>
  <c r="D189" i="4"/>
  <c r="D188" i="4"/>
  <c r="D187" i="4"/>
  <c r="AD114" i="4" s="1"/>
  <c r="D186" i="4"/>
  <c r="AD113" i="4" s="1"/>
  <c r="D185" i="4"/>
  <c r="AD112" i="4" s="1"/>
  <c r="D184" i="4"/>
  <c r="D183" i="4"/>
  <c r="D182" i="4"/>
  <c r="AD109" i="4" s="1"/>
  <c r="D181" i="4"/>
  <c r="D180" i="4"/>
  <c r="AD107" i="4" s="1"/>
  <c r="D179" i="4"/>
  <c r="D178" i="4"/>
  <c r="L177" i="4"/>
  <c r="D177" i="4"/>
  <c r="C177" i="4"/>
  <c r="C178" i="4" s="1"/>
  <c r="C179" i="4" s="1"/>
  <c r="C180" i="4" s="1"/>
  <c r="C181" i="4" s="1"/>
  <c r="C182" i="4" s="1"/>
  <c r="C183" i="4" s="1"/>
  <c r="C184" i="4" s="1"/>
  <c r="C185" i="4" s="1"/>
  <c r="C186" i="4" s="1"/>
  <c r="C187" i="4" s="1"/>
  <c r="C188" i="4" s="1"/>
  <c r="C189" i="4" s="1"/>
  <c r="C190" i="4" s="1"/>
  <c r="C191" i="4" s="1"/>
  <c r="C192" i="4" s="1"/>
  <c r="C193" i="4" s="1"/>
  <c r="L176" i="4"/>
  <c r="D176" i="4"/>
  <c r="L175" i="4"/>
  <c r="D175" i="4"/>
  <c r="F169" i="4"/>
  <c r="C172" i="4" s="1"/>
  <c r="D169" i="4"/>
  <c r="F168" i="4"/>
  <c r="E168" i="4"/>
  <c r="E169" i="4" s="1"/>
  <c r="D168" i="4"/>
  <c r="E167" i="4"/>
  <c r="M140" i="4"/>
  <c r="L140" i="4"/>
  <c r="C139" i="4"/>
  <c r="E138" i="4"/>
  <c r="E137" i="4"/>
  <c r="M139" i="4" s="1"/>
  <c r="M141" i="4" s="1"/>
  <c r="I123" i="4"/>
  <c r="J123" i="4" s="1"/>
  <c r="K123" i="4" s="1"/>
  <c r="L123" i="4" s="1"/>
  <c r="G123" i="4"/>
  <c r="H123" i="4" s="1"/>
  <c r="F123" i="4"/>
  <c r="E123" i="4"/>
  <c r="AD120" i="4"/>
  <c r="AD119" i="4"/>
  <c r="AD117" i="4"/>
  <c r="AD116" i="4"/>
  <c r="AD115" i="4"/>
  <c r="AD111" i="4"/>
  <c r="AD110" i="4"/>
  <c r="AD108" i="4"/>
  <c r="AJ107" i="4"/>
  <c r="AD106" i="4"/>
  <c r="AD105" i="4"/>
  <c r="Z105" i="4"/>
  <c r="Z106" i="4" s="1"/>
  <c r="Z107" i="4" s="1"/>
  <c r="Z108" i="4" s="1"/>
  <c r="Z109" i="4" s="1"/>
  <c r="Z110" i="4" s="1"/>
  <c r="Z111" i="4" s="1"/>
  <c r="Z112" i="4" s="1"/>
  <c r="Z113" i="4" s="1"/>
  <c r="Z114" i="4" s="1"/>
  <c r="Z115" i="4" s="1"/>
  <c r="Z116" i="4" s="1"/>
  <c r="Z117" i="4" s="1"/>
  <c r="Z118" i="4" s="1"/>
  <c r="Z119" i="4" s="1"/>
  <c r="Z120" i="4" s="1"/>
  <c r="T105" i="4"/>
  <c r="S105" i="4"/>
  <c r="R105" i="4"/>
  <c r="AD104" i="4"/>
  <c r="Z104" i="4"/>
  <c r="C104" i="4"/>
  <c r="C105" i="4" s="1"/>
  <c r="C106" i="4" s="1"/>
  <c r="C107" i="4" s="1"/>
  <c r="C108" i="4" s="1"/>
  <c r="C109" i="4" s="1"/>
  <c r="C110" i="4" s="1"/>
  <c r="C111" i="4" s="1"/>
  <c r="C112" i="4" s="1"/>
  <c r="C113" i="4" s="1"/>
  <c r="C114" i="4" s="1"/>
  <c r="C115" i="4" s="1"/>
  <c r="C116" i="4" s="1"/>
  <c r="C117" i="4" s="1"/>
  <c r="C118" i="4" s="1"/>
  <c r="C119" i="4" s="1"/>
  <c r="C120" i="4" s="1"/>
  <c r="AD103" i="4"/>
  <c r="AC103" i="4"/>
  <c r="AD102" i="4"/>
  <c r="AC102" i="4"/>
  <c r="G101" i="4"/>
  <c r="H101" i="4" s="1"/>
  <c r="I101" i="4" s="1"/>
  <c r="J101" i="4" s="1"/>
  <c r="K101" i="4" s="1"/>
  <c r="L101" i="4" s="1"/>
  <c r="F101" i="4"/>
  <c r="E101" i="4"/>
  <c r="F98" i="4"/>
  <c r="F104" i="4" s="1"/>
  <c r="L97" i="4" a="1"/>
  <c r="L97" i="4" s="1"/>
  <c r="L98" i="4" s="1"/>
  <c r="K97" i="4" a="1"/>
  <c r="K97" i="4" s="1"/>
  <c r="K98" i="4" s="1"/>
  <c r="J97" i="4"/>
  <c r="J98" i="4" s="1"/>
  <c r="J97" i="4" a="1"/>
  <c r="I97" i="4" a="1"/>
  <c r="I97" i="4" s="1"/>
  <c r="I98" i="4" s="1"/>
  <c r="H97" i="4" a="1"/>
  <c r="H97" i="4" s="1"/>
  <c r="H98" i="4" s="1"/>
  <c r="G97" i="4" a="1"/>
  <c r="G97" i="4" s="1"/>
  <c r="G98" i="4" s="1"/>
  <c r="F97" i="4"/>
  <c r="F97" i="4" a="1"/>
  <c r="E97" i="4" a="1"/>
  <c r="E97" i="4" s="1"/>
  <c r="E98" i="4" s="1"/>
  <c r="D97" i="4" a="1"/>
  <c r="D97" i="4" s="1"/>
  <c r="D98" i="4" s="1"/>
  <c r="L68" i="4"/>
  <c r="D68" i="4"/>
  <c r="E68" i="4" s="1"/>
  <c r="AA105" i="4" s="1"/>
  <c r="C68" i="4"/>
  <c r="C69" i="4" s="1"/>
  <c r="D67" i="4"/>
  <c r="C67" i="4"/>
  <c r="E66" i="4"/>
  <c r="AA103" i="4" s="1"/>
  <c r="D66" i="4"/>
  <c r="D65" i="4"/>
  <c r="E65" i="4" s="1"/>
  <c r="F50" i="4"/>
  <c r="F49" i="4"/>
  <c r="F48" i="4"/>
  <c r="F47" i="4"/>
  <c r="C47" i="4"/>
  <c r="C48" i="4" s="1"/>
  <c r="C49" i="4" s="1"/>
  <c r="C50" i="4" s="1"/>
  <c r="F46" i="4"/>
  <c r="L45" i="4"/>
  <c r="K45" i="4"/>
  <c r="F45" i="4"/>
  <c r="C45" i="4"/>
  <c r="C46" i="4" s="1"/>
  <c r="F44" i="4"/>
  <c r="C44" i="4"/>
  <c r="F43" i="4"/>
  <c r="C43" i="4"/>
  <c r="F42" i="4"/>
  <c r="L38" i="4"/>
  <c r="K38" i="4"/>
  <c r="J38" i="4"/>
  <c r="I38" i="4"/>
  <c r="L33" i="4"/>
  <c r="K33" i="4"/>
  <c r="J33" i="4"/>
  <c r="I33" i="4"/>
  <c r="L28" i="4"/>
  <c r="K28" i="4"/>
  <c r="J28" i="4"/>
  <c r="I28" i="4"/>
  <c r="E25" i="4"/>
  <c r="F24" i="4"/>
  <c r="F132" i="4" s="1"/>
  <c r="E24" i="4"/>
  <c r="E132" i="4" s="1"/>
  <c r="D24" i="4"/>
  <c r="L23" i="4"/>
  <c r="K23" i="4"/>
  <c r="J23" i="4"/>
  <c r="I23" i="4"/>
  <c r="B13" i="4"/>
  <c r="T9" i="4"/>
  <c r="V8" i="4"/>
  <c r="V7" i="4" s="1"/>
  <c r="C264" i="3"/>
  <c r="G263" i="3"/>
  <c r="E263" i="3"/>
  <c r="D263" i="3"/>
  <c r="F263" i="3" s="1"/>
  <c r="I262" i="3"/>
  <c r="Q264" i="3" s="1"/>
  <c r="G262" i="3"/>
  <c r="O264" i="3" s="1"/>
  <c r="F262" i="3"/>
  <c r="E262" i="3"/>
  <c r="D262" i="3"/>
  <c r="D257" i="3"/>
  <c r="D258" i="3" s="1"/>
  <c r="F256" i="3"/>
  <c r="F257" i="3" s="1"/>
  <c r="F258" i="3" s="1"/>
  <c r="E256" i="3"/>
  <c r="E257" i="3" s="1"/>
  <c r="E258" i="3" s="1"/>
  <c r="D256" i="3"/>
  <c r="E251" i="3"/>
  <c r="O265" i="3" s="1"/>
  <c r="D251" i="3"/>
  <c r="D250" i="3"/>
  <c r="E250" i="3" s="1"/>
  <c r="P265" i="3" s="1"/>
  <c r="D249" i="3"/>
  <c r="E249" i="3" s="1"/>
  <c r="N265" i="3" s="1"/>
  <c r="E248" i="3"/>
  <c r="Q265" i="3" s="1"/>
  <c r="D248" i="3"/>
  <c r="E247" i="3"/>
  <c r="R265" i="3" s="1"/>
  <c r="D247" i="3"/>
  <c r="D232" i="3"/>
  <c r="D231" i="3"/>
  <c r="D230" i="3"/>
  <c r="D229" i="3"/>
  <c r="D228" i="3"/>
  <c r="D227" i="3"/>
  <c r="D226" i="3"/>
  <c r="D225" i="3"/>
  <c r="D224" i="3"/>
  <c r="D223" i="3"/>
  <c r="D222" i="3"/>
  <c r="D221" i="3"/>
  <c r="D220" i="3"/>
  <c r="D219" i="3"/>
  <c r="D218" i="3"/>
  <c r="C218" i="3"/>
  <c r="C219" i="3" s="1"/>
  <c r="E219" i="3" s="1"/>
  <c r="E217" i="3"/>
  <c r="H217" i="3" s="1"/>
  <c r="D217" i="3"/>
  <c r="C217" i="3"/>
  <c r="K216" i="3"/>
  <c r="H216" i="3"/>
  <c r="E216" i="3"/>
  <c r="D216" i="3"/>
  <c r="C216" i="3"/>
  <c r="N215" i="3"/>
  <c r="M215" i="3"/>
  <c r="L215" i="3"/>
  <c r="K215" i="3"/>
  <c r="K217" i="3" s="1"/>
  <c r="H215" i="3"/>
  <c r="E215" i="3"/>
  <c r="D215" i="3"/>
  <c r="F214" i="3"/>
  <c r="E214" i="3"/>
  <c r="D214" i="3"/>
  <c r="H214" i="3" s="1"/>
  <c r="O215" i="3" s="1"/>
  <c r="D209" i="3"/>
  <c r="E209" i="3" s="1"/>
  <c r="L216" i="3" s="1"/>
  <c r="E208" i="3"/>
  <c r="M216" i="3" s="1"/>
  <c r="D208" i="3"/>
  <c r="E207" i="3"/>
  <c r="D207" i="3"/>
  <c r="D206" i="3"/>
  <c r="E206" i="3" s="1"/>
  <c r="N216" i="3" s="1"/>
  <c r="N217" i="3" s="1"/>
  <c r="D205" i="3"/>
  <c r="E205" i="3" s="1"/>
  <c r="O216" i="3" s="1"/>
  <c r="C179" i="3"/>
  <c r="C180" i="3" s="1"/>
  <c r="C181" i="3" s="1"/>
  <c r="C182" i="3" s="1"/>
  <c r="C183" i="3" s="1"/>
  <c r="C184" i="3" s="1"/>
  <c r="C185" i="3" s="1"/>
  <c r="C186" i="3" s="1"/>
  <c r="C187" i="3" s="1"/>
  <c r="C188" i="3" s="1"/>
  <c r="C189" i="3" s="1"/>
  <c r="C190" i="3" s="1"/>
  <c r="C191" i="3" s="1"/>
  <c r="C192" i="3" s="1"/>
  <c r="C193" i="3" s="1"/>
  <c r="C178" i="3"/>
  <c r="L177" i="3"/>
  <c r="C177" i="3"/>
  <c r="L176" i="3"/>
  <c r="L175" i="3"/>
  <c r="D175" i="3"/>
  <c r="Y102" i="3" s="1"/>
  <c r="F169" i="3"/>
  <c r="C172" i="3" s="1"/>
  <c r="E169" i="3"/>
  <c r="D169" i="3"/>
  <c r="F168" i="3"/>
  <c r="E168" i="3"/>
  <c r="D168" i="3"/>
  <c r="E167" i="3"/>
  <c r="C143" i="3"/>
  <c r="C144" i="3" s="1"/>
  <c r="C142" i="3"/>
  <c r="L140" i="3"/>
  <c r="C140" i="3"/>
  <c r="C141" i="3" s="1"/>
  <c r="C139" i="3"/>
  <c r="D134" i="3"/>
  <c r="D133" i="3"/>
  <c r="C131" i="3" s="1"/>
  <c r="D132" i="3"/>
  <c r="Y120" i="3"/>
  <c r="Y119" i="3"/>
  <c r="Y118" i="3"/>
  <c r="Y117" i="3"/>
  <c r="Y116" i="3"/>
  <c r="Y115" i="3"/>
  <c r="Y114" i="3"/>
  <c r="Y113" i="3"/>
  <c r="Y112" i="3"/>
  <c r="Y111" i="3"/>
  <c r="Y110" i="3"/>
  <c r="Y109" i="3"/>
  <c r="Y108" i="3"/>
  <c r="AE107" i="3"/>
  <c r="Y107" i="3"/>
  <c r="U107" i="3"/>
  <c r="U108" i="3" s="1"/>
  <c r="U109" i="3" s="1"/>
  <c r="U110" i="3" s="1"/>
  <c r="U111" i="3" s="1"/>
  <c r="U112" i="3" s="1"/>
  <c r="U113" i="3" s="1"/>
  <c r="U114" i="3" s="1"/>
  <c r="U115" i="3" s="1"/>
  <c r="U116" i="3" s="1"/>
  <c r="U117" i="3" s="1"/>
  <c r="U118" i="3" s="1"/>
  <c r="U119" i="3" s="1"/>
  <c r="U120" i="3" s="1"/>
  <c r="Y106" i="3"/>
  <c r="Y105" i="3"/>
  <c r="U105" i="3"/>
  <c r="U106" i="3" s="1"/>
  <c r="P105" i="3"/>
  <c r="O105" i="3"/>
  <c r="N105" i="3"/>
  <c r="Y104" i="3"/>
  <c r="U104" i="3"/>
  <c r="C104" i="3"/>
  <c r="C105" i="3" s="1"/>
  <c r="C106" i="3" s="1"/>
  <c r="C107" i="3" s="1"/>
  <c r="C108" i="3" s="1"/>
  <c r="C109" i="3" s="1"/>
  <c r="C110" i="3" s="1"/>
  <c r="C111" i="3" s="1"/>
  <c r="C112" i="3" s="1"/>
  <c r="C113" i="3" s="1"/>
  <c r="C114" i="3" s="1"/>
  <c r="C115" i="3" s="1"/>
  <c r="C116" i="3" s="1"/>
  <c r="C117" i="3" s="1"/>
  <c r="C118" i="3" s="1"/>
  <c r="C119" i="3" s="1"/>
  <c r="C120" i="3" s="1"/>
  <c r="Y103" i="3"/>
  <c r="V103" i="3"/>
  <c r="D97" i="3"/>
  <c r="D98" i="3" s="1"/>
  <c r="D97" i="3" a="1"/>
  <c r="L69" i="3"/>
  <c r="L68" i="3"/>
  <c r="L67" i="3"/>
  <c r="D67" i="3"/>
  <c r="C67" i="3"/>
  <c r="C68" i="3" s="1"/>
  <c r="D68" i="3" s="1"/>
  <c r="E66" i="3"/>
  <c r="D66" i="3"/>
  <c r="E65" i="3"/>
  <c r="V102" i="3" s="1"/>
  <c r="D65" i="3"/>
  <c r="K45" i="3"/>
  <c r="L45" i="3" s="1"/>
  <c r="F42" i="3"/>
  <c r="L38" i="3"/>
  <c r="K38" i="3"/>
  <c r="J38" i="3"/>
  <c r="I38" i="3"/>
  <c r="L33" i="3"/>
  <c r="K33" i="3"/>
  <c r="J33" i="3"/>
  <c r="I33" i="3"/>
  <c r="L28" i="3"/>
  <c r="K28" i="3"/>
  <c r="J28" i="3"/>
  <c r="I28" i="3"/>
  <c r="F24" i="3"/>
  <c r="F25" i="3" s="1"/>
  <c r="E24" i="3"/>
  <c r="E25" i="3" s="1"/>
  <c r="D24" i="3"/>
  <c r="D25" i="3" s="1"/>
  <c r="L23" i="3"/>
  <c r="K23" i="3"/>
  <c r="J23" i="3"/>
  <c r="I23" i="3"/>
  <c r="B13" i="3"/>
  <c r="T9" i="3"/>
  <c r="V8" i="3"/>
  <c r="V7" i="3" s="1"/>
  <c r="I280" i="2"/>
  <c r="H280" i="2"/>
  <c r="G280" i="2"/>
  <c r="I279" i="2"/>
  <c r="H279" i="2"/>
  <c r="G279" i="2"/>
  <c r="I278" i="2"/>
  <c r="H278" i="2"/>
  <c r="G278" i="2"/>
  <c r="I277" i="2"/>
  <c r="H277" i="2"/>
  <c r="G277" i="2"/>
  <c r="I276" i="2"/>
  <c r="H276" i="2"/>
  <c r="G276" i="2"/>
  <c r="I275" i="2"/>
  <c r="H275" i="2"/>
  <c r="G275" i="2"/>
  <c r="I274" i="2"/>
  <c r="H274" i="2"/>
  <c r="G274" i="2"/>
  <c r="I273" i="2"/>
  <c r="H273" i="2"/>
  <c r="G273" i="2"/>
  <c r="I272" i="2"/>
  <c r="H272" i="2"/>
  <c r="G272" i="2"/>
  <c r="I271" i="2"/>
  <c r="H271" i="2"/>
  <c r="G271" i="2"/>
  <c r="I270" i="2"/>
  <c r="H270" i="2"/>
  <c r="G270" i="2"/>
  <c r="I269" i="2"/>
  <c r="H269" i="2"/>
  <c r="G269" i="2"/>
  <c r="I268" i="2"/>
  <c r="H268" i="2"/>
  <c r="G268" i="2"/>
  <c r="I267" i="2"/>
  <c r="H267" i="2"/>
  <c r="G267" i="2"/>
  <c r="I266" i="2"/>
  <c r="H266" i="2"/>
  <c r="G266" i="2"/>
  <c r="O265" i="2"/>
  <c r="I265" i="2"/>
  <c r="H265" i="2"/>
  <c r="G265" i="2"/>
  <c r="C265" i="2"/>
  <c r="C266" i="2" s="1"/>
  <c r="Q264" i="2"/>
  <c r="Q266" i="2" s="1"/>
  <c r="P264" i="2"/>
  <c r="I264" i="2"/>
  <c r="H264" i="2"/>
  <c r="G264" i="2"/>
  <c r="E264" i="2"/>
  <c r="C264" i="2"/>
  <c r="D264" i="2" s="1"/>
  <c r="F264" i="2" s="1"/>
  <c r="J264" i="2" s="1"/>
  <c r="I263" i="2"/>
  <c r="H263" i="2"/>
  <c r="G263" i="2"/>
  <c r="F263" i="2"/>
  <c r="J263" i="2" s="1"/>
  <c r="E263" i="2"/>
  <c r="D263" i="2"/>
  <c r="I262" i="2"/>
  <c r="H262" i="2"/>
  <c r="G262" i="2"/>
  <c r="O264" i="2" s="1"/>
  <c r="O266" i="2" s="1"/>
  <c r="E262" i="2"/>
  <c r="D262" i="2"/>
  <c r="F262" i="2" s="1"/>
  <c r="E257" i="2"/>
  <c r="E258" i="2" s="1"/>
  <c r="D257" i="2"/>
  <c r="D258" i="2" s="1"/>
  <c r="G256" i="2"/>
  <c r="F256" i="2"/>
  <c r="F257" i="2" s="1"/>
  <c r="F258" i="2" s="1"/>
  <c r="E256" i="2"/>
  <c r="D256" i="2"/>
  <c r="D251" i="2"/>
  <c r="E251" i="2" s="1"/>
  <c r="D250" i="2"/>
  <c r="E250" i="2" s="1"/>
  <c r="P265" i="2" s="1"/>
  <c r="E249" i="2"/>
  <c r="N265" i="2" s="1"/>
  <c r="D249" i="2"/>
  <c r="D248" i="2"/>
  <c r="E248" i="2" s="1"/>
  <c r="Q265" i="2" s="1"/>
  <c r="D247" i="2"/>
  <c r="E247" i="2" s="1"/>
  <c r="R265" i="2" s="1"/>
  <c r="D232" i="2"/>
  <c r="H232" i="2" s="1"/>
  <c r="H231" i="2"/>
  <c r="D231" i="2"/>
  <c r="D230" i="2"/>
  <c r="H230" i="2" s="1"/>
  <c r="D229" i="2"/>
  <c r="H229" i="2" s="1"/>
  <c r="H228" i="2"/>
  <c r="D228" i="2"/>
  <c r="D227" i="2"/>
  <c r="H227" i="2" s="1"/>
  <c r="D226" i="2"/>
  <c r="H226" i="2" s="1"/>
  <c r="H225" i="2"/>
  <c r="D225" i="2"/>
  <c r="H224" i="2"/>
  <c r="D224" i="2"/>
  <c r="D223" i="2"/>
  <c r="H223" i="2" s="1"/>
  <c r="D222" i="2"/>
  <c r="H222" i="2" s="1"/>
  <c r="H221" i="2"/>
  <c r="D221" i="2"/>
  <c r="D220" i="2"/>
  <c r="H220" i="2" s="1"/>
  <c r="H219" i="2"/>
  <c r="D219" i="2"/>
  <c r="H218" i="2"/>
  <c r="D218" i="2"/>
  <c r="L217" i="2"/>
  <c r="D217" i="2"/>
  <c r="H217" i="2" s="1"/>
  <c r="H216" i="2"/>
  <c r="D216" i="2"/>
  <c r="C216" i="2"/>
  <c r="C217" i="2" s="1"/>
  <c r="C218" i="2" s="1"/>
  <c r="C219" i="2" s="1"/>
  <c r="C220" i="2" s="1"/>
  <c r="C221" i="2" s="1"/>
  <c r="C222" i="2" s="1"/>
  <c r="C223" i="2" s="1"/>
  <c r="C224" i="2" s="1"/>
  <c r="C225" i="2" s="1"/>
  <c r="C226" i="2" s="1"/>
  <c r="C227" i="2" s="1"/>
  <c r="C228" i="2" s="1"/>
  <c r="C229" i="2" s="1"/>
  <c r="C230" i="2" s="1"/>
  <c r="C231" i="2" s="1"/>
  <c r="C232" i="2" s="1"/>
  <c r="N215" i="2"/>
  <c r="N217" i="2" s="1"/>
  <c r="M215" i="2"/>
  <c r="L215" i="2"/>
  <c r="K215" i="2"/>
  <c r="H215" i="2"/>
  <c r="D215" i="2"/>
  <c r="H214" i="2"/>
  <c r="O215" i="2" s="1"/>
  <c r="D214" i="2"/>
  <c r="K209" i="2"/>
  <c r="D209" i="2"/>
  <c r="E209" i="2" s="1"/>
  <c r="L216" i="2" s="1"/>
  <c r="E208" i="2"/>
  <c r="M216" i="2" s="1"/>
  <c r="M217" i="2" s="1"/>
  <c r="D208" i="2"/>
  <c r="D207" i="2"/>
  <c r="E207" i="2" s="1"/>
  <c r="K216" i="2" s="1"/>
  <c r="E206" i="2"/>
  <c r="N216" i="2" s="1"/>
  <c r="D206" i="2"/>
  <c r="D205" i="2"/>
  <c r="E205" i="2" s="1"/>
  <c r="O216" i="2" s="1"/>
  <c r="D193" i="2"/>
  <c r="Y120" i="2" s="1"/>
  <c r="D192" i="2"/>
  <c r="D191" i="2"/>
  <c r="D190" i="2"/>
  <c r="D189" i="2"/>
  <c r="Y116" i="2" s="1"/>
  <c r="D188" i="2"/>
  <c r="D187" i="2"/>
  <c r="D186" i="2"/>
  <c r="D185" i="2"/>
  <c r="Y112" i="2" s="1"/>
  <c r="D184" i="2"/>
  <c r="Y111" i="2" s="1"/>
  <c r="D183" i="2"/>
  <c r="D182" i="2"/>
  <c r="D181" i="2"/>
  <c r="D180" i="2"/>
  <c r="Y107" i="2" s="1"/>
  <c r="C180" i="2"/>
  <c r="C181" i="2" s="1"/>
  <c r="C182" i="2" s="1"/>
  <c r="C183" i="2" s="1"/>
  <c r="C184" i="2" s="1"/>
  <c r="C185" i="2" s="1"/>
  <c r="C186" i="2" s="1"/>
  <c r="C187" i="2" s="1"/>
  <c r="C188" i="2" s="1"/>
  <c r="C189" i="2" s="1"/>
  <c r="C190" i="2" s="1"/>
  <c r="C191" i="2" s="1"/>
  <c r="C192" i="2" s="1"/>
  <c r="C193" i="2" s="1"/>
  <c r="D179" i="2"/>
  <c r="Y106" i="2" s="1"/>
  <c r="D178" i="2"/>
  <c r="D177" i="2"/>
  <c r="Y104" i="2" s="1"/>
  <c r="C177" i="2"/>
  <c r="C178" i="2" s="1"/>
  <c r="C179" i="2" s="1"/>
  <c r="L176" i="2"/>
  <c r="L177" i="2" s="1"/>
  <c r="D176" i="2"/>
  <c r="Y103" i="2" s="1"/>
  <c r="Z103" i="2" s="1"/>
  <c r="L175" i="2"/>
  <c r="D175" i="2"/>
  <c r="E168" i="2"/>
  <c r="E169" i="2" s="1"/>
  <c r="C172" i="2" s="1"/>
  <c r="D168" i="2"/>
  <c r="D169" i="2" s="1"/>
  <c r="D155" i="2"/>
  <c r="X120" i="2" s="1"/>
  <c r="D154" i="2"/>
  <c r="X119" i="2" s="1"/>
  <c r="D153" i="2"/>
  <c r="D152" i="2"/>
  <c r="D151" i="2"/>
  <c r="D150" i="2"/>
  <c r="X115" i="2" s="1"/>
  <c r="D149" i="2"/>
  <c r="D148" i="2"/>
  <c r="X113" i="2" s="1"/>
  <c r="D147" i="2"/>
  <c r="X112" i="2" s="1"/>
  <c r="D146" i="2"/>
  <c r="X111" i="2" s="1"/>
  <c r="D145" i="2"/>
  <c r="X110" i="2" s="1"/>
  <c r="D144" i="2"/>
  <c r="D143" i="2"/>
  <c r="D142" i="2"/>
  <c r="X107" i="2" s="1"/>
  <c r="D141" i="2"/>
  <c r="L140" i="2"/>
  <c r="D140" i="2"/>
  <c r="C140" i="2"/>
  <c r="C141" i="2" s="1"/>
  <c r="C142" i="2" s="1"/>
  <c r="C143" i="2" s="1"/>
  <c r="C144" i="2" s="1"/>
  <c r="C145" i="2" s="1"/>
  <c r="C146" i="2" s="1"/>
  <c r="C147" i="2" s="1"/>
  <c r="C148" i="2" s="1"/>
  <c r="C149" i="2" s="1"/>
  <c r="C150" i="2" s="1"/>
  <c r="C151" i="2" s="1"/>
  <c r="C152" i="2" s="1"/>
  <c r="C153" i="2" s="1"/>
  <c r="C154" i="2" s="1"/>
  <c r="C155" i="2" s="1"/>
  <c r="L139" i="2"/>
  <c r="L141" i="2" s="1"/>
  <c r="D139" i="2"/>
  <c r="X104" i="2" s="1"/>
  <c r="C139" i="2"/>
  <c r="D138" i="2"/>
  <c r="D137" i="2"/>
  <c r="D132" i="2"/>
  <c r="D124" i="2"/>
  <c r="E124" i="2" s="1"/>
  <c r="N104" i="2" s="1"/>
  <c r="N106" i="2" s="1"/>
  <c r="W120" i="2"/>
  <c r="D120" i="2"/>
  <c r="E120" i="2" s="1"/>
  <c r="Y119" i="2"/>
  <c r="W119" i="2"/>
  <c r="E119" i="2"/>
  <c r="D119" i="2"/>
  <c r="Y118" i="2"/>
  <c r="X118" i="2"/>
  <c r="W118" i="2"/>
  <c r="E118" i="2"/>
  <c r="D118" i="2"/>
  <c r="Y117" i="2"/>
  <c r="X117" i="2"/>
  <c r="W117" i="2"/>
  <c r="D117" i="2"/>
  <c r="E117" i="2" s="1"/>
  <c r="X116" i="2"/>
  <c r="W116" i="2"/>
  <c r="D116" i="2"/>
  <c r="E116" i="2" s="1"/>
  <c r="Y115" i="2"/>
  <c r="W115" i="2"/>
  <c r="D115" i="2"/>
  <c r="E115" i="2" s="1"/>
  <c r="Y114" i="2"/>
  <c r="X114" i="2"/>
  <c r="W114" i="2"/>
  <c r="D114" i="2"/>
  <c r="E114" i="2" s="1"/>
  <c r="Y113" i="2"/>
  <c r="W113" i="2"/>
  <c r="D113" i="2"/>
  <c r="E113" i="2" s="1"/>
  <c r="W112" i="2"/>
  <c r="D112" i="2"/>
  <c r="E112" i="2" s="1"/>
  <c r="W111" i="2"/>
  <c r="E111" i="2"/>
  <c r="D111" i="2"/>
  <c r="Y110" i="2"/>
  <c r="W110" i="2"/>
  <c r="E110" i="2"/>
  <c r="D110" i="2"/>
  <c r="Y109" i="2"/>
  <c r="X109" i="2"/>
  <c r="W109" i="2"/>
  <c r="D109" i="2"/>
  <c r="E109" i="2" s="1"/>
  <c r="Y108" i="2"/>
  <c r="X108" i="2"/>
  <c r="W108" i="2"/>
  <c r="D108" i="2"/>
  <c r="E108" i="2" s="1"/>
  <c r="AE107" i="2"/>
  <c r="W107" i="2"/>
  <c r="D107" i="2"/>
  <c r="E107" i="2" s="1"/>
  <c r="X106" i="2"/>
  <c r="W106" i="2"/>
  <c r="U106" i="2"/>
  <c r="U107" i="2" s="1"/>
  <c r="U108" i="2" s="1"/>
  <c r="U109" i="2" s="1"/>
  <c r="U110" i="2" s="1"/>
  <c r="U111" i="2" s="1"/>
  <c r="U112" i="2" s="1"/>
  <c r="U113" i="2" s="1"/>
  <c r="U114" i="2" s="1"/>
  <c r="U115" i="2" s="1"/>
  <c r="U116" i="2" s="1"/>
  <c r="U117" i="2" s="1"/>
  <c r="U118" i="2" s="1"/>
  <c r="U119" i="2" s="1"/>
  <c r="U120" i="2" s="1"/>
  <c r="O106" i="2"/>
  <c r="D106" i="2"/>
  <c r="E106" i="2" s="1"/>
  <c r="Y105" i="2"/>
  <c r="X105" i="2"/>
  <c r="W105" i="2"/>
  <c r="O105" i="2"/>
  <c r="N105" i="2"/>
  <c r="M105" i="2"/>
  <c r="E105" i="2"/>
  <c r="D105" i="2"/>
  <c r="W104" i="2"/>
  <c r="U104" i="2"/>
  <c r="U105" i="2" s="1"/>
  <c r="O104" i="2"/>
  <c r="D104" i="2"/>
  <c r="E104" i="2" s="1"/>
  <c r="C104" i="2"/>
  <c r="C105" i="2" s="1"/>
  <c r="C106" i="2" s="1"/>
  <c r="C107" i="2" s="1"/>
  <c r="C108" i="2" s="1"/>
  <c r="C109" i="2" s="1"/>
  <c r="C110" i="2" s="1"/>
  <c r="C111" i="2" s="1"/>
  <c r="C112" i="2" s="1"/>
  <c r="C113" i="2" s="1"/>
  <c r="C114" i="2" s="1"/>
  <c r="C115" i="2" s="1"/>
  <c r="C116" i="2" s="1"/>
  <c r="C117" i="2" s="1"/>
  <c r="C118" i="2" s="1"/>
  <c r="C119" i="2" s="1"/>
  <c r="C120" i="2" s="1"/>
  <c r="X103" i="2"/>
  <c r="W103" i="2"/>
  <c r="D103" i="2"/>
  <c r="E103" i="2" s="1"/>
  <c r="Y102" i="2"/>
  <c r="X102" i="2"/>
  <c r="W102" i="2"/>
  <c r="D102" i="2"/>
  <c r="E102" i="2" s="1"/>
  <c r="M104" i="2" s="1"/>
  <c r="M99" i="2"/>
  <c r="D97" i="2" a="1"/>
  <c r="D97" i="2" s="1"/>
  <c r="L68" i="2"/>
  <c r="E68" i="2"/>
  <c r="V105" i="2" s="1"/>
  <c r="Z105" i="2" s="1"/>
  <c r="D68" i="2"/>
  <c r="C68" i="2"/>
  <c r="C69" i="2" s="1"/>
  <c r="C67" i="2"/>
  <c r="D66" i="2"/>
  <c r="E66" i="2" s="1"/>
  <c r="V103" i="2" s="1"/>
  <c r="E65" i="2"/>
  <c r="D65" i="2"/>
  <c r="K45" i="2"/>
  <c r="L38" i="2"/>
  <c r="K38" i="2"/>
  <c r="J38" i="2"/>
  <c r="I38" i="2"/>
  <c r="L33" i="2"/>
  <c r="K33" i="2"/>
  <c r="J33" i="2"/>
  <c r="I33" i="2"/>
  <c r="L28" i="2"/>
  <c r="K28" i="2"/>
  <c r="J28" i="2"/>
  <c r="I28" i="2"/>
  <c r="F25" i="2"/>
  <c r="E25" i="2"/>
  <c r="D25" i="2"/>
  <c r="F24" i="2"/>
  <c r="F132" i="2" s="1"/>
  <c r="E24" i="2"/>
  <c r="E132" i="2" s="1"/>
  <c r="D24" i="2"/>
  <c r="L23" i="2"/>
  <c r="K23" i="2"/>
  <c r="J23" i="2"/>
  <c r="I23" i="2"/>
  <c r="B13" i="2"/>
  <c r="T9" i="2"/>
  <c r="V8" i="2"/>
  <c r="V7" i="2"/>
  <c r="O266" i="5" l="1"/>
  <c r="M217" i="5"/>
  <c r="P266" i="5"/>
  <c r="L69" i="5"/>
  <c r="C172" i="5"/>
  <c r="J263" i="5"/>
  <c r="G256" i="5"/>
  <c r="F257" i="5"/>
  <c r="F258" i="5" s="1"/>
  <c r="F25" i="5"/>
  <c r="G124" i="4"/>
  <c r="G116" i="4"/>
  <c r="G115" i="4"/>
  <c r="G114" i="4"/>
  <c r="G113" i="4"/>
  <c r="G107" i="4"/>
  <c r="G105" i="4"/>
  <c r="G103" i="4"/>
  <c r="G106" i="4"/>
  <c r="G109" i="4"/>
  <c r="G104" i="4"/>
  <c r="G117" i="4"/>
  <c r="G119" i="4"/>
  <c r="G108" i="4"/>
  <c r="G112" i="4"/>
  <c r="G118" i="4"/>
  <c r="G110" i="4"/>
  <c r="G120" i="4"/>
  <c r="G111" i="4"/>
  <c r="G102" i="4"/>
  <c r="C70" i="4"/>
  <c r="D69" i="4"/>
  <c r="E69" i="4" s="1"/>
  <c r="AA106" i="4" s="1"/>
  <c r="I108" i="4"/>
  <c r="I120" i="4"/>
  <c r="I111" i="4"/>
  <c r="I110" i="4"/>
  <c r="I109" i="4"/>
  <c r="I124" i="4"/>
  <c r="I118" i="4"/>
  <c r="I116" i="4"/>
  <c r="I107" i="4"/>
  <c r="I103" i="4"/>
  <c r="I115" i="4"/>
  <c r="I114" i="4"/>
  <c r="I113" i="4"/>
  <c r="I112" i="4"/>
  <c r="I106" i="4"/>
  <c r="I102" i="4"/>
  <c r="I119" i="4"/>
  <c r="I117" i="4"/>
  <c r="I105" i="4"/>
  <c r="I104" i="4"/>
  <c r="H120" i="4"/>
  <c r="H116" i="4"/>
  <c r="H112" i="4"/>
  <c r="H105" i="4"/>
  <c r="H119" i="4"/>
  <c r="H118" i="4"/>
  <c r="H117" i="4"/>
  <c r="H124" i="4"/>
  <c r="H109" i="4"/>
  <c r="H104" i="4"/>
  <c r="H102" i="4"/>
  <c r="H110" i="4"/>
  <c r="H115" i="4"/>
  <c r="H113" i="4"/>
  <c r="H111" i="4"/>
  <c r="H108" i="4"/>
  <c r="H114" i="4"/>
  <c r="H107" i="4"/>
  <c r="H103" i="4"/>
  <c r="H106" i="4"/>
  <c r="AA102" i="4"/>
  <c r="AE102" i="4" s="1"/>
  <c r="AJ106" i="4" s="1"/>
  <c r="AJ108" i="4" s="1"/>
  <c r="L67" i="4"/>
  <c r="L69" i="4" s="1"/>
  <c r="AB120" i="4" a="1"/>
  <c r="AB120" i="4" s="1"/>
  <c r="D118" i="4"/>
  <c r="AB116" i="4" a="1"/>
  <c r="AB116" i="4" s="1"/>
  <c r="D114" i="4"/>
  <c r="AB112" i="4" a="1"/>
  <c r="AB112" i="4" s="1"/>
  <c r="D110" i="4"/>
  <c r="D107" i="4"/>
  <c r="AB106" i="4" a="1"/>
  <c r="AB106" i="4" s="1"/>
  <c r="AB115" i="4" a="1"/>
  <c r="AB115" i="4" s="1"/>
  <c r="AB114" i="4" a="1"/>
  <c r="AB114" i="4" s="1"/>
  <c r="AB113" i="4" a="1"/>
  <c r="AB113" i="4" s="1"/>
  <c r="AB107" i="4" a="1"/>
  <c r="AB107" i="4" s="1"/>
  <c r="D117" i="4"/>
  <c r="D116" i="4"/>
  <c r="D115" i="4"/>
  <c r="D120" i="4"/>
  <c r="D119" i="4"/>
  <c r="D111" i="4"/>
  <c r="D124" i="4"/>
  <c r="D106" i="4"/>
  <c r="AB103" i="4" a="1"/>
  <c r="AB103" i="4" s="1"/>
  <c r="AE103" i="4" s="1"/>
  <c r="D102" i="4"/>
  <c r="M102" i="4" s="1"/>
  <c r="R104" i="4" s="1"/>
  <c r="R106" i="4" s="1"/>
  <c r="R97" i="4" a="1"/>
  <c r="R97" i="4" s="1"/>
  <c r="T104" i="4" s="1"/>
  <c r="T106" i="4" s="1"/>
  <c r="AB119" i="4" a="1"/>
  <c r="AB119" i="4" s="1"/>
  <c r="AB118" i="4" a="1"/>
  <c r="AB118" i="4" s="1"/>
  <c r="AB117" i="4" a="1"/>
  <c r="AB117" i="4" s="1"/>
  <c r="AB111" i="4" a="1"/>
  <c r="AB111" i="4" s="1"/>
  <c r="D109" i="4"/>
  <c r="D105" i="4"/>
  <c r="AB105" i="4" a="1"/>
  <c r="AB105" i="4" s="1"/>
  <c r="AB110" i="4" a="1"/>
  <c r="AB110" i="4" s="1"/>
  <c r="D103" i="4"/>
  <c r="D108" i="4"/>
  <c r="M108" i="4" s="1"/>
  <c r="AB109" i="4" a="1"/>
  <c r="AB109" i="4" s="1"/>
  <c r="D104" i="4"/>
  <c r="D113" i="4"/>
  <c r="D112" i="4"/>
  <c r="AB108" i="4" a="1"/>
  <c r="AB108" i="4" s="1"/>
  <c r="AB104" i="4" a="1"/>
  <c r="AB104" i="4" s="1"/>
  <c r="AB102" i="4" a="1"/>
  <c r="AB102" i="4" s="1"/>
  <c r="J119" i="4"/>
  <c r="J115" i="4"/>
  <c r="J111" i="4"/>
  <c r="J104" i="4"/>
  <c r="J110" i="4"/>
  <c r="J109" i="4"/>
  <c r="J114" i="4"/>
  <c r="J113" i="4"/>
  <c r="J112" i="4"/>
  <c r="J108" i="4"/>
  <c r="J107" i="4"/>
  <c r="J106" i="4"/>
  <c r="J102" i="4"/>
  <c r="J118" i="4"/>
  <c r="J117" i="4"/>
  <c r="J116" i="4"/>
  <c r="J120" i="4"/>
  <c r="J103" i="4"/>
  <c r="J105" i="4"/>
  <c r="J124" i="4"/>
  <c r="E109" i="4"/>
  <c r="E120" i="4"/>
  <c r="E119" i="4"/>
  <c r="E118" i="4"/>
  <c r="E124" i="4"/>
  <c r="E110" i="4"/>
  <c r="E106" i="4"/>
  <c r="E102" i="4"/>
  <c r="E107" i="4"/>
  <c r="E105" i="4"/>
  <c r="E103" i="4"/>
  <c r="E108" i="4"/>
  <c r="E112" i="4"/>
  <c r="E104" i="4"/>
  <c r="E113" i="4"/>
  <c r="E117" i="4"/>
  <c r="E116" i="4"/>
  <c r="E115" i="4"/>
  <c r="E114" i="4"/>
  <c r="E111" i="4"/>
  <c r="K106" i="4"/>
  <c r="K124" i="4"/>
  <c r="K103" i="4"/>
  <c r="K102" i="4"/>
  <c r="K110" i="4"/>
  <c r="K114" i="4"/>
  <c r="K113" i="4"/>
  <c r="K112" i="4"/>
  <c r="K111" i="4"/>
  <c r="K108" i="4"/>
  <c r="K107" i="4"/>
  <c r="K118" i="4"/>
  <c r="K117" i="4"/>
  <c r="K116" i="4"/>
  <c r="K115" i="4"/>
  <c r="K104" i="4"/>
  <c r="K120" i="4"/>
  <c r="K119" i="4"/>
  <c r="K105" i="4"/>
  <c r="K109" i="4"/>
  <c r="U120" i="5"/>
  <c r="W120" i="5" s="1" a="1"/>
  <c r="W120" i="5" s="1"/>
  <c r="W119" i="5" a="1"/>
  <c r="W119" i="5" s="1"/>
  <c r="L118" i="4"/>
  <c r="L114" i="4"/>
  <c r="L110" i="4"/>
  <c r="L107" i="4"/>
  <c r="L106" i="4"/>
  <c r="L113" i="4"/>
  <c r="L112" i="4"/>
  <c r="L111" i="4"/>
  <c r="L117" i="4"/>
  <c r="L116" i="4"/>
  <c r="L115" i="4"/>
  <c r="L120" i="4"/>
  <c r="L119" i="4"/>
  <c r="L109" i="4"/>
  <c r="L108" i="4"/>
  <c r="L102" i="4"/>
  <c r="L124" i="4"/>
  <c r="L104" i="4"/>
  <c r="L105" i="4"/>
  <c r="L103" i="4"/>
  <c r="F102" i="4"/>
  <c r="F106" i="4"/>
  <c r="F118" i="4"/>
  <c r="F119" i="4"/>
  <c r="F120" i="4"/>
  <c r="J262" i="4"/>
  <c r="R264" i="4" s="1"/>
  <c r="R266" i="4" s="1"/>
  <c r="W109" i="5" a="1"/>
  <c r="W109" i="5" s="1"/>
  <c r="J262" i="5"/>
  <c r="R264" i="5" s="1"/>
  <c r="R266" i="5" s="1"/>
  <c r="N264" i="5"/>
  <c r="N266" i="5" s="1"/>
  <c r="E68" i="5"/>
  <c r="V105" i="5" s="1"/>
  <c r="D68" i="5"/>
  <c r="C69" i="5"/>
  <c r="W112" i="5" a="1"/>
  <c r="W112" i="5" s="1"/>
  <c r="W113" i="5" a="1"/>
  <c r="W113" i="5" s="1"/>
  <c r="W118" i="5" a="1"/>
  <c r="W118" i="5" s="1"/>
  <c r="W110" i="5" a="1"/>
  <c r="W110" i="5" s="1"/>
  <c r="N97" i="5" a="1"/>
  <c r="N97" i="5" s="1"/>
  <c r="P104" i="5" s="1"/>
  <c r="P106" i="5" s="1"/>
  <c r="D124" i="5"/>
  <c r="W115" i="5" a="1"/>
  <c r="W115" i="5" s="1"/>
  <c r="W106" i="5" a="1"/>
  <c r="W106" i="5" s="1"/>
  <c r="W105" i="5" a="1"/>
  <c r="W105" i="5" s="1"/>
  <c r="D103" i="5"/>
  <c r="W117" i="5" a="1"/>
  <c r="W117" i="5" s="1"/>
  <c r="W111" i="5" a="1"/>
  <c r="W111" i="5" s="1"/>
  <c r="W107" i="5" a="1"/>
  <c r="W107" i="5" s="1"/>
  <c r="W104" i="5" a="1"/>
  <c r="W104" i="5" s="1"/>
  <c r="W103" i="5" a="1"/>
  <c r="W103" i="5" s="1"/>
  <c r="Z103" i="5" s="1"/>
  <c r="W108" i="5" a="1"/>
  <c r="W108" i="5" s="1"/>
  <c r="D106" i="5"/>
  <c r="D104" i="5"/>
  <c r="W116" i="5" a="1"/>
  <c r="W116" i="5" s="1"/>
  <c r="D105" i="5"/>
  <c r="W102" i="5" a="1"/>
  <c r="W102" i="5" s="1"/>
  <c r="W114" i="5" a="1"/>
  <c r="W114" i="5" s="1"/>
  <c r="D102" i="5"/>
  <c r="E104" i="5"/>
  <c r="E106" i="5"/>
  <c r="E102" i="5"/>
  <c r="E103" i="5"/>
  <c r="E124" i="5"/>
  <c r="E105" i="5"/>
  <c r="F114" i="4"/>
  <c r="F25" i="4"/>
  <c r="F124" i="5"/>
  <c r="F103" i="5"/>
  <c r="F106" i="5"/>
  <c r="F102" i="5"/>
  <c r="F105" i="5"/>
  <c r="F104" i="5"/>
  <c r="C218" i="4"/>
  <c r="E217" i="4" a="1"/>
  <c r="E217" i="4" s="1"/>
  <c r="E67" i="4"/>
  <c r="AA104" i="4" s="1"/>
  <c r="K215" i="4"/>
  <c r="K217" i="4" s="1"/>
  <c r="H217" i="4"/>
  <c r="N266" i="4"/>
  <c r="F117" i="4"/>
  <c r="F113" i="4"/>
  <c r="F109" i="4"/>
  <c r="F112" i="4"/>
  <c r="F111" i="4"/>
  <c r="F110" i="4"/>
  <c r="F108" i="4"/>
  <c r="F105" i="4"/>
  <c r="F124" i="4"/>
  <c r="F115" i="4"/>
  <c r="F103" i="4"/>
  <c r="E139" i="4"/>
  <c r="AC104" i="4" s="1"/>
  <c r="C140" i="4"/>
  <c r="E257" i="4"/>
  <c r="G256" i="4"/>
  <c r="H264" i="4"/>
  <c r="C265" i="4"/>
  <c r="G264" i="4" a="1"/>
  <c r="G264" i="4" s="1"/>
  <c r="E264" i="4"/>
  <c r="C142" i="5"/>
  <c r="E141" i="5"/>
  <c r="X106" i="5" s="1"/>
  <c r="F116" i="4"/>
  <c r="D25" i="4"/>
  <c r="D132" i="4"/>
  <c r="D139" i="4" s="1"/>
  <c r="F107" i="4"/>
  <c r="L217" i="4"/>
  <c r="D264" i="4"/>
  <c r="F264" i="4" s="1"/>
  <c r="J264" i="4" s="1"/>
  <c r="C107" i="5"/>
  <c r="E107" i="5" s="1"/>
  <c r="M139" i="5"/>
  <c r="M141" i="5" s="1"/>
  <c r="X102" i="5"/>
  <c r="F263" i="4"/>
  <c r="J263" i="4" s="1"/>
  <c r="V102" i="5"/>
  <c r="H215" i="5"/>
  <c r="E258" i="5"/>
  <c r="G258" i="5" s="1"/>
  <c r="J254" i="5" s="1"/>
  <c r="G257" i="5"/>
  <c r="E140" i="5"/>
  <c r="X105" i="5" s="1"/>
  <c r="K217" i="5"/>
  <c r="E67" i="5"/>
  <c r="V104" i="5" s="1"/>
  <c r="Q266" i="5"/>
  <c r="C266" i="5"/>
  <c r="E132" i="5"/>
  <c r="D139" i="5" s="1"/>
  <c r="C217" i="5"/>
  <c r="L177" i="5"/>
  <c r="H216" i="5"/>
  <c r="D265" i="5"/>
  <c r="E265" i="5"/>
  <c r="H214" i="5"/>
  <c r="O215" i="5" s="1"/>
  <c r="O217" i="5" s="1"/>
  <c r="H264" i="5"/>
  <c r="J264" i="5" s="1"/>
  <c r="M106" i="2"/>
  <c r="D124" i="3"/>
  <c r="E124" i="3" s="1"/>
  <c r="O104" i="3" s="1"/>
  <c r="O106" i="3" s="1"/>
  <c r="D120" i="3"/>
  <c r="E120" i="3" s="1"/>
  <c r="W116" i="3"/>
  <c r="D112" i="3"/>
  <c r="E112" i="3" s="1"/>
  <c r="D119" i="3"/>
  <c r="E119" i="3" s="1"/>
  <c r="W115" i="3"/>
  <c r="D111" i="3"/>
  <c r="E111" i="3" s="1"/>
  <c r="W108" i="3"/>
  <c r="D105" i="3"/>
  <c r="E105" i="3" s="1"/>
  <c r="W102" i="3"/>
  <c r="D118" i="3"/>
  <c r="E118" i="3" s="1"/>
  <c r="W114" i="3"/>
  <c r="D110" i="3"/>
  <c r="E110" i="3" s="1"/>
  <c r="W105" i="3"/>
  <c r="W103" i="3"/>
  <c r="D117" i="3"/>
  <c r="E117" i="3" s="1"/>
  <c r="D109" i="3"/>
  <c r="E109" i="3" s="1"/>
  <c r="D104" i="3"/>
  <c r="E104" i="3" s="1"/>
  <c r="W118" i="3"/>
  <c r="W110" i="3"/>
  <c r="D113" i="3"/>
  <c r="E113" i="3" s="1"/>
  <c r="D102" i="3"/>
  <c r="E102" i="3" s="1"/>
  <c r="N104" i="3" s="1"/>
  <c r="N106" i="3" s="1"/>
  <c r="W119" i="3"/>
  <c r="D114" i="3"/>
  <c r="E114" i="3" s="1"/>
  <c r="W111" i="3"/>
  <c r="W107" i="3"/>
  <c r="W106" i="3"/>
  <c r="W104" i="3"/>
  <c r="D115" i="3"/>
  <c r="E115" i="3" s="1"/>
  <c r="N97" i="3"/>
  <c r="P104" i="3" s="1"/>
  <c r="P106" i="3" s="1"/>
  <c r="W120" i="3"/>
  <c r="W112" i="3"/>
  <c r="D116" i="3"/>
  <c r="E116" i="3" s="1"/>
  <c r="W113" i="3"/>
  <c r="D103" i="3"/>
  <c r="E103" i="3" s="1"/>
  <c r="W117" i="3"/>
  <c r="W109" i="3"/>
  <c r="D108" i="3"/>
  <c r="E108" i="3" s="1"/>
  <c r="D107" i="3"/>
  <c r="E107" i="3" s="1"/>
  <c r="D106" i="3"/>
  <c r="E106" i="3" s="1"/>
  <c r="N264" i="2"/>
  <c r="N266" i="2" s="1"/>
  <c r="J262" i="2"/>
  <c r="R264" i="2" s="1"/>
  <c r="R266" i="2" s="1"/>
  <c r="C145" i="3"/>
  <c r="D144" i="3"/>
  <c r="X109" i="3" s="1"/>
  <c r="V102" i="2"/>
  <c r="Z102" i="2" s="1"/>
  <c r="AE106" i="2" s="1"/>
  <c r="AE108" i="2" s="1"/>
  <c r="L67" i="2"/>
  <c r="L69" i="2" s="1"/>
  <c r="E266" i="2"/>
  <c r="D266" i="2"/>
  <c r="C267" i="2"/>
  <c r="J254" i="3"/>
  <c r="D138" i="3"/>
  <c r="X103" i="3" s="1"/>
  <c r="Z103" i="3" s="1"/>
  <c r="D137" i="3"/>
  <c r="D140" i="3"/>
  <c r="X105" i="3" s="1"/>
  <c r="D139" i="3"/>
  <c r="X104" i="3" s="1"/>
  <c r="D142" i="3"/>
  <c r="X107" i="3" s="1"/>
  <c r="AF106" i="2"/>
  <c r="K217" i="2"/>
  <c r="G258" i="2"/>
  <c r="J254" i="2" s="1"/>
  <c r="O217" i="2"/>
  <c r="E69" i="2"/>
  <c r="V106" i="2" s="1"/>
  <c r="Z106" i="2" s="1"/>
  <c r="D69" i="2"/>
  <c r="C70" i="2"/>
  <c r="P266" i="2"/>
  <c r="N264" i="3"/>
  <c r="N266" i="3" s="1"/>
  <c r="O266" i="3"/>
  <c r="D265" i="2"/>
  <c r="E67" i="3"/>
  <c r="V104" i="3" s="1"/>
  <c r="Z104" i="3" s="1"/>
  <c r="AF106" i="3"/>
  <c r="D143" i="3"/>
  <c r="X108" i="3" s="1"/>
  <c r="L217" i="3"/>
  <c r="E218" i="3"/>
  <c r="H218" i="3" s="1"/>
  <c r="Q266" i="3"/>
  <c r="G257" i="2"/>
  <c r="E265" i="2"/>
  <c r="O217" i="3"/>
  <c r="M217" i="3"/>
  <c r="D67" i="2"/>
  <c r="E67" i="2" s="1"/>
  <c r="V104" i="2" s="1"/>
  <c r="Z104" i="2" s="1"/>
  <c r="E68" i="3"/>
  <c r="V105" i="3" s="1"/>
  <c r="D141" i="3"/>
  <c r="X106" i="3" s="1"/>
  <c r="H219" i="3"/>
  <c r="C220" i="3"/>
  <c r="C69" i="3"/>
  <c r="D264" i="3"/>
  <c r="E264" i="3"/>
  <c r="G264" i="3"/>
  <c r="C265" i="3"/>
  <c r="G102" i="5" l="1"/>
  <c r="G106" i="5"/>
  <c r="G124" i="5"/>
  <c r="G105" i="5"/>
  <c r="G104" i="5"/>
  <c r="G103" i="5"/>
  <c r="Z104" i="5"/>
  <c r="C218" i="5"/>
  <c r="H217" i="5"/>
  <c r="D141" i="5"/>
  <c r="M115" i="4"/>
  <c r="M107" i="4"/>
  <c r="M116" i="4"/>
  <c r="M110" i="4"/>
  <c r="E266" i="5"/>
  <c r="H266" i="5"/>
  <c r="D266" i="5"/>
  <c r="C267" i="5"/>
  <c r="D142" i="5"/>
  <c r="E142" i="5"/>
  <c r="X107" i="5" s="1"/>
  <c r="C143" i="5"/>
  <c r="F107" i="5"/>
  <c r="M112" i="4"/>
  <c r="M105" i="4"/>
  <c r="M117" i="4"/>
  <c r="C71" i="4"/>
  <c r="D70" i="4"/>
  <c r="E70" i="4" s="1"/>
  <c r="AA107" i="4" s="1"/>
  <c r="G257" i="4"/>
  <c r="E258" i="4"/>
  <c r="G258" i="4" s="1"/>
  <c r="J254" i="4" s="1"/>
  <c r="M113" i="4"/>
  <c r="M109" i="4"/>
  <c r="M106" i="4"/>
  <c r="M114" i="4"/>
  <c r="D69" i="5"/>
  <c r="E69" i="5" s="1"/>
  <c r="V106" i="5" s="1"/>
  <c r="Z106" i="5" s="1"/>
  <c r="C70" i="5"/>
  <c r="M104" i="4"/>
  <c r="M124" i="4"/>
  <c r="S104" i="4" s="1"/>
  <c r="S106" i="4" s="1"/>
  <c r="D137" i="4"/>
  <c r="L139" i="4" s="1"/>
  <c r="L141" i="4" s="1"/>
  <c r="D138" i="4"/>
  <c r="C141" i="4"/>
  <c r="E140" i="4"/>
  <c r="AC105" i="4" s="1"/>
  <c r="AE105" i="4" s="1"/>
  <c r="D140" i="4"/>
  <c r="M111" i="4"/>
  <c r="M118" i="4"/>
  <c r="AE104" i="4"/>
  <c r="E218" i="4" a="1"/>
  <c r="E218" i="4" s="1"/>
  <c r="H218" i="4" s="1"/>
  <c r="C219" i="4"/>
  <c r="Z105" i="5"/>
  <c r="M119" i="4"/>
  <c r="D137" i="5"/>
  <c r="C108" i="5"/>
  <c r="F265" i="5"/>
  <c r="J265" i="5" s="1"/>
  <c r="D138" i="5"/>
  <c r="D140" i="5"/>
  <c r="Z102" i="5"/>
  <c r="AE106" i="5" s="1"/>
  <c r="AE108" i="5" s="1"/>
  <c r="H265" i="4"/>
  <c r="C266" i="4"/>
  <c r="E265" i="4"/>
  <c r="D265" i="4"/>
  <c r="F265" i="4" s="1"/>
  <c r="G265" i="4" a="1"/>
  <c r="G265" i="4" s="1"/>
  <c r="D107" i="5"/>
  <c r="M103" i="4"/>
  <c r="AK106" i="4" s="1"/>
  <c r="M120" i="4"/>
  <c r="D265" i="3"/>
  <c r="H265" i="3"/>
  <c r="C266" i="3"/>
  <c r="G265" i="3"/>
  <c r="E265" i="3"/>
  <c r="C221" i="3"/>
  <c r="E220" i="3"/>
  <c r="H220" i="3" s="1"/>
  <c r="C70" i="3"/>
  <c r="D69" i="3"/>
  <c r="E69" i="3" s="1"/>
  <c r="V106" i="3" s="1"/>
  <c r="Z106" i="3" s="1"/>
  <c r="X102" i="3"/>
  <c r="Z102" i="3" s="1"/>
  <c r="AE106" i="3" s="1"/>
  <c r="AE108" i="3" s="1"/>
  <c r="L139" i="3"/>
  <c r="L141" i="3" s="1"/>
  <c r="H262" i="3"/>
  <c r="H263" i="3"/>
  <c r="J263" i="3" s="1"/>
  <c r="D145" i="3"/>
  <c r="X110" i="3" s="1"/>
  <c r="C146" i="3"/>
  <c r="C71" i="2"/>
  <c r="D70" i="2"/>
  <c r="E70" i="2" s="1"/>
  <c r="V107" i="2" s="1"/>
  <c r="Z107" i="2" s="1"/>
  <c r="F264" i="3"/>
  <c r="J264" i="3" s="1"/>
  <c r="F265" i="2"/>
  <c r="J265" i="2" s="1"/>
  <c r="D267" i="2"/>
  <c r="E267" i="2"/>
  <c r="C268" i="2"/>
  <c r="H264" i="3"/>
  <c r="Z105" i="3"/>
  <c r="F266" i="2"/>
  <c r="J266" i="2" s="1"/>
  <c r="G107" i="5" l="1"/>
  <c r="F266" i="5"/>
  <c r="J266" i="5" s="1"/>
  <c r="C72" i="4"/>
  <c r="E71" i="4"/>
  <c r="AA108" i="4" s="1"/>
  <c r="D71" i="4"/>
  <c r="J265" i="4"/>
  <c r="C109" i="5"/>
  <c r="E108" i="5"/>
  <c r="F108" i="5"/>
  <c r="D108" i="5"/>
  <c r="E141" i="4"/>
  <c r="AC106" i="4" s="1"/>
  <c r="AE106" i="4" s="1"/>
  <c r="C142" i="4"/>
  <c r="D141" i="4"/>
  <c r="C220" i="4"/>
  <c r="E219" i="4" a="1"/>
  <c r="E219" i="4" s="1"/>
  <c r="H219" i="4" s="1"/>
  <c r="H267" i="5"/>
  <c r="E267" i="5"/>
  <c r="D267" i="5"/>
  <c r="F267" i="5" s="1"/>
  <c r="C268" i="5"/>
  <c r="L139" i="5"/>
  <c r="L141" i="5" s="1"/>
  <c r="AF106" i="5"/>
  <c r="AF108" i="5" s="1"/>
  <c r="D266" i="4"/>
  <c r="F266" i="4" s="1"/>
  <c r="H266" i="4"/>
  <c r="G266" i="4" a="1"/>
  <c r="G266" i="4" s="1"/>
  <c r="E266" i="4"/>
  <c r="C267" i="4"/>
  <c r="H218" i="5"/>
  <c r="C219" i="5"/>
  <c r="C71" i="5"/>
  <c r="D70" i="5"/>
  <c r="E70" i="5" s="1"/>
  <c r="V107" i="5" s="1"/>
  <c r="Z107" i="5" s="1"/>
  <c r="C144" i="5"/>
  <c r="D143" i="5"/>
  <c r="E143" i="5"/>
  <c r="X108" i="5" s="1"/>
  <c r="E221" i="3"/>
  <c r="H221" i="3" s="1"/>
  <c r="C222" i="3"/>
  <c r="E268" i="2"/>
  <c r="C269" i="2"/>
  <c r="D268" i="2"/>
  <c r="F268" i="2" s="1"/>
  <c r="J268" i="2" s="1"/>
  <c r="C147" i="3"/>
  <c r="D146" i="3"/>
  <c r="X111" i="3" s="1"/>
  <c r="D70" i="3"/>
  <c r="E70" i="3" s="1"/>
  <c r="V107" i="3" s="1"/>
  <c r="Z107" i="3" s="1"/>
  <c r="C71" i="3"/>
  <c r="F267" i="2"/>
  <c r="J267" i="2" s="1"/>
  <c r="P264" i="3"/>
  <c r="P266" i="3" s="1"/>
  <c r="J262" i="3"/>
  <c r="R264" i="3" s="1"/>
  <c r="R266" i="3" s="1"/>
  <c r="H266" i="3"/>
  <c r="C267" i="3"/>
  <c r="G266" i="3"/>
  <c r="E266" i="3"/>
  <c r="D266" i="3"/>
  <c r="F266" i="3" s="1"/>
  <c r="C72" i="2"/>
  <c r="E71" i="2"/>
  <c r="V108" i="2" s="1"/>
  <c r="Z108" i="2" s="1"/>
  <c r="D71" i="2"/>
  <c r="F265" i="3"/>
  <c r="J265" i="3" s="1"/>
  <c r="G108" i="5" l="1"/>
  <c r="C221" i="4"/>
  <c r="E220" i="4" a="1"/>
  <c r="E220" i="4" s="1"/>
  <c r="H220" i="4" s="1"/>
  <c r="C72" i="5"/>
  <c r="D71" i="5"/>
  <c r="E71" i="5" s="1"/>
  <c r="V108" i="5" s="1"/>
  <c r="Z108" i="5" s="1"/>
  <c r="J266" i="4"/>
  <c r="H219" i="5"/>
  <c r="C220" i="5"/>
  <c r="C269" i="5"/>
  <c r="H268" i="5"/>
  <c r="E268" i="5"/>
  <c r="D268" i="5"/>
  <c r="F268" i="5" s="1"/>
  <c r="C143" i="4"/>
  <c r="E142" i="4"/>
  <c r="AC107" i="4" s="1"/>
  <c r="AE107" i="4" s="1"/>
  <c r="D142" i="4"/>
  <c r="C110" i="5"/>
  <c r="E109" i="5"/>
  <c r="F109" i="5"/>
  <c r="D109" i="5"/>
  <c r="G109" i="5" s="1"/>
  <c r="G267" i="4" a="1"/>
  <c r="G267" i="4" s="1"/>
  <c r="E267" i="4"/>
  <c r="C268" i="4"/>
  <c r="H267" i="4"/>
  <c r="D267" i="4"/>
  <c r="J267" i="5"/>
  <c r="C145" i="5"/>
  <c r="E144" i="5"/>
  <c r="X109" i="5" s="1"/>
  <c r="D144" i="5"/>
  <c r="C73" i="4"/>
  <c r="D72" i="4"/>
  <c r="E72" i="4" s="1"/>
  <c r="AA109" i="4" s="1"/>
  <c r="D267" i="3"/>
  <c r="C268" i="3"/>
  <c r="H267" i="3"/>
  <c r="G267" i="3"/>
  <c r="E267" i="3"/>
  <c r="E269" i="2"/>
  <c r="D269" i="2"/>
  <c r="F269" i="2" s="1"/>
  <c r="J269" i="2" s="1"/>
  <c r="C270" i="2"/>
  <c r="C148" i="3"/>
  <c r="D147" i="3"/>
  <c r="X112" i="3" s="1"/>
  <c r="D72" i="2"/>
  <c r="E72" i="2" s="1"/>
  <c r="V109" i="2" s="1"/>
  <c r="Z109" i="2" s="1"/>
  <c r="C73" i="2"/>
  <c r="J266" i="3"/>
  <c r="C223" i="3"/>
  <c r="E222" i="3"/>
  <c r="H222" i="3" s="1"/>
  <c r="C72" i="3"/>
  <c r="D71" i="3"/>
  <c r="E71" i="3" s="1"/>
  <c r="V108" i="3" s="1"/>
  <c r="Z108" i="3" s="1"/>
  <c r="C221" i="5" l="1"/>
  <c r="H220" i="5"/>
  <c r="C111" i="5"/>
  <c r="E110" i="5"/>
  <c r="D110" i="5"/>
  <c r="F110" i="5"/>
  <c r="C146" i="5"/>
  <c r="D145" i="5"/>
  <c r="E145" i="5"/>
  <c r="X110" i="5" s="1"/>
  <c r="C144" i="4"/>
  <c r="D143" i="4"/>
  <c r="E143" i="4"/>
  <c r="AC108" i="4" s="1"/>
  <c r="AE108" i="4" s="1"/>
  <c r="J268" i="5"/>
  <c r="D73" i="4"/>
  <c r="E73" i="4" s="1"/>
  <c r="AA110" i="4" s="1"/>
  <c r="C74" i="4"/>
  <c r="G268" i="4" a="1"/>
  <c r="G268" i="4" s="1"/>
  <c r="E268" i="4"/>
  <c r="C269" i="4"/>
  <c r="H268" i="4"/>
  <c r="D268" i="4"/>
  <c r="F267" i="4"/>
  <c r="J267" i="4" s="1"/>
  <c r="C73" i="5"/>
  <c r="D72" i="5"/>
  <c r="E72" i="5" s="1"/>
  <c r="V109" i="5" s="1"/>
  <c r="Z109" i="5" s="1"/>
  <c r="E269" i="5"/>
  <c r="D269" i="5"/>
  <c r="C270" i="5"/>
  <c r="H269" i="5"/>
  <c r="E221" i="4" a="1"/>
  <c r="E221" i="4" s="1"/>
  <c r="H221" i="4" s="1"/>
  <c r="C222" i="4"/>
  <c r="E270" i="2"/>
  <c r="D270" i="2"/>
  <c r="F270" i="2" s="1"/>
  <c r="J270" i="2" s="1"/>
  <c r="C271" i="2"/>
  <c r="E223" i="3"/>
  <c r="H223" i="3" s="1"/>
  <c r="C224" i="3"/>
  <c r="C74" i="2"/>
  <c r="D73" i="2"/>
  <c r="E73" i="2" s="1"/>
  <c r="V110" i="2" s="1"/>
  <c r="Z110" i="2" s="1"/>
  <c r="E268" i="3"/>
  <c r="D268" i="3"/>
  <c r="F268" i="3" s="1"/>
  <c r="C269" i="3"/>
  <c r="H268" i="3"/>
  <c r="G268" i="3"/>
  <c r="C73" i="3"/>
  <c r="D72" i="3"/>
  <c r="E72" i="3" s="1"/>
  <c r="V109" i="3" s="1"/>
  <c r="Z109" i="3" s="1"/>
  <c r="C149" i="3"/>
  <c r="D148" i="3"/>
  <c r="X113" i="3" s="1"/>
  <c r="F267" i="3"/>
  <c r="J267" i="3" s="1"/>
  <c r="G110" i="5" l="1"/>
  <c r="F269" i="5"/>
  <c r="J269" i="5" s="1"/>
  <c r="G269" i="4" a="1"/>
  <c r="G269" i="4" s="1"/>
  <c r="E269" i="4"/>
  <c r="D269" i="4"/>
  <c r="F269" i="4" s="1"/>
  <c r="C270" i="4"/>
  <c r="H269" i="4"/>
  <c r="E144" i="4"/>
  <c r="AC109" i="4" s="1"/>
  <c r="AE109" i="4" s="1"/>
  <c r="D144" i="4"/>
  <c r="C145" i="4"/>
  <c r="E222" i="4" a="1"/>
  <c r="E222" i="4" s="1"/>
  <c r="H222" i="4" s="1"/>
  <c r="C223" i="4"/>
  <c r="C75" i="4"/>
  <c r="D74" i="4"/>
  <c r="E74" i="4" s="1"/>
  <c r="AA111" i="4" s="1"/>
  <c r="C112" i="5"/>
  <c r="F111" i="5"/>
  <c r="E111" i="5"/>
  <c r="D111" i="5"/>
  <c r="D73" i="5"/>
  <c r="E73" i="5" s="1"/>
  <c r="V110" i="5" s="1"/>
  <c r="Z110" i="5" s="1"/>
  <c r="C74" i="5"/>
  <c r="E146" i="5"/>
  <c r="X111" i="5" s="1"/>
  <c r="C147" i="5"/>
  <c r="D146" i="5"/>
  <c r="C222" i="5"/>
  <c r="H221" i="5"/>
  <c r="E270" i="5"/>
  <c r="C271" i="5"/>
  <c r="D270" i="5"/>
  <c r="H270" i="5"/>
  <c r="F268" i="4"/>
  <c r="J268" i="4" s="1"/>
  <c r="C75" i="2"/>
  <c r="D74" i="2"/>
  <c r="E74" i="2" s="1"/>
  <c r="V111" i="2" s="1"/>
  <c r="Z111" i="2" s="1"/>
  <c r="C225" i="3"/>
  <c r="E224" i="3"/>
  <c r="H224" i="3" s="1"/>
  <c r="E271" i="2"/>
  <c r="D271" i="2"/>
  <c r="F271" i="2" s="1"/>
  <c r="J271" i="2" s="1"/>
  <c r="C272" i="2"/>
  <c r="C74" i="3"/>
  <c r="D73" i="3"/>
  <c r="E73" i="3" s="1"/>
  <c r="V110" i="3" s="1"/>
  <c r="Z110" i="3" s="1"/>
  <c r="E269" i="3"/>
  <c r="D269" i="3"/>
  <c r="F269" i="3" s="1"/>
  <c r="C270" i="3"/>
  <c r="H269" i="3"/>
  <c r="G269" i="3"/>
  <c r="J268" i="3"/>
  <c r="D149" i="3"/>
  <c r="X114" i="3" s="1"/>
  <c r="C150" i="3"/>
  <c r="G111" i="5" l="1"/>
  <c r="G270" i="4" a="1"/>
  <c r="G270" i="4" s="1"/>
  <c r="E270" i="4"/>
  <c r="H270" i="4"/>
  <c r="D270" i="4"/>
  <c r="C271" i="4"/>
  <c r="C76" i="4"/>
  <c r="E75" i="4"/>
  <c r="AA112" i="4" s="1"/>
  <c r="D75" i="4"/>
  <c r="H222" i="5"/>
  <c r="C223" i="5"/>
  <c r="J269" i="4"/>
  <c r="E223" i="4" a="1"/>
  <c r="E223" i="4" s="1"/>
  <c r="H223" i="4" s="1"/>
  <c r="C224" i="4"/>
  <c r="E145" i="4"/>
  <c r="AC110" i="4" s="1"/>
  <c r="AE110" i="4" s="1"/>
  <c r="C146" i="4"/>
  <c r="D145" i="4"/>
  <c r="C272" i="5"/>
  <c r="D271" i="5"/>
  <c r="E271" i="5"/>
  <c r="H271" i="5"/>
  <c r="C113" i="5"/>
  <c r="E112" i="5"/>
  <c r="F112" i="5"/>
  <c r="D112" i="5"/>
  <c r="E147" i="5"/>
  <c r="X112" i="5" s="1"/>
  <c r="D147" i="5"/>
  <c r="C148" i="5"/>
  <c r="F270" i="5"/>
  <c r="J270" i="5" s="1"/>
  <c r="D74" i="5"/>
  <c r="E74" i="5" s="1"/>
  <c r="V111" i="5" s="1"/>
  <c r="Z111" i="5" s="1"/>
  <c r="C75" i="5"/>
  <c r="E272" i="2"/>
  <c r="D272" i="2"/>
  <c r="F272" i="2" s="1"/>
  <c r="J272" i="2" s="1"/>
  <c r="C273" i="2"/>
  <c r="G270" i="3"/>
  <c r="E270" i="3"/>
  <c r="D270" i="3"/>
  <c r="F270" i="3" s="1"/>
  <c r="C271" i="3"/>
  <c r="H270" i="3"/>
  <c r="J269" i="3"/>
  <c r="E225" i="3"/>
  <c r="H225" i="3" s="1"/>
  <c r="C226" i="3"/>
  <c r="C151" i="3"/>
  <c r="D150" i="3"/>
  <c r="X115" i="3" s="1"/>
  <c r="C75" i="3"/>
  <c r="D74" i="3"/>
  <c r="E74" i="3" s="1"/>
  <c r="V111" i="3" s="1"/>
  <c r="Z111" i="3" s="1"/>
  <c r="D75" i="2"/>
  <c r="E75" i="2"/>
  <c r="V112" i="2" s="1"/>
  <c r="Z112" i="2" s="1"/>
  <c r="C76" i="2"/>
  <c r="G112" i="5" l="1"/>
  <c r="G271" i="4" a="1"/>
  <c r="G271" i="4" s="1"/>
  <c r="E271" i="4"/>
  <c r="C272" i="4"/>
  <c r="H271" i="4"/>
  <c r="D271" i="4"/>
  <c r="F271" i="4" s="1"/>
  <c r="J271" i="4" s="1"/>
  <c r="F270" i="4"/>
  <c r="J270" i="4" s="1"/>
  <c r="C76" i="5"/>
  <c r="D75" i="5"/>
  <c r="E75" i="5" s="1"/>
  <c r="V112" i="5" s="1"/>
  <c r="Z112" i="5" s="1"/>
  <c r="F271" i="5"/>
  <c r="J271" i="5" s="1"/>
  <c r="C114" i="5"/>
  <c r="E113" i="5"/>
  <c r="D113" i="5"/>
  <c r="F113" i="5"/>
  <c r="C225" i="4"/>
  <c r="E224" i="4" a="1"/>
  <c r="E224" i="4" s="1"/>
  <c r="H224" i="4" s="1"/>
  <c r="C77" i="4"/>
  <c r="D76" i="4"/>
  <c r="E76" i="4" s="1"/>
  <c r="AA113" i="4" s="1"/>
  <c r="C273" i="5"/>
  <c r="D272" i="5"/>
  <c r="E272" i="5"/>
  <c r="H272" i="5"/>
  <c r="H223" i="5"/>
  <c r="C224" i="5"/>
  <c r="E148" i="5"/>
  <c r="X113" i="5" s="1"/>
  <c r="D148" i="5"/>
  <c r="C149" i="5"/>
  <c r="C147" i="4"/>
  <c r="E146" i="4"/>
  <c r="AC111" i="4" s="1"/>
  <c r="AE111" i="4" s="1"/>
  <c r="D146" i="4"/>
  <c r="H271" i="3"/>
  <c r="G271" i="3"/>
  <c r="E271" i="3"/>
  <c r="D271" i="3"/>
  <c r="F271" i="3" s="1"/>
  <c r="J271" i="3" s="1"/>
  <c r="C272" i="3"/>
  <c r="D75" i="3"/>
  <c r="E75" i="3" s="1"/>
  <c r="V112" i="3" s="1"/>
  <c r="Z112" i="3" s="1"/>
  <c r="C76" i="3"/>
  <c r="J270" i="3"/>
  <c r="C152" i="3"/>
  <c r="D151" i="3"/>
  <c r="X116" i="3" s="1"/>
  <c r="D76" i="2"/>
  <c r="C77" i="2"/>
  <c r="E76" i="2"/>
  <c r="V113" i="2" s="1"/>
  <c r="Z113" i="2" s="1"/>
  <c r="C227" i="3"/>
  <c r="E226" i="3"/>
  <c r="H226" i="3" s="1"/>
  <c r="E273" i="2"/>
  <c r="D273" i="2"/>
  <c r="F273" i="2" s="1"/>
  <c r="J273" i="2" s="1"/>
  <c r="C274" i="2"/>
  <c r="G113" i="5" l="1"/>
  <c r="C150" i="5"/>
  <c r="D149" i="5"/>
  <c r="E149" i="5"/>
  <c r="X114" i="5" s="1"/>
  <c r="F272" i="5"/>
  <c r="J272" i="5" s="1"/>
  <c r="H273" i="5"/>
  <c r="E273" i="5"/>
  <c r="D273" i="5"/>
  <c r="F273" i="5" s="1"/>
  <c r="C274" i="5"/>
  <c r="C77" i="5"/>
  <c r="D76" i="5"/>
  <c r="E76" i="5"/>
  <c r="V113" i="5" s="1"/>
  <c r="Z113" i="5" s="1"/>
  <c r="H224" i="5"/>
  <c r="C225" i="5"/>
  <c r="D77" i="4"/>
  <c r="C78" i="4"/>
  <c r="E77" i="4"/>
  <c r="AA114" i="4" s="1"/>
  <c r="C226" i="4"/>
  <c r="E225" i="4" a="1"/>
  <c r="E225" i="4" s="1"/>
  <c r="H225" i="4" s="1"/>
  <c r="C115" i="5"/>
  <c r="D114" i="5"/>
  <c r="E114" i="5"/>
  <c r="F114" i="5"/>
  <c r="G272" i="4" a="1"/>
  <c r="G272" i="4" s="1"/>
  <c r="E272" i="4"/>
  <c r="C273" i="4"/>
  <c r="H272" i="4"/>
  <c r="D272" i="4"/>
  <c r="F272" i="4" s="1"/>
  <c r="J272" i="4" s="1"/>
  <c r="E147" i="4"/>
  <c r="AC112" i="4" s="1"/>
  <c r="AE112" i="4" s="1"/>
  <c r="D147" i="4"/>
  <c r="C148" i="4"/>
  <c r="C77" i="3"/>
  <c r="D76" i="3"/>
  <c r="E76" i="3" s="1"/>
  <c r="V113" i="3" s="1"/>
  <c r="Z113" i="3" s="1"/>
  <c r="E227" i="3"/>
  <c r="H227" i="3" s="1"/>
  <c r="C228" i="3"/>
  <c r="D77" i="2"/>
  <c r="E77" i="2" s="1"/>
  <c r="V114" i="2" s="1"/>
  <c r="Z114" i="2" s="1"/>
  <c r="C78" i="2"/>
  <c r="H272" i="3"/>
  <c r="G272" i="3"/>
  <c r="E272" i="3"/>
  <c r="D272" i="3"/>
  <c r="F272" i="3" s="1"/>
  <c r="J272" i="3" s="1"/>
  <c r="C273" i="3"/>
  <c r="E274" i="2"/>
  <c r="D274" i="2"/>
  <c r="F274" i="2" s="1"/>
  <c r="J274" i="2" s="1"/>
  <c r="C275" i="2"/>
  <c r="C153" i="3"/>
  <c r="D152" i="3"/>
  <c r="X117" i="3" s="1"/>
  <c r="G114" i="5" l="1"/>
  <c r="C79" i="4"/>
  <c r="D78" i="4"/>
  <c r="E78" i="4" s="1"/>
  <c r="AA115" i="4" s="1"/>
  <c r="H274" i="5"/>
  <c r="E274" i="5"/>
  <c r="D274" i="5"/>
  <c r="F274" i="5" s="1"/>
  <c r="C275" i="5"/>
  <c r="C226" i="5"/>
  <c r="H225" i="5"/>
  <c r="J273" i="5"/>
  <c r="G273" i="4" a="1"/>
  <c r="G273" i="4" s="1"/>
  <c r="E273" i="4"/>
  <c r="D273" i="4"/>
  <c r="F273" i="4" s="1"/>
  <c r="J273" i="4" s="1"/>
  <c r="C274" i="4"/>
  <c r="H273" i="4"/>
  <c r="C116" i="5"/>
  <c r="E115" i="5"/>
  <c r="D115" i="5"/>
  <c r="F115" i="5"/>
  <c r="D148" i="4"/>
  <c r="C149" i="4"/>
  <c r="E148" i="4"/>
  <c r="AC113" i="4" s="1"/>
  <c r="AE113" i="4" s="1"/>
  <c r="E226" i="4" a="1"/>
  <c r="E226" i="4" s="1"/>
  <c r="H226" i="4" s="1"/>
  <c r="C227" i="4"/>
  <c r="D77" i="5"/>
  <c r="C78" i="5"/>
  <c r="E77" i="5"/>
  <c r="V114" i="5" s="1"/>
  <c r="Z114" i="5" s="1"/>
  <c r="D150" i="5"/>
  <c r="E150" i="5"/>
  <c r="X115" i="5" s="1"/>
  <c r="C151" i="5"/>
  <c r="D275" i="2"/>
  <c r="E275" i="2"/>
  <c r="C276" i="2"/>
  <c r="C79" i="2"/>
  <c r="D78" i="2"/>
  <c r="E78" i="2" s="1"/>
  <c r="V115" i="2" s="1"/>
  <c r="Z115" i="2" s="1"/>
  <c r="C274" i="3"/>
  <c r="H273" i="3"/>
  <c r="G273" i="3"/>
  <c r="E273" i="3"/>
  <c r="D273" i="3"/>
  <c r="F273" i="3" s="1"/>
  <c r="C229" i="3"/>
  <c r="E228" i="3"/>
  <c r="H228" i="3" s="1"/>
  <c r="D153" i="3"/>
  <c r="X118" i="3" s="1"/>
  <c r="C154" i="3"/>
  <c r="C78" i="3"/>
  <c r="E77" i="3"/>
  <c r="V114" i="3" s="1"/>
  <c r="Z114" i="3" s="1"/>
  <c r="D77" i="3"/>
  <c r="G115" i="5" l="1"/>
  <c r="H275" i="5"/>
  <c r="E275" i="5"/>
  <c r="D275" i="5"/>
  <c r="C276" i="5"/>
  <c r="E227" i="4" a="1"/>
  <c r="E227" i="4" s="1"/>
  <c r="H227" i="4" s="1"/>
  <c r="C228" i="4"/>
  <c r="G274" i="4" a="1"/>
  <c r="G274" i="4" s="1"/>
  <c r="E274" i="4"/>
  <c r="H274" i="4"/>
  <c r="D274" i="4"/>
  <c r="F274" i="4" s="1"/>
  <c r="C275" i="4"/>
  <c r="J274" i="5"/>
  <c r="C79" i="5"/>
  <c r="D78" i="5"/>
  <c r="E78" i="5" s="1"/>
  <c r="V115" i="5" s="1"/>
  <c r="Z115" i="5" s="1"/>
  <c r="C152" i="5"/>
  <c r="E151" i="5"/>
  <c r="X116" i="5" s="1"/>
  <c r="D151" i="5"/>
  <c r="C150" i="4"/>
  <c r="D149" i="4"/>
  <c r="E149" i="4"/>
  <c r="AC114" i="4" s="1"/>
  <c r="AE114" i="4" s="1"/>
  <c r="C117" i="5"/>
  <c r="F116" i="5"/>
  <c r="D116" i="5"/>
  <c r="E116" i="5"/>
  <c r="C227" i="5"/>
  <c r="H226" i="5"/>
  <c r="C80" i="4"/>
  <c r="D79" i="4"/>
  <c r="E79" i="4" s="1"/>
  <c r="AA116" i="4" s="1"/>
  <c r="E229" i="3"/>
  <c r="H229" i="3" s="1"/>
  <c r="C230" i="3"/>
  <c r="C80" i="2"/>
  <c r="D79" i="2"/>
  <c r="E79" i="2" s="1"/>
  <c r="V116" i="2" s="1"/>
  <c r="Z116" i="2" s="1"/>
  <c r="J273" i="3"/>
  <c r="D276" i="2"/>
  <c r="E276" i="2"/>
  <c r="C277" i="2"/>
  <c r="D78" i="3"/>
  <c r="E78" i="3" s="1"/>
  <c r="V115" i="3" s="1"/>
  <c r="Z115" i="3" s="1"/>
  <c r="C79" i="3"/>
  <c r="C155" i="3"/>
  <c r="D155" i="3" s="1"/>
  <c r="X120" i="3" s="1"/>
  <c r="D154" i="3"/>
  <c r="X119" i="3" s="1"/>
  <c r="C275" i="3"/>
  <c r="H274" i="3"/>
  <c r="G274" i="3"/>
  <c r="E274" i="3"/>
  <c r="D274" i="3"/>
  <c r="F274" i="3" s="1"/>
  <c r="F275" i="2"/>
  <c r="J275" i="2" s="1"/>
  <c r="G116" i="5" l="1"/>
  <c r="F275" i="5"/>
  <c r="J275" i="5" s="1"/>
  <c r="H227" i="5"/>
  <c r="C228" i="5"/>
  <c r="C80" i="5"/>
  <c r="D79" i="5"/>
  <c r="E79" i="5" s="1"/>
  <c r="V116" i="5" s="1"/>
  <c r="Z116" i="5" s="1"/>
  <c r="C229" i="4"/>
  <c r="E228" i="4" a="1"/>
  <c r="E228" i="4" s="1"/>
  <c r="H228" i="4" s="1"/>
  <c r="C151" i="4"/>
  <c r="E150" i="4"/>
  <c r="AC115" i="4" s="1"/>
  <c r="AE115" i="4" s="1"/>
  <c r="D150" i="4"/>
  <c r="G275" i="4" a="1"/>
  <c r="G275" i="4" s="1"/>
  <c r="E275" i="4"/>
  <c r="D275" i="4"/>
  <c r="F275" i="4" s="1"/>
  <c r="C276" i="4"/>
  <c r="H275" i="4"/>
  <c r="C277" i="5"/>
  <c r="H276" i="5"/>
  <c r="E276" i="5"/>
  <c r="D276" i="5"/>
  <c r="J274" i="4"/>
  <c r="C153" i="5"/>
  <c r="E152" i="5"/>
  <c r="X117" i="5" s="1"/>
  <c r="D152" i="5"/>
  <c r="C81" i="4"/>
  <c r="D80" i="4"/>
  <c r="E80" i="4" s="1"/>
  <c r="AA117" i="4" s="1"/>
  <c r="C118" i="5"/>
  <c r="D117" i="5"/>
  <c r="F117" i="5"/>
  <c r="E117" i="5"/>
  <c r="D275" i="3"/>
  <c r="F275" i="3" s="1"/>
  <c r="J275" i="3" s="1"/>
  <c r="C276" i="3"/>
  <c r="H275" i="3"/>
  <c r="G275" i="3"/>
  <c r="E275" i="3"/>
  <c r="F276" i="2"/>
  <c r="J276" i="2" s="1"/>
  <c r="J274" i="3"/>
  <c r="D79" i="3"/>
  <c r="E79" i="3" s="1"/>
  <c r="V116" i="3" s="1"/>
  <c r="Z116" i="3" s="1"/>
  <c r="C80" i="3"/>
  <c r="D80" i="2"/>
  <c r="E80" i="2"/>
  <c r="V117" i="2" s="1"/>
  <c r="Z117" i="2" s="1"/>
  <c r="C81" i="2"/>
  <c r="C231" i="3"/>
  <c r="E230" i="3"/>
  <c r="H230" i="3" s="1"/>
  <c r="D277" i="2"/>
  <c r="F277" i="2" s="1"/>
  <c r="J277" i="2" s="1"/>
  <c r="E277" i="2"/>
  <c r="C278" i="2"/>
  <c r="G117" i="5" l="1"/>
  <c r="F276" i="5"/>
  <c r="J276" i="5"/>
  <c r="C119" i="5"/>
  <c r="E118" i="5"/>
  <c r="F118" i="5"/>
  <c r="D118" i="5"/>
  <c r="G276" i="4" a="1"/>
  <c r="G276" i="4" s="1"/>
  <c r="E276" i="4"/>
  <c r="D276" i="4"/>
  <c r="F276" i="4" s="1"/>
  <c r="C277" i="4"/>
  <c r="H276" i="4"/>
  <c r="J275" i="4"/>
  <c r="C81" i="5"/>
  <c r="E80" i="5"/>
  <c r="V117" i="5" s="1"/>
  <c r="Z117" i="5" s="1"/>
  <c r="D80" i="5"/>
  <c r="C82" i="4"/>
  <c r="D81" i="4"/>
  <c r="E81" i="4" s="1"/>
  <c r="AA118" i="4" s="1"/>
  <c r="C230" i="4"/>
  <c r="E229" i="4" a="1"/>
  <c r="E229" i="4" s="1"/>
  <c r="H229" i="4" s="1"/>
  <c r="C229" i="5"/>
  <c r="H228" i="5"/>
  <c r="E277" i="5"/>
  <c r="D277" i="5"/>
  <c r="C278" i="5"/>
  <c r="H277" i="5"/>
  <c r="D153" i="5"/>
  <c r="C154" i="5"/>
  <c r="E153" i="5"/>
  <c r="X118" i="5" s="1"/>
  <c r="C152" i="4"/>
  <c r="E151" i="4"/>
  <c r="AC116" i="4" s="1"/>
  <c r="AE116" i="4" s="1"/>
  <c r="D151" i="4"/>
  <c r="C81" i="3"/>
  <c r="D80" i="3"/>
  <c r="E80" i="3" s="1"/>
  <c r="V117" i="3" s="1"/>
  <c r="Z117" i="3" s="1"/>
  <c r="C82" i="2"/>
  <c r="D81" i="2"/>
  <c r="E81" i="2" s="1"/>
  <c r="V118" i="2" s="1"/>
  <c r="Z118" i="2" s="1"/>
  <c r="E231" i="3"/>
  <c r="H231" i="3" s="1"/>
  <c r="C232" i="3"/>
  <c r="E232" i="3" s="1"/>
  <c r="H232" i="3" s="1"/>
  <c r="D278" i="2"/>
  <c r="E278" i="2"/>
  <c r="C279" i="2"/>
  <c r="E276" i="3"/>
  <c r="D276" i="3"/>
  <c r="F276" i="3" s="1"/>
  <c r="C277" i="3"/>
  <c r="H276" i="3"/>
  <c r="G276" i="3"/>
  <c r="G118" i="5" l="1"/>
  <c r="F277" i="5"/>
  <c r="J277" i="5" s="1"/>
  <c r="E278" i="5"/>
  <c r="C279" i="5"/>
  <c r="D278" i="5"/>
  <c r="F278" i="5" s="1"/>
  <c r="H278" i="5"/>
  <c r="G277" i="4" a="1"/>
  <c r="G277" i="4" s="1"/>
  <c r="E277" i="4"/>
  <c r="D277" i="4"/>
  <c r="H277" i="4"/>
  <c r="C278" i="4"/>
  <c r="D81" i="5"/>
  <c r="E81" i="5" s="1"/>
  <c r="V118" i="5" s="1"/>
  <c r="Z118" i="5" s="1"/>
  <c r="C82" i="5"/>
  <c r="E230" i="4" a="1"/>
  <c r="E230" i="4" s="1"/>
  <c r="H230" i="4" s="1"/>
  <c r="C231" i="4"/>
  <c r="J276" i="4"/>
  <c r="C153" i="4"/>
  <c r="E152" i="4"/>
  <c r="AC117" i="4" s="1"/>
  <c r="AE117" i="4" s="1"/>
  <c r="D152" i="4"/>
  <c r="C83" i="4"/>
  <c r="D82" i="4"/>
  <c r="E82" i="4" s="1"/>
  <c r="AA119" i="4" s="1"/>
  <c r="C120" i="5"/>
  <c r="F119" i="5"/>
  <c r="D119" i="5"/>
  <c r="E119" i="5"/>
  <c r="C155" i="5"/>
  <c r="E154" i="5"/>
  <c r="X119" i="5" s="1"/>
  <c r="D154" i="5"/>
  <c r="C230" i="5"/>
  <c r="H229" i="5"/>
  <c r="E277" i="3"/>
  <c r="D277" i="3"/>
  <c r="C278" i="3"/>
  <c r="H277" i="3"/>
  <c r="G277" i="3"/>
  <c r="C83" i="2"/>
  <c r="E82" i="2"/>
  <c r="V119" i="2" s="1"/>
  <c r="Z119" i="2" s="1"/>
  <c r="D82" i="2"/>
  <c r="J276" i="3"/>
  <c r="E279" i="2"/>
  <c r="C280" i="2"/>
  <c r="D279" i="2"/>
  <c r="F279" i="2" s="1"/>
  <c r="J279" i="2" s="1"/>
  <c r="F278" i="2"/>
  <c r="J278" i="2" s="1"/>
  <c r="C82" i="3"/>
  <c r="E81" i="3"/>
  <c r="V118" i="3" s="1"/>
  <c r="Z118" i="3" s="1"/>
  <c r="D81" i="3"/>
  <c r="G119" i="5" l="1"/>
  <c r="E155" i="5"/>
  <c r="X120" i="5" s="1"/>
  <c r="D155" i="5"/>
  <c r="C232" i="4"/>
  <c r="E232" i="4" s="1" a="1"/>
  <c r="E232" i="4" s="1"/>
  <c r="H232" i="4" s="1"/>
  <c r="E231" i="4" a="1"/>
  <c r="E231" i="4" s="1"/>
  <c r="H231" i="4" s="1"/>
  <c r="D83" i="4"/>
  <c r="E83" i="4"/>
  <c r="AA120" i="4" s="1"/>
  <c r="J278" i="5"/>
  <c r="C231" i="5"/>
  <c r="H230" i="5"/>
  <c r="G278" i="4" a="1"/>
  <c r="G278" i="4" s="1"/>
  <c r="E278" i="4"/>
  <c r="D278" i="4"/>
  <c r="F278" i="4" s="1"/>
  <c r="C279" i="4"/>
  <c r="H278" i="4"/>
  <c r="C280" i="5"/>
  <c r="D279" i="5"/>
  <c r="E279" i="5"/>
  <c r="H279" i="5"/>
  <c r="D82" i="5"/>
  <c r="E82" i="5"/>
  <c r="V119" i="5" s="1"/>
  <c r="Z119" i="5" s="1"/>
  <c r="C83" i="5"/>
  <c r="E153" i="4"/>
  <c r="AC118" i="4" s="1"/>
  <c r="AE118" i="4" s="1"/>
  <c r="C154" i="4"/>
  <c r="D153" i="4"/>
  <c r="F120" i="5"/>
  <c r="E120" i="5"/>
  <c r="D120" i="5"/>
  <c r="G120" i="5" s="1"/>
  <c r="F277" i="4"/>
  <c r="J277" i="4" s="1"/>
  <c r="G278" i="3"/>
  <c r="E278" i="3"/>
  <c r="D278" i="3"/>
  <c r="F278" i="3" s="1"/>
  <c r="C279" i="3"/>
  <c r="H278" i="3"/>
  <c r="F277" i="3"/>
  <c r="J277" i="3" s="1"/>
  <c r="D83" i="2"/>
  <c r="E83" i="2"/>
  <c r="V120" i="2" s="1"/>
  <c r="Z120" i="2" s="1"/>
  <c r="D82" i="3"/>
  <c r="E82" i="3" s="1"/>
  <c r="V119" i="3" s="1"/>
  <c r="Z119" i="3" s="1"/>
  <c r="C83" i="3"/>
  <c r="E280" i="2"/>
  <c r="D280" i="2"/>
  <c r="F280" i="2" s="1"/>
  <c r="J280" i="2" s="1"/>
  <c r="F279" i="5" l="1"/>
  <c r="J279" i="5" s="1"/>
  <c r="H231" i="5"/>
  <c r="C232" i="5"/>
  <c r="H232" i="5" s="1"/>
  <c r="D83" i="5"/>
  <c r="E83" i="5" s="1"/>
  <c r="V120" i="5" s="1"/>
  <c r="Z120" i="5" s="1"/>
  <c r="H280" i="5"/>
  <c r="E280" i="5"/>
  <c r="D280" i="5"/>
  <c r="J278" i="4"/>
  <c r="G279" i="4" a="1"/>
  <c r="G279" i="4" s="1"/>
  <c r="E279" i="4"/>
  <c r="D279" i="4"/>
  <c r="F279" i="4" s="1"/>
  <c r="C280" i="4"/>
  <c r="H279" i="4"/>
  <c r="C155" i="4"/>
  <c r="E154" i="4"/>
  <c r="AC119" i="4" s="1"/>
  <c r="AE119" i="4" s="1"/>
  <c r="D154" i="4"/>
  <c r="H279" i="3"/>
  <c r="G279" i="3"/>
  <c r="E279" i="3"/>
  <c r="D279" i="3"/>
  <c r="F279" i="3" s="1"/>
  <c r="C280" i="3"/>
  <c r="D83" i="3"/>
  <c r="E83" i="3" s="1"/>
  <c r="V120" i="3" s="1"/>
  <c r="Z120" i="3" s="1"/>
  <c r="J278" i="3"/>
  <c r="F280" i="5" l="1"/>
  <c r="J279" i="4"/>
  <c r="J280" i="5"/>
  <c r="D155" i="4"/>
  <c r="E155" i="4"/>
  <c r="AC120" i="4" s="1"/>
  <c r="AE120" i="4" s="1"/>
  <c r="G280" i="4" a="1"/>
  <c r="G280" i="4" s="1"/>
  <c r="E280" i="4"/>
  <c r="D280" i="4"/>
  <c r="F280" i="4" s="1"/>
  <c r="J280" i="4" s="1"/>
  <c r="H280" i="4"/>
  <c r="H280" i="3"/>
  <c r="G280" i="3"/>
  <c r="E280" i="3"/>
  <c r="D280" i="3"/>
  <c r="J279" i="3"/>
  <c r="F280" i="3" l="1"/>
  <c r="J280" i="3" s="1"/>
  <c r="N104" i="5"/>
  <c r="N106" i="5" s="1"/>
  <c r="AG106" i="5"/>
  <c r="O104" i="5"/>
  <c r="O10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<sst xmlns="http://schemas.openxmlformats.org/spreadsheetml/2006/main" count="1067" uniqueCount="161">
  <si>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</si>
  <si>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</si>
  <si>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</si>
  <si>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</si>
  <si>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</si>
  <si>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</si>
  <si>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</si>
  <si>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</si>
  <si>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</si>
  <si>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</si>
  <si>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</si>
  <si>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</si>
  <si>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</si>
  <si>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</si>
  <si>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</si>
  <si>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</si>
  <si>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</si>
  <si>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</si>
  <si>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</si>
  <si>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</si>
  <si>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</si>
  <si>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</si>
  <si>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</si>
  <si>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</si>
  <si>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</si>
  <si>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</si>
  <si>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</si>
  <si>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</si>
  <si>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</si>
  <si>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</si>
  <si>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</si>
  <si>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</si>
  <si>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t>EXPERIMENTAL DATA - H</t>
  </si>
  <si>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</si>
  <si>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</si>
  <si>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</si>
  <si>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</si>
  <si>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</si>
  <si>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</si>
  <si>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</si>
  <si>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</si>
  <si>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</si>
  <si>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</si>
  <si>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</si>
  <si>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</si>
  <si>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</si>
  <si>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</si>
  <si>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</si>
  <si>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</si>
  <si>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</si>
  <si>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</si>
  <si>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</si>
  <si>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</si>
  <si>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</si>
  <si>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</si>
  <si>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</si>
  <si>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</si>
  <si>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</si>
  <si>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</si>
  <si>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</si>
  <si>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</si>
  <si>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</si>
  <si>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</si>
  <si>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</si>
  <si>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</si>
  <si>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</si>
  <si>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</si>
  <si>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</si>
  <si>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</si>
  <si>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</si>
  <si>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</si>
  <si>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</si>
  <si>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</si>
  <si>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</si>
  <si>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</si>
  <si>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</si>
  <si>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</si>
  <si>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t>THEORETICAL DATA - H</t>
  </si>
  <si>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</si>
  <si>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</si>
  <si>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</si>
  <si>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</si>
  <si>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</si>
  <si>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</si>
  <si>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</si>
  <si>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</si>
  <si>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</si>
  <si>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</si>
  <si>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𝜐=0  P.F.</t>
  </si>
  <si>
    <t>TOTAL P.F</t>
  </si>
  <si>
    <t>Harmonic Freq.</t>
  </si>
  <si>
    <r>
      <t>[ cm</t>
    </r>
    <r>
      <rPr>
        <b/>
        <vertAlign val="superscript"/>
        <sz val="14"/>
        <color rgb="FFFF0000"/>
        <rFont val="Aptos Narrow (Body)"/>
      </rPr>
      <t>-1</t>
    </r>
    <r>
      <rPr>
        <b/>
        <sz val="14"/>
        <color rgb="FFFF0000"/>
        <rFont val="Aptos Narrow (Body)"/>
      </rPr>
      <t xml:space="preserve"> ]</t>
    </r>
  </si>
  <si>
    <t>[ Hz ]</t>
  </si>
  <si>
    <t>ZPE[kcal/mol]</t>
  </si>
  <si>
    <r>
      <t>Q</t>
    </r>
    <r>
      <rPr>
        <b/>
        <vertAlign val="subscript"/>
        <sz val="20"/>
        <color rgb="FFFF0000"/>
        <rFont val="Aptos Narrow (Body)"/>
      </rPr>
      <t>i,vib</t>
    </r>
    <r>
      <rPr>
        <b/>
        <vertAlign val="superscript"/>
        <sz val="20"/>
        <color rgb="FFFF0000"/>
        <rFont val="Aptos Narrow (Body)"/>
      </rPr>
      <t>𝜐=0</t>
    </r>
  </si>
  <si>
    <r>
      <t>Q</t>
    </r>
    <r>
      <rPr>
        <b/>
        <vertAlign val="subscript"/>
        <sz val="20"/>
        <color theme="1"/>
        <rFont val="Aptos Narrow (Body)"/>
      </rPr>
      <t>tot</t>
    </r>
  </si>
  <si>
    <t xml:space="preserve">                               i
T[K]</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</si>
  <si>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</si>
  <si>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</si>
  <si>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ROT</t>
    </r>
  </si>
  <si>
    <r>
      <rPr>
        <b/>
        <sz val="14"/>
        <color rgb="FFFF0000"/>
        <rFont val="Aptos Narrow (Body)"/>
      </rPr>
      <t>g</t>
    </r>
    <r>
      <rPr>
        <b/>
        <vertAlign val="subscript"/>
        <sz val="14"/>
        <color rgb="FFFF0000"/>
        <rFont val="Aptos Narrow (Body)"/>
      </rPr>
      <t>EL</t>
    </r>
  </si>
  <si>
    <r>
      <t>Q</t>
    </r>
    <r>
      <rPr>
        <b/>
        <vertAlign val="subscript"/>
        <sz val="14"/>
        <color rgb="FFFF0000"/>
        <rFont val="Aptos Narrow (Body)"/>
      </rPr>
      <t>TOT</t>
    </r>
  </si>
  <si>
    <r>
      <t>Q</t>
    </r>
    <r>
      <rPr>
        <b/>
        <vertAlign val="subscript"/>
        <sz val="14"/>
        <color rgb="FFFF0000"/>
        <rFont val="Aptos Narrow (Body)"/>
      </rPr>
      <t>vib</t>
    </r>
    <r>
      <rPr>
        <b/>
        <vertAlign val="superscript"/>
        <sz val="14"/>
        <color rgb="FFFF0000"/>
        <rFont val="Aptos Narrow (Body)"/>
      </rPr>
      <t>𝜐=0</t>
    </r>
  </si>
  <si>
    <r>
      <t>Q</t>
    </r>
    <r>
      <rPr>
        <b/>
        <vertAlign val="subscript"/>
        <sz val="14"/>
        <color rgb="FFFF0000"/>
        <rFont val="Aptos Narrow (Body)"/>
      </rPr>
      <t>vib</t>
    </r>
  </si>
  <si>
    <t>ZPE</t>
  </si>
  <si>
    <r>
      <t>x Q</t>
    </r>
    <r>
      <rPr>
        <b/>
        <vertAlign val="subscript"/>
        <sz val="14"/>
        <color rgb="FFFF0000"/>
        <rFont val="Aptos Narrow (Body)"/>
      </rPr>
      <t>vib</t>
    </r>
  </si>
  <si>
    <r>
      <t>x Q</t>
    </r>
    <r>
      <rPr>
        <b/>
        <vertAlign val="subscript"/>
        <sz val="14"/>
        <color rgb="FFFF0000"/>
        <rFont val="Aptos Narrow (Body)"/>
      </rPr>
      <t>vib</t>
    </r>
    <r>
      <rPr>
        <b/>
        <vertAlign val="superscript"/>
        <sz val="14"/>
        <color rgb="FFFF0000"/>
        <rFont val="Aptos Narrow (Body)"/>
      </rPr>
      <t>𝜐=0</t>
    </r>
  </si>
  <si>
    <r>
      <t>Q</t>
    </r>
    <r>
      <rPr>
        <b/>
        <vertAlign val="subscript"/>
        <sz val="20"/>
        <color rgb="FFFF0000"/>
        <rFont val="Aptos Narrow (Body)"/>
      </rPr>
      <t>i,vib</t>
    </r>
  </si>
  <si>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</si>
  <si>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</si>
  <si>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</si>
  <si>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</si>
  <si>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</si>
  <si>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</si>
  <si>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</si>
  <si>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</si>
  <si>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</si>
  <si>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</si>
  <si>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</si>
  <si>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</si>
  <si>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</si>
  <si>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</si>
  <si>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</si>
  <si>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</si>
  <si>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</si>
  <si>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</si>
  <si>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</si>
  <si>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</si>
  <si>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</si>
  <si>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</si>
  <si>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</si>
  <si>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</si>
  <si>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</si>
  <si>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</si>
  <si>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</si>
  <si>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</si>
  <si>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</si>
  <si>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r>
      <t>EXPERIMENTAL DATA - H</t>
    </r>
    <r>
      <rPr>
        <b/>
        <vertAlign val="subscript"/>
        <sz val="22"/>
        <color theme="1"/>
        <rFont val="Aptos Narrow (Body)"/>
      </rPr>
      <t>2</t>
    </r>
  </si>
  <si>
    <t>Rotational Temperature [ K ]</t>
  </si>
  <si>
    <r>
      <t>THEORETICAL DATA - CH</t>
    </r>
    <r>
      <rPr>
        <b/>
        <vertAlign val="subscript"/>
        <sz val="22"/>
        <color theme="1"/>
        <rFont val="Aptos Narrow (Body)"/>
      </rPr>
      <t>3</t>
    </r>
  </si>
  <si>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</si>
  <si>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</si>
  <si>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</si>
  <si>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</si>
  <si>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 xml:space="preserve"> and 𝜎=2</t>
    </r>
  </si>
  <si>
    <t>𝜎=2 and (1)</t>
  </si>
  <si>
    <t>Theoretical 𝜎</t>
  </si>
  <si>
    <r>
      <t>EXPERIMENTAL DATA - CH</t>
    </r>
    <r>
      <rPr>
        <b/>
        <vertAlign val="subscript"/>
        <sz val="22"/>
        <color theme="1"/>
        <rFont val="Aptos Narrow (Body)"/>
      </rPr>
      <t>4</t>
    </r>
  </si>
  <si>
    <r>
      <t>THEORETICAL DATA - CH</t>
    </r>
    <r>
      <rPr>
        <b/>
        <vertAlign val="subscript"/>
        <sz val="22"/>
        <color theme="1"/>
        <rFont val="Aptos Narrow (Body)"/>
      </rPr>
      <t>4</t>
    </r>
  </si>
  <si>
    <r>
      <t>Q</t>
    </r>
    <r>
      <rPr>
        <b/>
        <vertAlign val="subscript"/>
        <sz val="14"/>
        <color rgb="FFFF0000"/>
        <rFont val="Aptos Narrow (Body)"/>
      </rPr>
      <t>ROT</t>
    </r>
    <r>
      <rPr>
        <b/>
        <sz val="14"/>
        <color rgb="FFFF0000"/>
        <rFont val="Aptos Narrow"/>
        <family val="2"/>
        <scheme val="minor"/>
      </rPr>
      <t>(2)</t>
    </r>
  </si>
  <si>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</si>
  <si>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</si>
  <si>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𝜎=12 and (1)</t>
  </si>
  <si>
    <t>𝜎=3 and (2)</t>
  </si>
  <si>
    <r>
      <t>Q</t>
    </r>
    <r>
      <rPr>
        <b/>
        <vertAlign val="subscript"/>
        <sz val="20"/>
        <color rgb="FFFF0000"/>
        <rFont val="Aptos Narrow (Body)"/>
      </rPr>
      <t>i,vib</t>
    </r>
    <r>
      <rPr>
        <b/>
        <vertAlign val="superscript"/>
        <sz val="20"/>
        <color rgb="FFFF0000"/>
        <rFont val="Aptos Narrow (Body)"/>
      </rPr>
      <t>𝜐=0</t>
    </r>
    <r>
      <rPr>
        <b/>
        <sz val="20"/>
        <color rgb="FFFF0000"/>
        <rFont val="Aptos Narrow (Body)"/>
      </rPr>
      <t xml:space="preserve">	</t>
    </r>
  </si>
  <si>
    <t>x Qrot(1) - 298.15K</t>
  </si>
  <si>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</si>
  <si>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</si>
  <si>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𝜎=2 and (2)</t>
  </si>
  <si>
    <r>
      <t>THEORETICAL DATA - NH</t>
    </r>
    <r>
      <rPr>
        <b/>
        <vertAlign val="subscript"/>
        <sz val="22"/>
        <color theme="1"/>
        <rFont val="Aptos Narrow (Body)"/>
      </rPr>
      <t>2</t>
    </r>
  </si>
  <si>
    <r>
      <t>EXPERIMENTAL DATA - NH</t>
    </r>
    <r>
      <rPr>
        <b/>
        <vertAlign val="subscript"/>
        <sz val="22"/>
        <color theme="1"/>
        <rFont val="Aptos Narrow (Body)"/>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</si>
</sst>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48">
    <font>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sz val="14"/>
      <color rgb="FF000000"/>
      <name val="Aptos Narrow"/>
      <scheme val="minor"/>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b/>
      <vertAlign val="subscript"/>
      <sz val="14"/>
      <color theme="1"/>
      <name val="Aptos Narrow (Corpo)"/>
    </font>
    <font>
      <vertAlign val="superscript"/>
      <sz val="14"/>
      <color theme="1"/>
      <name val="Aptos Narrow (Body)"/>
    </font>
    <font>
      <b/>
      <sz val="22"/>
      <color theme="1"/>
      <name val="Aptos Narrow"/>
      <scheme val="minor"/>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vertAlign val="super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sz val="14"/>
      <color rgb="FFFF0000"/>
      <name val="Aptos Narrow"/>
      <family val="2"/>
      <scheme val="minor"/>
    </font>
    <font>
      <b/>
      <sz val="14"/>
      <color theme="1"/>
      <name val="Aptos Narrow (Body)"/>
    </font>
    <font>
      <b/>
      <vertAlign val="subscript"/>
      <sz val="22"/>
      <color theme="1"/>
      <name val="Aptos Narrow (Body)"/>
    </font>
    <font>
      <b/>
      <sz val="12"/>
      <name val="Aptos Narrow"/>
      <scheme val="minor"/>
    </font>
    <font>
      <sz val="14"/>
      <name val="Aptos Narrow"/>
      <scheme val="minor"/>
    </font>
  </fonts>
  <fills count="12">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4D93D9"/>
        <bgColor rgb="FF000000"/>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theme="9" tint="0.39997558519241921"/>
        <bgColor indexed="64"/>
      </patternFill>
    </fill>
    <fill>
      <patternFill patternType="solid">
        <fgColor theme="0"/>
        <bgColor indexed="64"/>
      </patternFill>
    </fill>
  </fills>
  <borders count="6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top/>
      <bottom style="medium">
        <color indexed="64"/>
      </bottom>
      <diagonal/>
    </border>
  </borders>
  <cellStyleXfs count="1">
    <xf numFmtId="0" fontId="0" fillId="0" borderId="0"/>
  </cellStyleXfs>
  <cellXfs count="407">
    <xf numFmtId="0" fontId="0" fillId="0" borderId="0" xfId="0"/>
    <xf numFmtId="0" fontId="1" fillId="0" borderId="0" xfId="0" applyFont="1"/>
    <xf numFmtId="0" fontId="2" fillId="0" borderId="0" xfId="0" applyFont="1"/>
    <xf numFmtId="0" fontId="3" fillId="2" borderId="1" xfId="0" applyFont="1" applyFill="1" applyBorder="1"/>
    <xf numFmtId="0" fontId="2" fillId="2" borderId="2" xfId="0" applyFont="1" applyFill="1" applyBorder="1"/>
    <xf numFmtId="0" fontId="3" fillId="3" borderId="3" xfId="0" applyFont="1" applyFill="1" applyBorder="1"/>
    <xf numFmtId="0" fontId="4" fillId="3" borderId="4" xfId="0" applyFont="1" applyFill="1" applyBorder="1"/>
    <xf numFmtId="0" fontId="1" fillId="3" borderId="5" xfId="0" applyFont="1" applyFill="1" applyBorder="1"/>
    <xf numFmtId="0" fontId="3" fillId="4" borderId="3" xfId="0" applyFont="1" applyFill="1" applyBorder="1"/>
    <xf numFmtId="0" fontId="5" fillId="4" borderId="4" xfId="0" applyFont="1" applyFill="1" applyBorder="1"/>
    <xf numFmtId="0" fontId="5" fillId="4" borderId="5" xfId="0" applyFont="1" applyFill="1" applyBorder="1"/>
    <xf numFmtId="0" fontId="3" fillId="5" borderId="3" xfId="0" applyFont="1" applyFill="1" applyBorder="1"/>
    <xf numFmtId="0" fontId="5" fillId="5" borderId="4" xfId="0" applyFont="1" applyFill="1" applyBorder="1"/>
    <xf numFmtId="0" fontId="5" fillId="5" borderId="5" xfId="0" applyFont="1" applyFill="1" applyBorder="1"/>
    <xf numFmtId="0" fontId="2" fillId="2" borderId="6" xfId="0" applyFont="1" applyFill="1" applyBorder="1"/>
    <xf numFmtId="11" fontId="9" fillId="2" borderId="7" xfId="0" applyNumberFormat="1" applyFont="1" applyFill="1" applyBorder="1"/>
    <xf numFmtId="0" fontId="10" fillId="3" borderId="8" xfId="0" applyFont="1" applyFill="1" applyBorder="1" applyAlignment="1">
      <alignment wrapText="1"/>
    </xf>
    <xf numFmtId="0" fontId="4" fillId="3" borderId="9" xfId="0" applyFont="1" applyFill="1" applyBorder="1"/>
    <xf numFmtId="0" fontId="11" fillId="3" borderId="9" xfId="0" applyFont="1" applyFill="1" applyBorder="1"/>
    <xf numFmtId="0" fontId="4" fillId="3" borderId="10" xfId="0" applyFont="1" applyFill="1" applyBorder="1"/>
    <xf numFmtId="0" fontId="10" fillId="4" borderId="8" xfId="0" applyFont="1" applyFill="1" applyBorder="1" applyAlignment="1">
      <alignment wrapText="1"/>
    </xf>
    <xf numFmtId="0" fontId="4" fillId="4" borderId="9" xfId="0" applyFont="1" applyFill="1" applyBorder="1"/>
    <xf numFmtId="0" fontId="4" fillId="4" borderId="10" xfId="0" applyFont="1" applyFill="1" applyBorder="1"/>
    <xf numFmtId="0" fontId="10" fillId="5" borderId="8" xfId="0" applyFont="1" applyFill="1" applyBorder="1" applyAlignment="1">
      <alignment wrapText="1"/>
    </xf>
    <xf numFmtId="0" fontId="4" fillId="5" borderId="9" xfId="0" applyFont="1" applyFill="1" applyBorder="1"/>
    <xf numFmtId="0" fontId="4" fillId="5" borderId="10" xfId="0" applyFont="1" applyFill="1" applyBorder="1"/>
    <xf numFmtId="0" fontId="2" fillId="2" borderId="11" xfId="0" applyFont="1" applyFill="1" applyBorder="1"/>
    <xf numFmtId="164" fontId="9" fillId="2" borderId="12" xfId="0" applyNumberFormat="1" applyFont="1" applyFill="1" applyBorder="1"/>
    <xf numFmtId="0" fontId="4" fillId="3" borderId="13" xfId="0" applyFont="1" applyFill="1" applyBorder="1"/>
    <xf numFmtId="0" fontId="13" fillId="6" borderId="9" xfId="0" applyFont="1" applyFill="1" applyBorder="1"/>
    <xf numFmtId="0" fontId="13" fillId="6" borderId="14" xfId="0" applyFont="1" applyFill="1" applyBorder="1"/>
    <xf numFmtId="0" fontId="13" fillId="6" borderId="12" xfId="0" applyFont="1" applyFill="1" applyBorder="1"/>
    <xf numFmtId="0" fontId="4" fillId="4" borderId="13" xfId="0" applyFont="1" applyFill="1" applyBorder="1"/>
    <xf numFmtId="0" fontId="5" fillId="4" borderId="9" xfId="0" applyFont="1" applyFill="1" applyBorder="1"/>
    <xf numFmtId="11" fontId="5" fillId="4" borderId="10" xfId="0" applyNumberFormat="1" applyFont="1" applyFill="1" applyBorder="1"/>
    <xf numFmtId="0" fontId="4" fillId="5" borderId="13" xfId="0" applyFont="1" applyFill="1" applyBorder="1"/>
    <xf numFmtId="0" fontId="5" fillId="5" borderId="9" xfId="0" applyFont="1" applyFill="1" applyBorder="1"/>
    <xf numFmtId="11" fontId="5" fillId="5" borderId="9" xfId="0" applyNumberFormat="1" applyFont="1" applyFill="1" applyBorder="1"/>
    <xf numFmtId="11" fontId="5" fillId="5" borderId="10" xfId="0" applyNumberFormat="1" applyFont="1" applyFill="1" applyBorder="1"/>
    <xf numFmtId="0" fontId="9" fillId="2" borderId="15" xfId="0" applyFont="1" applyFill="1" applyBorder="1"/>
    <xf numFmtId="11" fontId="19" fillId="2" borderId="16" xfId="0" applyNumberFormat="1" applyFont="1" applyFill="1" applyBorder="1"/>
    <xf numFmtId="0" fontId="13" fillId="6" borderId="17" xfId="0" applyFont="1" applyFill="1" applyBorder="1"/>
    <xf numFmtId="0" fontId="13" fillId="6" borderId="18" xfId="0" applyFont="1" applyFill="1" applyBorder="1"/>
    <xf numFmtId="11" fontId="13" fillId="6" borderId="18" xfId="0" applyNumberFormat="1" applyFont="1" applyFill="1" applyBorder="1"/>
    <xf numFmtId="0" fontId="13" fillId="6" borderId="7" xfId="0" applyFont="1" applyFill="1" applyBorder="1"/>
    <xf numFmtId="165" fontId="5" fillId="4" borderId="9" xfId="0" applyNumberFormat="1" applyFont="1" applyFill="1" applyBorder="1"/>
    <xf numFmtId="11" fontId="19" fillId="2" borderId="12" xfId="0" applyNumberFormat="1" applyFont="1" applyFill="1" applyBorder="1"/>
    <xf numFmtId="0" fontId="4" fillId="4" borderId="19" xfId="0" applyFont="1" applyFill="1" applyBorder="1"/>
    <xf numFmtId="11" fontId="5" fillId="4" borderId="20" xfId="0" applyNumberFormat="1" applyFont="1" applyFill="1" applyBorder="1"/>
    <xf numFmtId="0" fontId="5" fillId="4" borderId="21" xfId="0" applyFont="1" applyFill="1" applyBorder="1"/>
    <xf numFmtId="0" fontId="4" fillId="5" borderId="19" xfId="0" applyFont="1" applyFill="1" applyBorder="1"/>
    <xf numFmtId="11" fontId="5" fillId="5" borderId="20" xfId="0" applyNumberFormat="1" applyFont="1" applyFill="1" applyBorder="1"/>
    <xf numFmtId="0" fontId="5" fillId="5" borderId="21" xfId="0" applyFont="1" applyFill="1" applyBorder="1"/>
    <xf numFmtId="0" fontId="2" fillId="2" borderId="15" xfId="0" applyFont="1" applyFill="1" applyBorder="1"/>
    <xf numFmtId="11" fontId="5" fillId="2" borderId="16" xfId="0" applyNumberFormat="1" applyFont="1" applyFill="1" applyBorder="1"/>
    <xf numFmtId="11" fontId="5" fillId="2" borderId="12" xfId="0" applyNumberFormat="1" applyFont="1" applyFill="1" applyBorder="1"/>
    <xf numFmtId="0" fontId="11" fillId="3" borderId="13" xfId="0" applyFont="1" applyFill="1" applyBorder="1"/>
    <xf numFmtId="0" fontId="5" fillId="2" borderId="12" xfId="0" applyFont="1" applyFill="1" applyBorder="1" applyAlignment="1">
      <alignment horizontal="right" vertical="center"/>
    </xf>
    <xf numFmtId="11" fontId="5" fillId="2" borderId="12" xfId="0" applyNumberFormat="1" applyFont="1" applyFill="1" applyBorder="1" applyAlignment="1">
      <alignment horizontal="right" vertical="center"/>
    </xf>
    <xf numFmtId="0" fontId="4" fillId="3" borderId="19" xfId="0" applyFont="1" applyFill="1" applyBorder="1"/>
    <xf numFmtId="0" fontId="13" fillId="6" borderId="22" xfId="0" applyFont="1" applyFill="1" applyBorder="1"/>
    <xf numFmtId="0" fontId="13" fillId="6" borderId="23" xfId="0" applyFont="1" applyFill="1" applyBorder="1"/>
    <xf numFmtId="0" fontId="13" fillId="6" borderId="24" xfId="0" applyFont="1" applyFill="1" applyBorder="1"/>
    <xf numFmtId="0" fontId="5" fillId="2" borderId="16" xfId="0" applyFont="1" applyFill="1" applyBorder="1" applyAlignment="1">
      <alignment horizontal="right" vertical="center"/>
    </xf>
    <xf numFmtId="11" fontId="5" fillId="2" borderId="7" xfId="0" applyNumberFormat="1" applyFont="1" applyFill="1" applyBorder="1" applyAlignment="1">
      <alignment horizontal="right"/>
    </xf>
    <xf numFmtId="0" fontId="22" fillId="0" borderId="25" xfId="0" applyFont="1" applyBorder="1" applyAlignment="1">
      <alignment horizontal="center"/>
    </xf>
    <xf numFmtId="0" fontId="23" fillId="0" borderId="0" xfId="0" applyFont="1"/>
    <xf numFmtId="0" fontId="5" fillId="0" borderId="0" xfId="0" applyFont="1"/>
    <xf numFmtId="0" fontId="23" fillId="0" borderId="1" xfId="0" applyFont="1" applyBorder="1"/>
    <xf numFmtId="0" fontId="5" fillId="0" borderId="26" xfId="0" applyFont="1" applyBorder="1"/>
    <xf numFmtId="0" fontId="5" fillId="0" borderId="2" xfId="0" applyFont="1" applyBorder="1"/>
    <xf numFmtId="0" fontId="24" fillId="0" borderId="1" xfId="0" applyFont="1" applyBorder="1"/>
    <xf numFmtId="0" fontId="5" fillId="0" borderId="27" xfId="0" applyFont="1" applyBorder="1" applyAlignment="1">
      <alignment horizontal="center"/>
    </xf>
    <xf numFmtId="0" fontId="0" fillId="7" borderId="27" xfId="0" applyFill="1" applyBorder="1"/>
    <xf numFmtId="0" fontId="4" fillId="0" borderId="28" xfId="0" applyFont="1" applyBorder="1" applyAlignment="1">
      <alignment horizontal="center"/>
    </xf>
    <xf numFmtId="0" fontId="4" fillId="0" borderId="29" xfId="0" applyFont="1" applyBorder="1" applyAlignment="1">
      <alignment horizontal="center"/>
    </xf>
    <xf numFmtId="0" fontId="4" fillId="0" borderId="24" xfId="0" applyFont="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32" xfId="0" applyFont="1" applyBorder="1" applyAlignment="1">
      <alignment horizontal="center"/>
    </xf>
    <xf numFmtId="0" fontId="4" fillId="0" borderId="33" xfId="0" applyFont="1" applyBorder="1" applyAlignment="1">
      <alignment horizontal="center"/>
    </xf>
    <xf numFmtId="0" fontId="5" fillId="7" borderId="34" xfId="0" applyFont="1" applyFill="1" applyBorder="1"/>
    <xf numFmtId="0" fontId="25" fillId="0" borderId="35" xfId="0" applyFont="1" applyBorder="1" applyAlignment="1">
      <alignment horizontal="center" vertical="top"/>
    </xf>
    <xf numFmtId="0" fontId="25" fillId="0" borderId="36" xfId="0" applyFont="1" applyBorder="1" applyAlignment="1">
      <alignment horizontal="center" vertical="top"/>
    </xf>
    <xf numFmtId="0" fontId="25" fillId="0" borderId="37" xfId="0" applyFont="1" applyBorder="1" applyAlignment="1">
      <alignment horizontal="center" vertical="top"/>
    </xf>
    <xf numFmtId="0" fontId="27" fillId="0" borderId="34" xfId="0" applyFont="1" applyBorder="1"/>
    <xf numFmtId="0" fontId="5" fillId="8" borderId="38" xfId="0" applyFont="1" applyFill="1" applyBorder="1"/>
    <xf numFmtId="0" fontId="5" fillId="8" borderId="39" xfId="0" applyFont="1" applyFill="1" applyBorder="1"/>
    <xf numFmtId="0" fontId="5" fillId="8" borderId="40" xfId="0" applyFont="1" applyFill="1" applyBorder="1"/>
    <xf numFmtId="0" fontId="2" fillId="8" borderId="30" xfId="0" applyFont="1" applyFill="1" applyBorder="1"/>
    <xf numFmtId="0" fontId="2" fillId="8" borderId="31" xfId="0" applyFont="1" applyFill="1" applyBorder="1"/>
    <xf numFmtId="0" fontId="2" fillId="8" borderId="32" xfId="0" applyFont="1" applyFill="1" applyBorder="1"/>
    <xf numFmtId="11" fontId="5" fillId="8" borderId="33" xfId="0" applyNumberFormat="1" applyFont="1" applyFill="1" applyBorder="1" applyAlignment="1">
      <alignment horizontal="center"/>
    </xf>
    <xf numFmtId="0" fontId="25" fillId="0" borderId="41" xfId="0" applyFont="1" applyBorder="1" applyAlignment="1">
      <alignment horizontal="center" vertical="top"/>
    </xf>
    <xf numFmtId="0" fontId="5" fillId="8" borderId="14" xfId="0" applyFont="1" applyFill="1" applyBorder="1"/>
    <xf numFmtId="0" fontId="5" fillId="8" borderId="9" xfId="0" applyFont="1" applyFill="1" applyBorder="1"/>
    <xf numFmtId="0" fontId="5" fillId="8" borderId="10" xfId="0" applyFont="1" applyFill="1" applyBorder="1"/>
    <xf numFmtId="0" fontId="27" fillId="0" borderId="15" xfId="0" applyFont="1" applyBorder="1"/>
    <xf numFmtId="11" fontId="5" fillId="8" borderId="11" xfId="0" applyNumberFormat="1" applyFont="1" applyFill="1" applyBorder="1"/>
    <xf numFmtId="11" fontId="5" fillId="8" borderId="9" xfId="0" applyNumberFormat="1" applyFont="1" applyFill="1" applyBorder="1"/>
    <xf numFmtId="11" fontId="5" fillId="8" borderId="14" xfId="0" applyNumberFormat="1" applyFont="1" applyFill="1" applyBorder="1"/>
    <xf numFmtId="0" fontId="25" fillId="0" borderId="42" xfId="0" applyFont="1" applyBorder="1" applyAlignment="1">
      <alignment horizontal="center" vertical="top"/>
    </xf>
    <xf numFmtId="0" fontId="27" fillId="0" borderId="28" xfId="0" applyFont="1" applyBorder="1"/>
    <xf numFmtId="11" fontId="5" fillId="8" borderId="19" xfId="0" applyNumberFormat="1" applyFont="1" applyFill="1" applyBorder="1"/>
    <xf numFmtId="11" fontId="5" fillId="8" borderId="20" xfId="0" applyNumberFormat="1" applyFont="1" applyFill="1" applyBorder="1"/>
    <xf numFmtId="11" fontId="5" fillId="8" borderId="21" xfId="0" applyNumberFormat="1" applyFont="1" applyFill="1" applyBorder="1"/>
    <xf numFmtId="0" fontId="25" fillId="0" borderId="43" xfId="0" applyFont="1" applyBorder="1" applyAlignment="1">
      <alignment horizontal="center" vertical="top"/>
    </xf>
    <xf numFmtId="0" fontId="5" fillId="8" borderId="44" xfId="0" applyFont="1" applyFill="1" applyBorder="1"/>
    <xf numFmtId="0" fontId="5" fillId="8" borderId="20" xfId="0" applyFont="1" applyFill="1" applyBorder="1"/>
    <xf numFmtId="0" fontId="5" fillId="8" borderId="21" xfId="0" applyFont="1" applyFill="1" applyBorder="1"/>
    <xf numFmtId="0" fontId="4" fillId="0" borderId="1" xfId="0" applyFont="1" applyBorder="1" applyAlignment="1">
      <alignment horizontal="center"/>
    </xf>
    <xf numFmtId="0" fontId="4" fillId="0" borderId="26" xfId="0" applyFont="1" applyBorder="1" applyAlignment="1">
      <alignment horizontal="center"/>
    </xf>
    <xf numFmtId="0" fontId="4" fillId="0" borderId="2" xfId="0" applyFont="1" applyBorder="1" applyAlignment="1">
      <alignment horizontal="center"/>
    </xf>
    <xf numFmtId="0" fontId="5" fillId="8" borderId="30" xfId="0" applyFont="1" applyFill="1" applyBorder="1"/>
    <xf numFmtId="0" fontId="2" fillId="8" borderId="33" xfId="0" applyFont="1" applyFill="1" applyBorder="1"/>
    <xf numFmtId="0" fontId="5" fillId="8" borderId="30" xfId="0" applyFont="1" applyFill="1" applyBorder="1" applyAlignment="1">
      <alignment horizontal="center"/>
    </xf>
    <xf numFmtId="0" fontId="5" fillId="8" borderId="31" xfId="0" applyFont="1" applyFill="1" applyBorder="1" applyAlignment="1">
      <alignment horizontal="center"/>
    </xf>
    <xf numFmtId="0" fontId="29" fillId="0" borderId="1" xfId="0" applyFont="1" applyBorder="1" applyAlignment="1">
      <alignment horizontal="left" vertical="top"/>
    </xf>
    <xf numFmtId="0" fontId="0" fillId="0" borderId="26" xfId="0" applyBorder="1"/>
    <xf numFmtId="0" fontId="0" fillId="0" borderId="2" xfId="0" applyBorder="1"/>
    <xf numFmtId="0" fontId="5" fillId="7" borderId="27" xfId="0" applyFont="1" applyFill="1" applyBorder="1"/>
    <xf numFmtId="0" fontId="25" fillId="0" borderId="30" xfId="0" applyFont="1" applyBorder="1" applyAlignment="1">
      <alignment horizontal="center" vertical="top"/>
    </xf>
    <xf numFmtId="0" fontId="25" fillId="0" borderId="31" xfId="0" applyFont="1" applyBorder="1" applyAlignment="1">
      <alignment horizontal="center" vertical="top"/>
    </xf>
    <xf numFmtId="0" fontId="25" fillId="0" borderId="33" xfId="0" applyFont="1" applyBorder="1" applyAlignment="1">
      <alignment horizontal="center" vertical="top"/>
    </xf>
    <xf numFmtId="0" fontId="4" fillId="0" borderId="0" xfId="0" applyFont="1" applyAlignment="1">
      <alignment horizontal="center"/>
    </xf>
    <xf numFmtId="0" fontId="5" fillId="8" borderId="18" xfId="0" applyFont="1" applyFill="1" applyBorder="1"/>
    <xf numFmtId="0" fontId="5" fillId="8" borderId="17" xfId="0" applyFont="1" applyFill="1" applyBorder="1"/>
    <xf numFmtId="0" fontId="5" fillId="0" borderId="30" xfId="0" applyFont="1" applyBorder="1" applyAlignment="1">
      <alignment horizontal="center"/>
    </xf>
    <xf numFmtId="0" fontId="5" fillId="0" borderId="31" xfId="0" applyFont="1" applyBorder="1" applyAlignment="1">
      <alignment horizontal="center"/>
    </xf>
    <xf numFmtId="0" fontId="4" fillId="0" borderId="41" xfId="0" applyFont="1" applyBorder="1"/>
    <xf numFmtId="0" fontId="5" fillId="0" borderId="27" xfId="0" applyFont="1" applyBorder="1"/>
    <xf numFmtId="0" fontId="4" fillId="0" borderId="43" xfId="0" applyFont="1" applyBorder="1"/>
    <xf numFmtId="0" fontId="5" fillId="8" borderId="27" xfId="0" applyFont="1" applyFill="1" applyBorder="1"/>
    <xf numFmtId="0" fontId="25" fillId="0" borderId="0" xfId="0" applyFont="1" applyAlignment="1">
      <alignment horizontal="center" vertical="top"/>
    </xf>
    <xf numFmtId="0" fontId="23" fillId="0" borderId="30" xfId="0" applyFont="1" applyBorder="1" applyAlignment="1">
      <alignment horizontal="center" wrapText="1"/>
    </xf>
    <xf numFmtId="0" fontId="23" fillId="0" borderId="33" xfId="0" applyFont="1" applyBorder="1" applyAlignment="1">
      <alignment horizontal="center" wrapText="1"/>
    </xf>
    <xf numFmtId="0" fontId="23" fillId="0" borderId="37" xfId="0" applyFont="1" applyBorder="1" applyAlignment="1">
      <alignment horizontal="center" wrapText="1"/>
    </xf>
    <xf numFmtId="0" fontId="23" fillId="0" borderId="27" xfId="0" applyFont="1" applyBorder="1" applyAlignment="1">
      <alignment horizontal="center" vertical="center" wrapText="1"/>
    </xf>
    <xf numFmtId="0" fontId="30" fillId="0" borderId="27" xfId="0" applyFont="1" applyBorder="1" applyAlignment="1">
      <alignment horizontal="center"/>
    </xf>
    <xf numFmtId="0" fontId="5" fillId="8" borderId="2" xfId="0" applyFont="1" applyFill="1" applyBorder="1" applyAlignment="1">
      <alignment horizontal="center"/>
    </xf>
    <xf numFmtId="0" fontId="30" fillId="0" borderId="0" xfId="0" applyFont="1" applyAlignment="1">
      <alignment horizontal="center"/>
    </xf>
    <xf numFmtId="11" fontId="5" fillId="0" borderId="0" xfId="0" applyNumberFormat="1" applyFont="1"/>
    <xf numFmtId="0" fontId="29" fillId="0" borderId="0" xfId="0" applyFont="1"/>
    <xf numFmtId="0" fontId="30" fillId="0" borderId="30" xfId="0" applyFont="1" applyBorder="1" applyAlignment="1">
      <alignment horizontal="center"/>
    </xf>
    <xf numFmtId="0" fontId="30" fillId="0" borderId="33" xfId="0" applyFont="1" applyBorder="1" applyAlignment="1">
      <alignment horizontal="center"/>
    </xf>
    <xf numFmtId="0" fontId="31" fillId="8" borderId="45" xfId="0" applyFont="1" applyFill="1" applyBorder="1" applyAlignment="1">
      <alignment horizontal="center" vertical="center"/>
    </xf>
    <xf numFmtId="0" fontId="31" fillId="8" borderId="46" xfId="0" applyFont="1" applyFill="1" applyBorder="1" applyAlignment="1">
      <alignment horizontal="center" vertical="center"/>
    </xf>
    <xf numFmtId="0" fontId="31" fillId="0" borderId="0" xfId="0" applyFont="1" applyAlignment="1">
      <alignment horizontal="center" vertical="center"/>
    </xf>
    <xf numFmtId="0" fontId="32" fillId="9" borderId="0" xfId="0" applyFont="1" applyFill="1"/>
    <xf numFmtId="0" fontId="33" fillId="9" borderId="0" xfId="0" applyFont="1" applyFill="1"/>
    <xf numFmtId="0" fontId="23" fillId="0" borderId="47" xfId="0" applyFont="1" applyBorder="1" applyAlignment="1">
      <alignment horizontal="center" vertical="center"/>
    </xf>
    <xf numFmtId="0" fontId="24" fillId="0" borderId="47" xfId="0" applyFont="1" applyBorder="1" applyAlignment="1">
      <alignment horizontal="center" vertical="center"/>
    </xf>
    <xf numFmtId="0" fontId="36" fillId="9" borderId="0" xfId="0" applyFont="1" applyFill="1"/>
    <xf numFmtId="0" fontId="5" fillId="9" borderId="0" xfId="0" applyFont="1" applyFill="1"/>
    <xf numFmtId="0" fontId="4" fillId="0" borderId="3" xfId="0" applyFont="1" applyBorder="1" applyAlignment="1">
      <alignment horizontal="center"/>
    </xf>
    <xf numFmtId="11" fontId="5" fillId="0" borderId="3" xfId="0" applyNumberFormat="1" applyFont="1" applyBorder="1"/>
    <xf numFmtId="11" fontId="5" fillId="0" borderId="41" xfId="0" applyNumberFormat="1" applyFont="1" applyBorder="1"/>
    <xf numFmtId="0" fontId="4" fillId="0" borderId="11" xfId="0" applyFont="1" applyBorder="1" applyAlignment="1">
      <alignment horizontal="center"/>
    </xf>
    <xf numFmtId="11" fontId="5" fillId="0" borderId="11" xfId="0" applyNumberFormat="1" applyFont="1" applyBorder="1"/>
    <xf numFmtId="11" fontId="5" fillId="0" borderId="42" xfId="0" applyNumberFormat="1" applyFont="1" applyBorder="1"/>
    <xf numFmtId="0" fontId="5" fillId="0" borderId="34" xfId="0" applyFont="1" applyBorder="1"/>
    <xf numFmtId="11" fontId="5" fillId="8" borderId="41" xfId="0" applyNumberFormat="1" applyFont="1" applyFill="1" applyBorder="1"/>
    <xf numFmtId="0" fontId="5" fillId="0" borderId="28" xfId="0" applyFont="1" applyBorder="1"/>
    <xf numFmtId="11" fontId="5" fillId="8" borderId="43" xfId="0" applyNumberFormat="1" applyFont="1" applyFill="1" applyBorder="1"/>
    <xf numFmtId="0" fontId="3" fillId="4" borderId="0" xfId="0" applyFont="1" applyFill="1"/>
    <xf numFmtId="10" fontId="5" fillId="4" borderId="0" xfId="0" applyNumberFormat="1" applyFont="1" applyFill="1"/>
    <xf numFmtId="0" fontId="4" fillId="0" borderId="48" xfId="0" applyFont="1" applyBorder="1" applyAlignment="1">
      <alignment horizontal="center"/>
    </xf>
    <xf numFmtId="11" fontId="5" fillId="0" borderId="48" xfId="0" applyNumberFormat="1" applyFont="1" applyBorder="1"/>
    <xf numFmtId="11" fontId="5" fillId="0" borderId="43" xfId="0" applyNumberFormat="1" applyFont="1" applyBorder="1"/>
    <xf numFmtId="0" fontId="0" fillId="9" borderId="0" xfId="0" applyFill="1"/>
    <xf numFmtId="0" fontId="32" fillId="9" borderId="0" xfId="0" applyFont="1" applyFill="1" applyAlignment="1">
      <alignment horizontal="center"/>
    </xf>
    <xf numFmtId="0" fontId="24" fillId="0" borderId="27" xfId="0" applyFont="1" applyBorder="1"/>
    <xf numFmtId="0" fontId="24" fillId="0" borderId="27" xfId="0" applyFont="1" applyBorder="1" applyAlignment="1">
      <alignment horizontal="center"/>
    </xf>
    <xf numFmtId="0" fontId="5" fillId="8" borderId="47" xfId="0" applyFont="1" applyFill="1" applyBorder="1" applyAlignment="1">
      <alignment horizontal="center"/>
    </xf>
    <xf numFmtId="0" fontId="23" fillId="0" borderId="1" xfId="0" applyFont="1" applyBorder="1" applyAlignment="1">
      <alignment horizontal="center"/>
    </xf>
    <xf numFmtId="11" fontId="5" fillId="8" borderId="27" xfId="0" applyNumberFormat="1" applyFont="1" applyFill="1" applyBorder="1" applyAlignment="1">
      <alignment horizontal="center"/>
    </xf>
    <xf numFmtId="0" fontId="4" fillId="0" borderId="27" xfId="0" applyFont="1" applyBorder="1" applyAlignment="1">
      <alignment horizontal="center"/>
    </xf>
    <xf numFmtId="11" fontId="2" fillId="8" borderId="27" xfId="0" applyNumberFormat="1" applyFont="1" applyFill="1" applyBorder="1"/>
    <xf numFmtId="0" fontId="37" fillId="0" borderId="1" xfId="0" applyFont="1" applyBorder="1" applyAlignment="1">
      <alignment horizontal="center"/>
    </xf>
    <xf numFmtId="0" fontId="37" fillId="0" borderId="26" xfId="0" applyFont="1" applyBorder="1" applyAlignment="1">
      <alignment horizontal="center"/>
    </xf>
    <xf numFmtId="0" fontId="40" fillId="0" borderId="27" xfId="0" applyFont="1" applyBorder="1" applyAlignment="1">
      <alignment horizontal="center"/>
    </xf>
    <xf numFmtId="0" fontId="23" fillId="0" borderId="49" xfId="0" applyFont="1" applyBorder="1" applyAlignment="1">
      <alignment horizontal="left" vertical="center" wrapText="1"/>
    </xf>
    <xf numFmtId="0" fontId="30" fillId="0" borderId="1" xfId="0" applyFont="1" applyBorder="1" applyAlignment="1">
      <alignment horizontal="center" vertical="center"/>
    </xf>
    <xf numFmtId="0" fontId="0" fillId="7" borderId="50" xfId="0" applyFill="1" applyBorder="1"/>
    <xf numFmtId="0" fontId="30" fillId="0" borderId="0" xfId="0" applyFont="1" applyAlignment="1">
      <alignment horizontal="center" vertical="center"/>
    </xf>
    <xf numFmtId="0" fontId="23" fillId="0" borderId="27" xfId="0" applyFont="1" applyBorder="1" applyAlignment="1">
      <alignment horizontal="center" vertical="center"/>
    </xf>
    <xf numFmtId="0" fontId="42" fillId="0" borderId="1" xfId="0" applyFont="1" applyBorder="1" applyAlignment="1">
      <alignment horizontal="center" vertical="center"/>
    </xf>
    <xf numFmtId="0" fontId="42" fillId="0" borderId="26" xfId="0" applyFont="1" applyBorder="1" applyAlignment="1">
      <alignment horizontal="center" vertical="center"/>
    </xf>
    <xf numFmtId="0" fontId="24" fillId="0" borderId="26" xfId="0" applyFont="1" applyBorder="1" applyAlignment="1">
      <alignment horizontal="center" vertical="center"/>
    </xf>
    <xf numFmtId="0" fontId="42" fillId="0" borderId="2" xfId="0" applyFont="1" applyBorder="1" applyAlignment="1">
      <alignment horizontal="center" vertical="center"/>
    </xf>
    <xf numFmtId="0" fontId="36" fillId="9" borderId="0" xfId="0" applyFont="1" applyFill="1" applyAlignment="1">
      <alignment horizontal="center"/>
    </xf>
    <xf numFmtId="11" fontId="0" fillId="0" borderId="41" xfId="0" applyNumberFormat="1" applyBorder="1"/>
    <xf numFmtId="0" fontId="0" fillId="0" borderId="41" xfId="0" applyBorder="1"/>
    <xf numFmtId="11" fontId="0" fillId="0" borderId="0" xfId="0" applyNumberFormat="1"/>
    <xf numFmtId="11" fontId="5" fillId="0" borderId="34" xfId="0" applyNumberFormat="1" applyFont="1" applyBorder="1"/>
    <xf numFmtId="0" fontId="5" fillId="0" borderId="51" xfId="0" applyFont="1" applyBorder="1"/>
    <xf numFmtId="11" fontId="5" fillId="0" borderId="51" xfId="0" applyNumberFormat="1" applyFont="1" applyBorder="1"/>
    <xf numFmtId="11" fontId="5" fillId="0" borderId="52" xfId="0" applyNumberFormat="1" applyFont="1" applyBorder="1"/>
    <xf numFmtId="0" fontId="5" fillId="0" borderId="41" xfId="0" applyFont="1" applyBorder="1"/>
    <xf numFmtId="0" fontId="4" fillId="0" borderId="41" xfId="0" applyFont="1" applyBorder="1" applyAlignment="1">
      <alignment horizontal="center"/>
    </xf>
    <xf numFmtId="0" fontId="0" fillId="0" borderId="42" xfId="0" applyBorder="1"/>
    <xf numFmtId="0" fontId="43" fillId="0" borderId="27" xfId="0" applyFont="1" applyBorder="1" applyAlignment="1">
      <alignment horizontal="center"/>
    </xf>
    <xf numFmtId="11" fontId="5" fillId="0" borderId="15" xfId="0" applyNumberFormat="1" applyFont="1" applyBorder="1"/>
    <xf numFmtId="11" fontId="5" fillId="0" borderId="16" xfId="0" applyNumberFormat="1" applyFont="1" applyBorder="1"/>
    <xf numFmtId="0" fontId="4" fillId="0" borderId="42" xfId="0" applyFont="1" applyBorder="1" applyAlignment="1">
      <alignment horizontal="center"/>
    </xf>
    <xf numFmtId="11" fontId="0" fillId="0" borderId="42" xfId="0" applyNumberFormat="1" applyBorder="1"/>
    <xf numFmtId="11" fontId="0" fillId="8" borderId="41" xfId="0" applyNumberFormat="1" applyFill="1" applyBorder="1"/>
    <xf numFmtId="0" fontId="0" fillId="8" borderId="53" xfId="0" applyFill="1" applyBorder="1"/>
    <xf numFmtId="0" fontId="23" fillId="0" borderId="27" xfId="0" applyFont="1" applyBorder="1" applyAlignment="1">
      <alignment horizontal="center"/>
    </xf>
    <xf numFmtId="11" fontId="5" fillId="8" borderId="3" xfId="0" applyNumberFormat="1" applyFont="1" applyFill="1" applyBorder="1"/>
    <xf numFmtId="11" fontId="5" fillId="10" borderId="27" xfId="0" applyNumberFormat="1" applyFont="1" applyFill="1" applyBorder="1"/>
    <xf numFmtId="11" fontId="5" fillId="8" borderId="48" xfId="0" applyNumberFormat="1" applyFont="1" applyFill="1" applyBorder="1"/>
    <xf numFmtId="10" fontId="5" fillId="0" borderId="15" xfId="0" applyNumberFormat="1" applyFont="1" applyBorder="1"/>
    <xf numFmtId="0" fontId="4" fillId="0" borderId="43" xfId="0" applyFont="1" applyBorder="1" applyAlignment="1">
      <alignment horizontal="center"/>
    </xf>
    <xf numFmtId="11" fontId="0" fillId="0" borderId="43" xfId="0" applyNumberFormat="1" applyBorder="1"/>
    <xf numFmtId="0" fontId="0" fillId="0" borderId="43" xfId="0" applyBorder="1"/>
    <xf numFmtId="11" fontId="5" fillId="0" borderId="28" xfId="0" applyNumberFormat="1" applyFont="1" applyBorder="1"/>
    <xf numFmtId="0" fontId="5" fillId="0" borderId="29" xfId="0" applyFont="1" applyBorder="1"/>
    <xf numFmtId="11" fontId="5" fillId="0" borderId="29" xfId="0" applyNumberFormat="1" applyFont="1" applyBorder="1"/>
    <xf numFmtId="11" fontId="5" fillId="0" borderId="24" xfId="0" applyNumberFormat="1" applyFont="1" applyBorder="1"/>
    <xf numFmtId="0" fontId="37" fillId="0" borderId="27" xfId="0" applyFont="1" applyBorder="1" applyAlignment="1">
      <alignment horizontal="center"/>
    </xf>
    <xf numFmtId="0" fontId="30" fillId="0" borderId="30" xfId="0" applyFont="1" applyBorder="1" applyAlignment="1">
      <alignment horizontal="center" vertical="center"/>
    </xf>
    <xf numFmtId="0" fontId="40" fillId="0" borderId="0" xfId="0" applyFont="1" applyAlignment="1">
      <alignment horizontal="center"/>
    </xf>
    <xf numFmtId="11" fontId="0" fillId="0" borderId="3" xfId="0" applyNumberFormat="1" applyBorder="1"/>
    <xf numFmtId="11" fontId="0" fillId="0" borderId="27" xfId="0" applyNumberFormat="1" applyBorder="1"/>
    <xf numFmtId="0" fontId="42" fillId="0" borderId="28" xfId="0" applyFont="1" applyBorder="1" applyAlignment="1">
      <alignment horizontal="center"/>
    </xf>
    <xf numFmtId="0" fontId="23" fillId="0" borderId="34" xfId="0" applyFont="1" applyBorder="1" applyAlignment="1">
      <alignment horizontal="center" vertical="center"/>
    </xf>
    <xf numFmtId="0" fontId="23" fillId="0" borderId="0" xfId="0" applyFont="1" applyAlignment="1">
      <alignment horizontal="center" vertical="center"/>
    </xf>
    <xf numFmtId="10" fontId="5" fillId="0" borderId="0" xfId="0" applyNumberFormat="1" applyFont="1"/>
    <xf numFmtId="0" fontId="0" fillId="7" borderId="0" xfId="0" applyFill="1"/>
    <xf numFmtId="0" fontId="24" fillId="0" borderId="41" xfId="0" applyFont="1" applyBorder="1" applyAlignment="1">
      <alignment horizontal="center"/>
    </xf>
    <xf numFmtId="0" fontId="31" fillId="8" borderId="27" xfId="0" applyFont="1" applyFill="1" applyBorder="1" applyAlignment="1">
      <alignment horizontal="center" vertical="center"/>
    </xf>
    <xf numFmtId="0" fontId="31" fillId="0" borderId="15" xfId="0" applyFont="1" applyBorder="1" applyAlignment="1">
      <alignment horizontal="center" vertical="center"/>
    </xf>
    <xf numFmtId="0" fontId="23" fillId="0" borderId="53" xfId="0" applyFont="1" applyBorder="1" applyAlignment="1">
      <alignment horizontal="center"/>
    </xf>
    <xf numFmtId="11" fontId="5" fillId="0" borderId="15" xfId="0" applyNumberFormat="1" applyFont="1" applyBorder="1" applyAlignment="1">
      <alignment horizontal="center"/>
    </xf>
    <xf numFmtId="11" fontId="0" fillId="0" borderId="27" xfId="0" applyNumberFormat="1" applyBorder="1" applyAlignment="1">
      <alignment horizontal="center"/>
    </xf>
    <xf numFmtId="0" fontId="23" fillId="0" borderId="52" xfId="0" applyFont="1" applyBorder="1" applyAlignment="1">
      <alignment horizontal="center" vertical="center"/>
    </xf>
    <xf numFmtId="0" fontId="23" fillId="0" borderId="1" xfId="0" applyFont="1" applyBorder="1" applyAlignment="1">
      <alignment horizontal="center"/>
    </xf>
    <xf numFmtId="0" fontId="23" fillId="0" borderId="26" xfId="0" applyFont="1" applyBorder="1" applyAlignment="1">
      <alignment horizontal="center"/>
    </xf>
    <xf numFmtId="0" fontId="23" fillId="0" borderId="2" xfId="0" applyFont="1" applyBorder="1" applyAlignment="1">
      <alignment horizontal="center"/>
    </xf>
    <xf numFmtId="0" fontId="25" fillId="0" borderId="1" xfId="0" applyFont="1" applyBorder="1" applyAlignment="1">
      <alignment horizontal="center" vertical="top"/>
    </xf>
    <xf numFmtId="0" fontId="25" fillId="0" borderId="2" xfId="0" applyFont="1" applyBorder="1" applyAlignment="1">
      <alignment horizontal="center" vertical="top"/>
    </xf>
    <xf numFmtId="0" fontId="23" fillId="0" borderId="33" xfId="0" applyFont="1" applyBorder="1"/>
    <xf numFmtId="11" fontId="5" fillId="8" borderId="38" xfId="0" applyNumberFormat="1" applyFont="1" applyFill="1" applyBorder="1"/>
    <xf numFmtId="11" fontId="5" fillId="8" borderId="13" xfId="0" applyNumberFormat="1" applyFont="1" applyFill="1" applyBorder="1"/>
    <xf numFmtId="11" fontId="5" fillId="8" borderId="42" xfId="0" applyNumberFormat="1" applyFont="1" applyFill="1" applyBorder="1"/>
    <xf numFmtId="0" fontId="44" fillId="0" borderId="1" xfId="0" applyFont="1" applyBorder="1" applyAlignment="1">
      <alignment horizontal="center"/>
    </xf>
    <xf numFmtId="0" fontId="44" fillId="0" borderId="26" xfId="0" applyFont="1" applyBorder="1" applyAlignment="1">
      <alignment horizontal="center"/>
    </xf>
    <xf numFmtId="0" fontId="44" fillId="0" borderId="2" xfId="0" applyFont="1" applyBorder="1" applyAlignment="1">
      <alignment horizontal="center"/>
    </xf>
    <xf numFmtId="0" fontId="23" fillId="0" borderId="30" xfId="0" applyFont="1" applyBorder="1" applyAlignment="1">
      <alignment horizontal="center"/>
    </xf>
    <xf numFmtId="0" fontId="23" fillId="0" borderId="31" xfId="0" applyFont="1" applyBorder="1" applyAlignment="1">
      <alignment horizontal="center"/>
    </xf>
    <xf numFmtId="0" fontId="23" fillId="0" borderId="33" xfId="0" applyFont="1" applyBorder="1" applyAlignment="1">
      <alignment horizontal="center"/>
    </xf>
    <xf numFmtId="11" fontId="5" fillId="0" borderId="34" xfId="0" applyNumberFormat="1" applyFont="1" applyBorder="1" applyAlignment="1">
      <alignment horizontal="center"/>
    </xf>
    <xf numFmtId="11" fontId="5" fillId="0" borderId="51" xfId="0" applyNumberFormat="1" applyFont="1" applyBorder="1" applyAlignment="1">
      <alignment horizontal="center"/>
    </xf>
    <xf numFmtId="11" fontId="5" fillId="0" borderId="47" xfId="0" applyNumberFormat="1" applyFont="1" applyBorder="1"/>
    <xf numFmtId="11" fontId="5" fillId="0" borderId="52" xfId="0" applyNumberFormat="1" applyFont="1" applyBorder="1" applyAlignment="1">
      <alignment horizontal="center"/>
    </xf>
    <xf numFmtId="11" fontId="5" fillId="0" borderId="0" xfId="0" applyNumberFormat="1" applyFont="1" applyAlignment="1">
      <alignment horizontal="center"/>
    </xf>
    <xf numFmtId="11" fontId="5" fillId="0" borderId="16" xfId="0" applyNumberFormat="1" applyFont="1" applyBorder="1" applyAlignment="1">
      <alignment horizontal="center"/>
    </xf>
    <xf numFmtId="11" fontId="5" fillId="0" borderId="50" xfId="0" applyNumberFormat="1" applyFont="1" applyBorder="1"/>
    <xf numFmtId="11" fontId="5" fillId="0" borderId="28" xfId="0" applyNumberFormat="1" applyFont="1" applyBorder="1" applyAlignment="1">
      <alignment horizontal="center"/>
    </xf>
    <xf numFmtId="11" fontId="5" fillId="0" borderId="29" xfId="0" applyNumberFormat="1" applyFont="1" applyBorder="1" applyAlignment="1">
      <alignment horizontal="center"/>
    </xf>
    <xf numFmtId="11" fontId="5" fillId="0" borderId="24" xfId="0" applyNumberFormat="1" applyFont="1" applyBorder="1" applyAlignment="1">
      <alignment horizontal="center"/>
    </xf>
    <xf numFmtId="11" fontId="5" fillId="0" borderId="53" xfId="0" applyNumberFormat="1" applyFont="1" applyBorder="1"/>
    <xf numFmtId="0" fontId="25" fillId="0" borderId="29" xfId="0" applyFont="1" applyBorder="1" applyAlignment="1">
      <alignment horizontal="center" vertical="top"/>
    </xf>
    <xf numFmtId="11" fontId="5" fillId="8" borderId="6" xfId="0" applyNumberFormat="1" applyFont="1" applyFill="1" applyBorder="1"/>
    <xf numFmtId="11" fontId="5" fillId="8" borderId="28" xfId="0" applyNumberFormat="1" applyFont="1" applyFill="1" applyBorder="1"/>
    <xf numFmtId="0" fontId="23" fillId="0" borderId="26" xfId="0" applyFont="1" applyBorder="1"/>
    <xf numFmtId="0" fontId="23" fillId="0" borderId="2" xfId="0" applyFont="1" applyBorder="1"/>
    <xf numFmtId="11" fontId="4" fillId="8" borderId="33" xfId="0" applyNumberFormat="1" applyFont="1" applyFill="1" applyBorder="1" applyAlignment="1">
      <alignment horizontal="center"/>
    </xf>
    <xf numFmtId="0" fontId="0" fillId="7" borderId="53" xfId="0" applyFill="1" applyBorder="1"/>
    <xf numFmtId="0" fontId="5" fillId="8" borderId="3" xfId="0" applyFont="1" applyFill="1" applyBorder="1"/>
    <xf numFmtId="0" fontId="5" fillId="8" borderId="54" xfId="0" applyFont="1" applyFill="1" applyBorder="1"/>
    <xf numFmtId="11" fontId="5" fillId="8" borderId="55" xfId="0" applyNumberFormat="1" applyFont="1" applyFill="1" applyBorder="1"/>
    <xf numFmtId="11" fontId="5" fillId="8" borderId="56" xfId="0" applyNumberFormat="1" applyFont="1" applyFill="1" applyBorder="1"/>
    <xf numFmtId="0" fontId="44" fillId="0" borderId="1" xfId="0" applyFont="1" applyBorder="1"/>
    <xf numFmtId="0" fontId="44" fillId="0" borderId="26" xfId="0" applyFont="1" applyBorder="1"/>
    <xf numFmtId="0" fontId="44" fillId="0" borderId="2" xfId="0" applyFont="1" applyBorder="1"/>
    <xf numFmtId="0" fontId="4" fillId="0" borderId="34" xfId="0" applyFont="1" applyBorder="1" applyAlignment="1">
      <alignment horizontal="center"/>
    </xf>
    <xf numFmtId="0" fontId="23" fillId="0" borderId="35" xfId="0" applyFont="1" applyBorder="1" applyAlignment="1">
      <alignment horizontal="center"/>
    </xf>
    <xf numFmtId="0" fontId="23" fillId="0" borderId="36" xfId="0" applyFont="1" applyBorder="1" applyAlignment="1">
      <alignment horizontal="center"/>
    </xf>
    <xf numFmtId="0" fontId="23" fillId="0" borderId="37" xfId="0" applyFont="1" applyBorder="1" applyAlignment="1">
      <alignment horizontal="center"/>
    </xf>
    <xf numFmtId="11" fontId="5" fillId="0" borderId="41" xfId="0" applyNumberFormat="1" applyFont="1" applyBorder="1" applyAlignment="1">
      <alignment horizontal="center"/>
    </xf>
    <xf numFmtId="11" fontId="5" fillId="0" borderId="4" xfId="0" applyNumberFormat="1" applyFont="1" applyBorder="1" applyAlignment="1">
      <alignment horizontal="center"/>
    </xf>
    <xf numFmtId="11" fontId="5" fillId="0" borderId="1" xfId="0" applyNumberFormat="1" applyFont="1" applyBorder="1" applyAlignment="1">
      <alignment horizontal="center"/>
    </xf>
    <xf numFmtId="11" fontId="5" fillId="0" borderId="26" xfId="0" applyNumberFormat="1" applyFont="1" applyBorder="1" applyAlignment="1">
      <alignment horizontal="center"/>
    </xf>
    <xf numFmtId="11" fontId="5" fillId="0" borderId="2" xfId="0" applyNumberFormat="1" applyFont="1" applyBorder="1" applyAlignment="1">
      <alignment horizontal="center"/>
    </xf>
    <xf numFmtId="11" fontId="0" fillId="0" borderId="47" xfId="0" applyNumberFormat="1" applyBorder="1"/>
    <xf numFmtId="11" fontId="5" fillId="0" borderId="42" xfId="0" applyNumberFormat="1" applyFont="1" applyBorder="1" applyAlignment="1">
      <alignment horizontal="center"/>
    </xf>
    <xf numFmtId="11" fontId="5" fillId="0" borderId="55" xfId="0" applyNumberFormat="1" applyFont="1" applyBorder="1" applyAlignment="1">
      <alignment horizontal="center"/>
    </xf>
    <xf numFmtId="11" fontId="0" fillId="0" borderId="50" xfId="0" applyNumberFormat="1" applyBorder="1"/>
    <xf numFmtId="11" fontId="5" fillId="8" borderId="27" xfId="0" applyNumberFormat="1" applyFont="1" applyFill="1" applyBorder="1"/>
    <xf numFmtId="11" fontId="5" fillId="0" borderId="43" xfId="0" applyNumberFormat="1" applyFont="1" applyBorder="1" applyAlignment="1">
      <alignment horizontal="center"/>
    </xf>
    <xf numFmtId="11" fontId="5" fillId="0" borderId="57" xfId="0" applyNumberFormat="1" applyFont="1" applyBorder="1" applyAlignment="1">
      <alignment horizontal="center"/>
    </xf>
    <xf numFmtId="11" fontId="0" fillId="0" borderId="53" xfId="0" applyNumberFormat="1" applyBorder="1"/>
    <xf numFmtId="0" fontId="4" fillId="8" borderId="27" xfId="0" applyFont="1" applyFill="1" applyBorder="1" applyAlignment="1">
      <alignment horizontal="center"/>
    </xf>
    <xf numFmtId="0" fontId="5" fillId="0" borderId="0" xfId="0" applyFont="1" applyAlignment="1">
      <alignment horizontal="center"/>
    </xf>
    <xf numFmtId="0" fontId="5" fillId="0" borderId="30" xfId="0" applyFont="1" applyBorder="1"/>
    <xf numFmtId="0" fontId="5" fillId="0" borderId="31" xfId="0" applyFont="1" applyBorder="1"/>
    <xf numFmtId="0" fontId="5" fillId="0" borderId="33" xfId="0" applyFont="1" applyBorder="1"/>
    <xf numFmtId="0" fontId="30" fillId="0" borderId="47" xfId="0" applyFont="1" applyBorder="1" applyAlignment="1">
      <alignment horizontal="center"/>
    </xf>
    <xf numFmtId="0" fontId="5" fillId="8" borderId="52" xfId="0" applyFont="1" applyFill="1" applyBorder="1"/>
    <xf numFmtId="0" fontId="5" fillId="8" borderId="51" xfId="0" applyFont="1" applyFill="1" applyBorder="1"/>
    <xf numFmtId="11" fontId="5" fillId="8" borderId="47" xfId="0" applyNumberFormat="1" applyFont="1" applyFill="1" applyBorder="1"/>
    <xf numFmtId="0" fontId="5" fillId="8" borderId="47" xfId="0" applyFont="1" applyFill="1" applyBorder="1"/>
    <xf numFmtId="0" fontId="30" fillId="0" borderId="51" xfId="0" applyFont="1" applyBorder="1" applyAlignment="1">
      <alignment horizontal="center"/>
    </xf>
    <xf numFmtId="0" fontId="30" fillId="0" borderId="31" xfId="0" applyFont="1" applyBorder="1" applyAlignment="1">
      <alignment horizontal="center"/>
    </xf>
    <xf numFmtId="0" fontId="31" fillId="8" borderId="22" xfId="0" applyFont="1" applyFill="1" applyBorder="1" applyAlignment="1">
      <alignment horizontal="center" vertical="center"/>
    </xf>
    <xf numFmtId="0" fontId="24" fillId="0" borderId="27" xfId="0" applyFont="1" applyBorder="1" applyAlignment="1">
      <alignment horizontal="center" vertical="center"/>
    </xf>
    <xf numFmtId="11" fontId="5" fillId="0" borderId="1" xfId="0" applyNumberFormat="1" applyFont="1" applyBorder="1"/>
    <xf numFmtId="11" fontId="5" fillId="0" borderId="27" xfId="0" applyNumberFormat="1" applyFont="1" applyBorder="1"/>
    <xf numFmtId="0" fontId="40" fillId="0" borderId="2" xfId="0" applyFont="1" applyBorder="1" applyAlignment="1">
      <alignment horizontal="center"/>
    </xf>
    <xf numFmtId="0" fontId="37" fillId="0" borderId="0" xfId="0" applyFont="1"/>
    <xf numFmtId="0" fontId="0" fillId="7" borderId="16" xfId="0" applyFill="1" applyBorder="1"/>
    <xf numFmtId="11" fontId="0" fillId="0" borderId="1" xfId="0" applyNumberFormat="1" applyBorder="1"/>
    <xf numFmtId="0" fontId="0" fillId="0" borderId="27" xfId="0" applyBorder="1"/>
    <xf numFmtId="11" fontId="0" fillId="0" borderId="58" xfId="0" applyNumberFormat="1" applyBorder="1"/>
    <xf numFmtId="0" fontId="0" fillId="0" borderId="50" xfId="0" applyBorder="1"/>
    <xf numFmtId="0" fontId="5" fillId="0" borderId="42" xfId="0" applyFont="1" applyBorder="1"/>
    <xf numFmtId="0" fontId="0" fillId="8" borderId="43" xfId="0" applyFill="1" applyBorder="1"/>
    <xf numFmtId="0" fontId="0" fillId="0" borderId="53" xfId="0" applyBorder="1"/>
    <xf numFmtId="0" fontId="5" fillId="0" borderId="43" xfId="0" applyFont="1" applyBorder="1"/>
    <xf numFmtId="0" fontId="23" fillId="0" borderId="34" xfId="0" applyFont="1" applyBorder="1" applyAlignment="1">
      <alignment horizontal="center"/>
    </xf>
    <xf numFmtId="0" fontId="23" fillId="0" borderId="52" xfId="0" applyFont="1" applyBorder="1" applyAlignment="1">
      <alignment horizontal="center"/>
    </xf>
    <xf numFmtId="11" fontId="5" fillId="0" borderId="28" xfId="0" applyNumberFormat="1" applyFont="1" applyBorder="1" applyAlignment="1">
      <alignment horizontal="center"/>
    </xf>
    <xf numFmtId="0" fontId="5" fillId="0" borderId="24" xfId="0" applyFont="1" applyBorder="1" applyAlignment="1">
      <alignment horizontal="center"/>
    </xf>
    <xf numFmtId="0" fontId="42" fillId="0" borderId="1" xfId="0" applyFont="1" applyBorder="1" applyAlignment="1">
      <alignment horizontal="center"/>
    </xf>
    <xf numFmtId="11" fontId="5" fillId="0" borderId="2" xfId="0" applyNumberFormat="1" applyFont="1" applyBorder="1"/>
    <xf numFmtId="0" fontId="5" fillId="8" borderId="33" xfId="0" applyFont="1" applyFill="1" applyBorder="1"/>
    <xf numFmtId="0" fontId="23" fillId="0" borderId="51" xfId="0" applyFont="1" applyBorder="1" applyAlignment="1">
      <alignment horizontal="center"/>
    </xf>
    <xf numFmtId="0" fontId="5" fillId="0" borderId="34" xfId="0" applyFont="1" applyBorder="1" applyAlignment="1">
      <alignment horizontal="center"/>
    </xf>
    <xf numFmtId="0" fontId="5" fillId="0" borderId="51" xfId="0" applyFont="1" applyBorder="1" applyAlignment="1">
      <alignment horizontal="center"/>
    </xf>
    <xf numFmtId="164" fontId="5" fillId="0" borderId="51" xfId="0" applyNumberFormat="1" applyFont="1" applyBorder="1" applyAlignment="1">
      <alignment horizontal="center"/>
    </xf>
    <xf numFmtId="0" fontId="5" fillId="0" borderId="52"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28" xfId="0" applyFont="1" applyBorder="1" applyAlignment="1">
      <alignment horizontal="center"/>
    </xf>
    <xf numFmtId="0" fontId="5" fillId="0" borderId="29" xfId="0" applyFont="1" applyBorder="1" applyAlignment="1">
      <alignment horizontal="center"/>
    </xf>
    <xf numFmtId="0" fontId="5" fillId="0" borderId="24" xfId="0" applyFont="1" applyBorder="1" applyAlignment="1">
      <alignment horizontal="center"/>
    </xf>
    <xf numFmtId="0" fontId="25" fillId="0" borderId="0" xfId="0" applyFont="1" applyAlignment="1">
      <alignment horizontal="center" vertical="top"/>
    </xf>
    <xf numFmtId="164" fontId="5" fillId="0" borderId="26" xfId="0" applyNumberFormat="1" applyFont="1" applyBorder="1" applyAlignment="1">
      <alignment horizontal="center"/>
    </xf>
    <xf numFmtId="0" fontId="5" fillId="0" borderId="2" xfId="0" applyFont="1" applyBorder="1" applyAlignment="1">
      <alignment horizontal="center"/>
    </xf>
    <xf numFmtId="164" fontId="5" fillId="0" borderId="0" xfId="0" applyNumberFormat="1" applyFont="1" applyAlignment="1">
      <alignment horizontal="center"/>
    </xf>
    <xf numFmtId="164" fontId="5" fillId="0" borderId="29" xfId="0" applyNumberFormat="1" applyFont="1" applyBorder="1" applyAlignment="1">
      <alignment horizontal="center"/>
    </xf>
    <xf numFmtId="0" fontId="5" fillId="8" borderId="31" xfId="0" applyFont="1" applyFill="1" applyBorder="1"/>
    <xf numFmtId="0" fontId="30" fillId="0" borderId="41" xfId="0" applyFont="1" applyBorder="1" applyAlignment="1">
      <alignment horizontal="center"/>
    </xf>
    <xf numFmtId="0" fontId="5" fillId="8" borderId="7" xfId="0" applyFont="1" applyFill="1" applyBorder="1"/>
    <xf numFmtId="0" fontId="5" fillId="8" borderId="58" xfId="0" applyFont="1" applyFill="1" applyBorder="1"/>
    <xf numFmtId="0" fontId="5" fillId="8" borderId="41" xfId="0" applyFont="1" applyFill="1" applyBorder="1"/>
    <xf numFmtId="0" fontId="30" fillId="0" borderId="42" xfId="0" applyFont="1" applyBorder="1" applyAlignment="1">
      <alignment horizontal="center"/>
    </xf>
    <xf numFmtId="0" fontId="5" fillId="8" borderId="12" xfId="0" applyFont="1" applyFill="1" applyBorder="1"/>
    <xf numFmtId="0" fontId="5" fillId="8" borderId="55" xfId="0" applyFont="1" applyFill="1" applyBorder="1"/>
    <xf numFmtId="0" fontId="5" fillId="8" borderId="42" xfId="0" applyFont="1" applyFill="1" applyBorder="1"/>
    <xf numFmtId="0" fontId="30" fillId="0" borderId="43" xfId="0" applyFont="1" applyBorder="1" applyAlignment="1">
      <alignment horizontal="center"/>
    </xf>
    <xf numFmtId="0" fontId="5" fillId="8" borderId="59" xfId="0" applyFont="1" applyFill="1" applyBorder="1"/>
    <xf numFmtId="0" fontId="5" fillId="8" borderId="57" xfId="0" applyFont="1" applyFill="1" applyBorder="1"/>
    <xf numFmtId="0" fontId="5" fillId="8" borderId="43" xfId="0" applyFont="1" applyFill="1" applyBorder="1"/>
    <xf numFmtId="0" fontId="5" fillId="8" borderId="35" xfId="0" applyFont="1" applyFill="1" applyBorder="1"/>
    <xf numFmtId="0" fontId="23" fillId="0" borderId="0" xfId="0" applyFont="1" applyAlignment="1">
      <alignment horizontal="center"/>
    </xf>
    <xf numFmtId="0" fontId="0" fillId="0" borderId="26" xfId="0" applyBorder="1" applyAlignment="1">
      <alignment horizontal="center"/>
    </xf>
    <xf numFmtId="0" fontId="0" fillId="0" borderId="2" xfId="0" applyBorder="1" applyAlignment="1">
      <alignment horizontal="center"/>
    </xf>
    <xf numFmtId="0" fontId="30" fillId="0" borderId="31" xfId="0" applyFont="1" applyBorder="1" applyAlignment="1">
      <alignment horizontal="center" vertical="center"/>
    </xf>
    <xf numFmtId="0" fontId="30" fillId="0" borderId="33" xfId="0" applyFont="1" applyBorder="1" applyAlignment="1">
      <alignment horizontal="center" vertical="center"/>
    </xf>
    <xf numFmtId="11" fontId="0" fillId="0" borderId="30" xfId="0" applyNumberFormat="1" applyBorder="1"/>
    <xf numFmtId="11" fontId="0" fillId="0" borderId="60" xfId="0" applyNumberFormat="1" applyBorder="1"/>
    <xf numFmtId="11" fontId="0" fillId="0" borderId="2" xfId="0" applyNumberFormat="1" applyBorder="1"/>
    <xf numFmtId="0" fontId="0" fillId="0" borderId="47" xfId="0" applyBorder="1"/>
    <xf numFmtId="0" fontId="0" fillId="0" borderId="15" xfId="0" applyBorder="1"/>
    <xf numFmtId="11" fontId="0" fillId="0" borderId="18" xfId="0" applyNumberFormat="1" applyBorder="1"/>
    <xf numFmtId="11" fontId="0" fillId="0" borderId="15" xfId="0" applyNumberFormat="1" applyBorder="1"/>
    <xf numFmtId="0" fontId="43" fillId="0" borderId="47" xfId="0" applyFont="1" applyBorder="1" applyAlignment="1">
      <alignment horizontal="center"/>
    </xf>
    <xf numFmtId="0" fontId="0" fillId="8" borderId="3" xfId="0" applyFill="1" applyBorder="1"/>
    <xf numFmtId="0" fontId="0" fillId="8" borderId="48" xfId="0" applyFill="1" applyBorder="1"/>
    <xf numFmtId="11" fontId="0" fillId="0" borderId="38" xfId="0" applyNumberFormat="1" applyBorder="1"/>
    <xf numFmtId="11" fontId="0" fillId="0" borderId="39" xfId="0" applyNumberFormat="1" applyBorder="1"/>
    <xf numFmtId="11" fontId="0" fillId="0" borderId="40" xfId="0" applyNumberFormat="1" applyBorder="1"/>
    <xf numFmtId="11" fontId="5" fillId="8" borderId="61" xfId="0" applyNumberFormat="1" applyFont="1" applyFill="1" applyBorder="1"/>
    <xf numFmtId="0" fontId="5" fillId="8" borderId="5" xfId="0" applyFont="1" applyFill="1" applyBorder="1"/>
    <xf numFmtId="0" fontId="5" fillId="8" borderId="4" xfId="0" applyFont="1" applyFill="1" applyBorder="1"/>
    <xf numFmtId="0" fontId="30" fillId="0" borderId="32" xfId="0" applyFont="1" applyBorder="1" applyAlignment="1">
      <alignment horizontal="center" vertical="center"/>
    </xf>
    <xf numFmtId="11" fontId="0" fillId="0" borderId="31" xfId="0" applyNumberFormat="1" applyBorder="1"/>
    <xf numFmtId="0" fontId="23" fillId="0" borderId="27" xfId="0" applyFont="1" applyBorder="1"/>
    <xf numFmtId="0" fontId="23" fillId="11" borderId="27" xfId="0" applyFont="1" applyFill="1" applyBorder="1" applyAlignment="1">
      <alignment horizontal="center"/>
    </xf>
    <xf numFmtId="11" fontId="0" fillId="0" borderId="62" xfId="0" applyNumberFormat="1" applyBorder="1"/>
    <xf numFmtId="0" fontId="30" fillId="0" borderId="63" xfId="0" applyFont="1" applyBorder="1" applyAlignment="1">
      <alignment horizontal="center"/>
    </xf>
    <xf numFmtId="0" fontId="5" fillId="8" borderId="64" xfId="0" applyFont="1" applyFill="1" applyBorder="1"/>
    <xf numFmtId="0" fontId="5" fillId="8" borderId="65" xfId="0" applyFont="1" applyFill="1" applyBorder="1"/>
    <xf numFmtId="11" fontId="5" fillId="8" borderId="63" xfId="0" applyNumberFormat="1" applyFont="1" applyFill="1" applyBorder="1"/>
    <xf numFmtId="0" fontId="5" fillId="8" borderId="63" xfId="0" applyFont="1" applyFill="1" applyBorder="1"/>
    <xf numFmtId="0" fontId="46" fillId="0" borderId="51" xfId="0" applyFont="1" applyFill="1" applyBorder="1" applyAlignment="1">
      <alignment horizontal="center"/>
    </xf>
    <xf numFmtId="0" fontId="47" fillId="0" borderId="51" xfId="0" applyFont="1" applyFill="1" applyBorder="1"/>
    <xf numFmtId="11" fontId="47" fillId="0" borderId="51" xfId="0" applyNumberFormat="1" applyFont="1" applyFill="1" applyBorder="1"/>
    <xf numFmtId="0" fontId="46" fillId="0" borderId="0" xfId="0" applyFont="1" applyFill="1" applyBorder="1" applyAlignment="1">
      <alignment horizontal="center"/>
    </xf>
    <xf numFmtId="0" fontId="47" fillId="0" borderId="0" xfId="0" applyFont="1" applyFill="1" applyBorder="1"/>
    <xf numFmtId="11" fontId="47" fillId="0" borderId="0" xfId="0" applyNumberFormat="1" applyFont="1" applyFill="1" applyBorder="1"/>
    <xf numFmtId="0" fontId="31" fillId="8" borderId="66" xfId="0" applyFont="1" applyFill="1" applyBorder="1" applyAlignment="1">
      <alignment horizontal="center" vertical="center"/>
    </xf>
    <xf numFmtId="0" fontId="31" fillId="8" borderId="33" xfId="0" applyFont="1" applyFill="1" applyBorder="1" applyAlignment="1">
      <alignment horizontal="center" vertical="center"/>
    </xf>
    <xf numFmtId="0" fontId="5" fillId="0" borderId="15" xfId="0" applyFont="1" applyFill="1" applyBorder="1"/>
    <xf numFmtId="0" fontId="5" fillId="0" borderId="0" xfId="0" applyFont="1" applyFill="1" applyBorder="1"/>
    <xf numFmtId="11" fontId="5" fillId="0" borderId="15" xfId="0" applyNumberFormat="1" applyFont="1" applyFill="1" applyBorder="1"/>
    <xf numFmtId="11" fontId="5" fillId="0" borderId="0" xfId="0" applyNumberFormat="1" applyFont="1" applyFill="1" applyBorder="1"/>
    <xf numFmtId="0" fontId="37" fillId="0" borderId="1" xfId="0" applyFont="1" applyBorder="1" applyAlignment="1"/>
    <xf numFmtId="0" fontId="37" fillId="0" borderId="26" xfId="0" applyFont="1" applyBorder="1" applyAlignment="1"/>
    <xf numFmtId="11" fontId="0" fillId="0" borderId="32" xfId="0" applyNumberFormat="1" applyBorder="1"/>
    <xf numFmtId="0" fontId="37" fillId="0" borderId="0" xfId="0" applyFont="1" applyBorder="1" applyAlignment="1"/>
    <xf numFmtId="0" fontId="30" fillId="0" borderId="0" xfId="0" applyFont="1" applyBorder="1" applyAlignment="1">
      <alignment horizontal="center" vertical="center"/>
    </xf>
    <xf numFmtId="11" fontId="0" fillId="0" borderId="0" xfId="0" applyNumberForma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0-F46F-EC41-9060-56AECC808B03}"/>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'NH3'!$M$102:$M$120</c:f>
              <c:numCache>
                <c:formatCode>General</c:formatCode>
                <c:ptCount val="19"/>
                <c:pt idx="0">
                  <c:v>1.0055756116022561</c:v>
                </c:pt>
                <c:pt idx="1">
                  <c:v>1.0058117576803012</c:v>
                </c:pt>
                <c:pt idx="2">
                  <c:v>1.0314188286923798</c:v>
                </c:pt>
                <c:pt idx="3">
                  <c:v>1.089389272054446</c:v>
                </c:pt>
                <c:pt idx="4">
                  <c:v>1.1862545013821679</c:v>
                </c:pt>
                <c:pt idx="5">
                  <c:v>1.3268799313733808</c:v>
                </c:pt>
                <c:pt idx="6">
                  <c:v>1.5172999529346272</c:v>
                </c:pt>
                <c:pt idx="7">
                  <c:v>1.7658155878493342</c:v>
                </c:pt>
                <c:pt idx="8">
                  <c:v>2.083444256061747</c:v>
                </c:pt>
                <c:pt idx="9">
                  <c:v>2.4842545094398427</c:v>
                </c:pt>
                <c:pt idx="10">
                  <c:v>2.9857565618685236</c:v>
                </c:pt>
                <c:pt idx="11">
                  <c:v>3.6093920325554492</c:v>
                </c:pt>
                <c:pt idx="12">
                  <c:v>4.3811318605683862</c:v>
                </c:pt>
                <c:pt idx="13">
                  <c:v>5.3321853042623237</c:v>
                </c:pt>
                <c:pt idx="14">
                  <c:v>6.4998240803617646</c:v>
                </c:pt>
                <c:pt idx="15">
                  <c:v>7.9283280281990791</c:v>
                </c:pt>
                <c:pt idx="16">
                  <c:v>9.6700607949388342</c:v>
                </c:pt>
                <c:pt idx="17">
                  <c:v>11.786685747364226</c:v>
                </c:pt>
                <c:pt idx="18">
                  <c:v>14.350533713209794</c:v>
                </c:pt>
              </c:numCache>
            </c:numRef>
          </c:val>
          <c:smooth val="0"/>
          <c:extLst>
            <c:ext xmlns:c16="http://schemas.microsoft.com/office/drawing/2014/chart" uri="{C3380CC4-5D6E-409C-BE32-E72D297353CC}">
              <c16:uniqueId val="{00000000-EBC5-0145-9955-1E2E9F49EEF2}"/>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'NH3'!$D$136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DCA9-294E-BB8F-A05875B82981}"/>
            </c:ext>
          </c:extLst>
        </c:ser>
        <c:ser>
          <c:idx val="1"/>
          <c:order val="1"/>
          <c:tx>
            <c:strRef>
              <c:f>'NH3'!$E$136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'NH3'!$C$138:$C$155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DCA9-294E-BB8F-A05875B8298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2C2-5B45-BDC9-FA5EFA876CE9}"/>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0F72-DE4D-BB28-1454CFC41405}"/>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066E-FD4A-BCF9-4373E80ABAF4}"/>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[2]CH3!$U$102:$U$120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[2]CH3!$Z$102:$Z$120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84F9-4C42-9562-7A3062E7BF1B}"/>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0950-3C4A-A1ED-62B5CF411E15}"/>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777B-AF47-ACB6-718279A51EBA}"/>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86-8445-B380-CB4BF3962961}"/>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8686-8445-B380-CB4BF396296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C255-4548-833C-4DF880FF5E4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EFD3-7E47-BD2C-6793E396B1FD}"/>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A33F-6C45-871A-0C705707663C}"/>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4FAA-2C43-B034-20FFA9281A58}"/>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'NH2'!$E$66:$E$83</c:f>
              <c:numCache>
                <c:formatCode>0.00E+00</c:formatCode>
                <c:ptCount val="18"/>
                <c:pt idx="0">
                  <c:v>2558005.664168728</c:v>
                </c:pt>
                <c:pt idx="1">
                  <c:v>5251076.4757205164</c:v>
                </c:pt>
                <c:pt idx="2">
                  <c:v>9173253.0896571595</c:v>
                </c:pt>
                <c:pt idx="3">
                  <c:v>14470265.211578485</c:v>
                </c:pt>
                <c:pt idx="4">
                  <c:v>21273721.282398958</c:v>
                </c:pt>
                <c:pt idx="5">
                  <c:v>29704574.276089154</c:v>
                </c:pt>
                <c:pt idx="6">
                  <c:v>39875361.987503298</c:v>
                </c:pt>
                <c:pt idx="7">
                  <c:v>51891755.72189635</c:v>
                </c:pt>
                <c:pt idx="8">
                  <c:v>65853684.383333303</c:v>
                </c:pt>
                <c:pt idx="9">
                  <c:v>81856181.253399745</c:v>
                </c:pt>
                <c:pt idx="10">
                  <c:v>99990040.840508208</c:v>
                </c:pt>
                <c:pt idx="11">
                  <c:v>120342340.63885535</c:v>
                </c:pt>
                <c:pt idx="12">
                  <c:v>142996863.79777098</c:v>
                </c:pt>
                <c:pt idx="13">
                  <c:v>168034447.22305748</c:v>
                </c:pt>
                <c:pt idx="14">
                  <c:v>195533272.33575085</c:v>
                </c:pt>
                <c:pt idx="15">
                  <c:v>225569110.90905237</c:v>
                </c:pt>
                <c:pt idx="16">
                  <c:v>258215535.14348531</c:v>
                </c:pt>
                <c:pt idx="17">
                  <c:v>293544098.86903071</c:v>
                </c:pt>
              </c:numCache>
            </c:numRef>
          </c:val>
          <c:smooth val="0"/>
          <c:extLst>
            <c:ext xmlns:c16="http://schemas.microsoft.com/office/drawing/2014/chart" uri="{C3380CC4-5D6E-409C-BE32-E72D297353CC}">
              <c16:uniqueId val="{00000000-1F7D-1543-A05A-33C50C4ED54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'NH2'!$G$102:$G$120</c:f>
              <c:numCache>
                <c:formatCode>General</c:formatCode>
                <c:ptCount val="19"/>
                <c:pt idx="0">
                  <c:v>1.0007138992037585</c:v>
                </c:pt>
                <c:pt idx="1">
                  <c:v>1.0007465586429127</c:v>
                </c:pt>
                <c:pt idx="2">
                  <c:v>1.0045464145926861</c:v>
                </c:pt>
                <c:pt idx="3">
                  <c:v>1.0136138427839887</c:v>
                </c:pt>
                <c:pt idx="4">
                  <c:v>1.0287908747008012</c:v>
                </c:pt>
                <c:pt idx="5">
                  <c:v>1.0501364725772702</c:v>
                </c:pt>
                <c:pt idx="6">
                  <c:v>1.0774857322391169</c:v>
                </c:pt>
                <c:pt idx="7">
                  <c:v>1.110660480012756</c:v>
                </c:pt>
                <c:pt idx="8">
                  <c:v>1.1495130976409795</c:v>
                </c:pt>
                <c:pt idx="9">
                  <c:v>1.1939254469820919</c:v>
                </c:pt>
                <c:pt idx="10">
                  <c:v>1.2438029607707202</c:v>
                </c:pt>
                <c:pt idx="11">
                  <c:v>1.2990713641175997</c:v>
                </c:pt>
                <c:pt idx="12">
                  <c:v>1.35967536720375</c:v>
                </c:pt>
                <c:pt idx="13">
                  <c:v>1.4255779645190307</c:v>
                </c:pt>
                <c:pt idx="14">
                  <c:v>1.4967596268095535</c:v>
                </c:pt>
                <c:pt idx="15">
                  <c:v>1.5732171937845794</c:v>
                </c:pt>
                <c:pt idx="16">
                  <c:v>1.6549625177837086</c:v>
                </c:pt>
                <c:pt idx="17">
                  <c:v>1.7420209772304565</c:v>
                </c:pt>
                <c:pt idx="18">
                  <c:v>1.8344299707073173</c:v>
                </c:pt>
              </c:numCache>
            </c:numRef>
          </c:val>
          <c:smooth val="0"/>
          <c:extLst>
            <c:ext xmlns:c16="http://schemas.microsoft.com/office/drawing/2014/chart" uri="{C3380CC4-5D6E-409C-BE32-E72D297353CC}">
              <c16:uniqueId val="{00000000-7783-904D-9F65-A13F527C401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'NH2'!$D$136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'NH2'!$D$138:$D$155</c:f>
              <c:numCache>
                <c:formatCode>0.00E+00</c:formatCode>
                <c:ptCount val="18"/>
                <c:pt idx="0">
                  <c:v>365.24244266869016</c:v>
                </c:pt>
                <c:pt idx="1">
                  <c:v>562.32752691799101</c:v>
                </c:pt>
                <c:pt idx="2">
                  <c:v>785.87660987997492</c:v>
                </c:pt>
                <c:pt idx="3">
                  <c:v>1033.0616319526812</c:v>
                </c:pt>
                <c:pt idx="4">
                  <c:v>1301.8064426421026</c:v>
                </c:pt>
                <c:pt idx="5">
                  <c:v>1590.5024301262708</c:v>
                </c:pt>
                <c:pt idx="6">
                  <c:v>1897.8554033481953</c:v>
                </c:pt>
                <c:pt idx="7">
                  <c:v>2222.7947200880758</c:v>
                </c:pt>
                <c:pt idx="8">
                  <c:v>2564.4154471037127</c:v>
                </c:pt>
                <c:pt idx="9">
                  <c:v>2921.9395413495372</c:v>
                </c:pt>
                <c:pt idx="10">
                  <c:v>3294.6886893499136</c:v>
                </c:pt>
                <c:pt idx="11">
                  <c:v>3682.0646535382789</c:v>
                </c:pt>
                <c:pt idx="12">
                  <c:v>4083.5346503762921</c:v>
                </c:pt>
                <c:pt idx="13">
                  <c:v>4498.6202153438899</c:v>
                </c:pt>
                <c:pt idx="14">
                  <c:v>4926.8885530598673</c:v>
                </c:pt>
                <c:pt idx="15">
                  <c:v>5367.9457016761726</c:v>
                </c:pt>
                <c:pt idx="16">
                  <c:v>5821.4310496408043</c:v>
                </c:pt>
                <c:pt idx="17">
                  <c:v>6287.0128790397457</c:v>
                </c:pt>
              </c:numCache>
            </c:numRef>
          </c:val>
          <c:smooth val="0"/>
          <c:extLst>
            <c:ext xmlns:c16="http://schemas.microsoft.com/office/drawing/2014/chart" uri="{C3380CC4-5D6E-409C-BE32-E72D297353CC}">
              <c16:uniqueId val="{00000000-5507-7545-9C08-76FC9F9CA4E7}"/>
            </c:ext>
          </c:extLst>
        </c:ser>
        <c:ser>
          <c:idx val="1"/>
          <c:order val="1"/>
          <c:tx>
            <c:strRef>
              <c:f>'NH2'!$E$136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'NH2'!$C$138:$C$155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'NH2'!$E$138:$E$155</c:f>
              <c:numCache>
                <c:formatCode>0.00E+00</c:formatCode>
                <c:ptCount val="18"/>
                <c:pt idx="0">
                  <c:v>54.149708378468695</c:v>
                </c:pt>
                <c:pt idx="1">
                  <c:v>83.368929890263047</c:v>
                </c:pt>
                <c:pt idx="2">
                  <c:v>116.51162152877644</c:v>
                </c:pt>
                <c:pt idx="3">
                  <c:v>153.15850397475677</c:v>
                </c:pt>
                <c:pt idx="4">
                  <c:v>193.00177361431327</c:v>
                </c:pt>
                <c:pt idx="5">
                  <c:v>235.80294266268322</c:v>
                </c:pt>
                <c:pt idx="6">
                  <c:v>281.37013837963769</c:v>
                </c:pt>
                <c:pt idx="7">
                  <c:v>329.5446306801532</c:v>
                </c:pt>
                <c:pt idx="8">
                  <c:v>380.19225697674023</c:v>
                </c:pt>
                <c:pt idx="9">
                  <c:v>433.19766702774967</c:v>
                </c:pt>
                <c:pt idx="10">
                  <c:v>488.4602961873465</c:v>
                </c:pt>
                <c:pt idx="11">
                  <c:v>545.89145161484782</c:v>
                </c:pt>
                <c:pt idx="12">
                  <c:v>605.41214448022993</c:v>
                </c:pt>
                <c:pt idx="13">
                  <c:v>666.95143912210449</c:v>
                </c:pt>
                <c:pt idx="14">
                  <c:v>730.44517064356944</c:v>
                </c:pt>
                <c:pt idx="15">
                  <c:v>795.83493148655714</c:v>
                </c:pt>
                <c:pt idx="16">
                  <c:v>863.06725850411249</c:v>
                </c:pt>
                <c:pt idx="17">
                  <c:v>932.09297223021019</c:v>
                </c:pt>
              </c:numCache>
            </c:numRef>
          </c:val>
          <c:smooth val="0"/>
          <c:extLst>
            <c:ext xmlns:c16="http://schemas.microsoft.com/office/drawing/2014/chart" uri="{C3380CC4-5D6E-409C-BE32-E72D297353CC}">
              <c16:uniqueId val="{00000001-5507-7545-9C08-76FC9F9CA4E7}"/>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E016-9E4E-AB74-57B6450AB03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'NH2'!$H$215:$H$232</c:f>
              <c:numCache>
                <c:formatCode>0.00E+00</c:formatCode>
                <c:ptCount val="18"/>
                <c:pt idx="0">
                  <c:v>25.265734942438975</c:v>
                </c:pt>
                <c:pt idx="1">
                  <c:v>26.063059348840014</c:v>
                </c:pt>
                <c:pt idx="2">
                  <c:v>27.169477142792054</c:v>
                </c:pt>
                <c:pt idx="3">
                  <c:v>28.420545342704884</c:v>
                </c:pt>
                <c:pt idx="4">
                  <c:v>29.754875753444129</c:v>
                </c:pt>
                <c:pt idx="5">
                  <c:v>31.137873369920307</c:v>
                </c:pt>
                <c:pt idx="6">
                  <c:v>32.531367428612683</c:v>
                </c:pt>
                <c:pt idx="7">
                  <c:v>33.896723924877861</c:v>
                </c:pt>
                <c:pt idx="8">
                  <c:v>35.202394283522935</c:v>
                </c:pt>
                <c:pt idx="9">
                  <c:v>36.427138970832573</c:v>
                </c:pt>
                <c:pt idx="10">
                  <c:v>37.559512699943042</c:v>
                </c:pt>
                <c:pt idx="11">
                  <c:v>38.595716109094425</c:v>
                </c:pt>
                <c:pt idx="12">
                  <c:v>39.537212382211052</c:v>
                </c:pt>
                <c:pt idx="13">
                  <c:v>40.38871785929652</c:v>
                </c:pt>
                <c:pt idx="14">
                  <c:v>41.156716440290978</c:v>
                </c:pt>
                <c:pt idx="15">
                  <c:v>41.848448917063173</c:v>
                </c:pt>
                <c:pt idx="16">
                  <c:v>42.471269489591776</c:v>
                </c:pt>
                <c:pt idx="17">
                  <c:v>43.032262954141601</c:v>
                </c:pt>
              </c:numCache>
            </c:numRef>
          </c:val>
          <c:smooth val="0"/>
          <c:extLst>
            <c:ext xmlns:c16="http://schemas.microsoft.com/office/drawing/2014/chart" uri="{C3380CC4-5D6E-409C-BE32-E72D297353CC}">
              <c16:uniqueId val="{00000000-1690-B840-A090-9859A2B9E7AE}"/>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'NH2'!$J$263:$J$280</c:f>
              <c:numCache>
                <c:formatCode>0.00E+00</c:formatCode>
                <c:ptCount val="18"/>
                <c:pt idx="0">
                  <c:v>194.93738262460917</c:v>
                </c:pt>
                <c:pt idx="1">
                  <c:v>204.6966545109706</c:v>
                </c:pt>
                <c:pt idx="2">
                  <c:v>212.48287280475304</c:v>
                </c:pt>
                <c:pt idx="3">
                  <c:v>219.06136742962235</c:v>
                </c:pt>
                <c:pt idx="4">
                  <c:v>224.82344011957471</c:v>
                </c:pt>
                <c:pt idx="5">
                  <c:v>229.99682611552265</c:v>
                </c:pt>
                <c:pt idx="6">
                  <c:v>234.7241819738874</c:v>
                </c:pt>
                <c:pt idx="7">
                  <c:v>239.09877812680517</c:v>
                </c:pt>
                <c:pt idx="8">
                  <c:v>243.18373491482606</c:v>
                </c:pt>
                <c:pt idx="9">
                  <c:v>247.02334165165681</c:v>
                </c:pt>
                <c:pt idx="10">
                  <c:v>250.64992667259176</c:v>
                </c:pt>
                <c:pt idx="11">
                  <c:v>254.0880645946817</c:v>
                </c:pt>
                <c:pt idx="12">
                  <c:v>257.35716647219385</c:v>
                </c:pt>
                <c:pt idx="13">
                  <c:v>260.4730883677264</c:v>
                </c:pt>
                <c:pt idx="14">
                  <c:v>263.44914499595734</c:v>
                </c:pt>
                <c:pt idx="15">
                  <c:v>266.29676203484371</c:v>
                </c:pt>
                <c:pt idx="16">
                  <c:v>269.02590745765457</c:v>
                </c:pt>
                <c:pt idx="17">
                  <c:v>271.64538609369737</c:v>
                </c:pt>
              </c:numCache>
            </c:numRef>
          </c:val>
          <c:smooth val="0"/>
          <c:extLst>
            <c:ext xmlns:c16="http://schemas.microsoft.com/office/drawing/2014/chart" uri="{C3380CC4-5D6E-409C-BE32-E72D297353CC}">
              <c16:uniqueId val="{00000000-7FEB-8A4E-8B4D-3DBA1DBF4D9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'NH2'!$U$102:$U$120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'NH2'!$Z$102:$Z$120</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mooth val="0"/>
          <c:extLst>
            <c:ext xmlns:c16="http://schemas.microsoft.com/office/drawing/2014/chart" uri="{C3380CC4-5D6E-409C-BE32-E72D297353CC}">
              <c16:uniqueId val="{00000000-A64D-E249-833D-988C79440F5D}"/>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'H2'!$E$66:$E$83</c:f>
              <c:numCache>
                <c:formatCode>0.00E+00</c:formatCode>
                <c:ptCount val="18"/>
                <c:pt idx="0">
                  <c:v>114178.01036804235</c:v>
                </c:pt>
                <c:pt idx="1">
                  <c:v>234384.72896542485</c:v>
                </c:pt>
                <c:pt idx="2">
                  <c:v>409453.27098012256</c:v>
                </c:pt>
                <c:pt idx="3">
                  <c:v>645888.36314904713</c:v>
                </c:pt>
                <c:pt idx="4">
                  <c:v>949564.42167925066</c:v>
                </c:pt>
                <c:pt idx="5">
                  <c:v>1325880.2500641872</c:v>
                </c:pt>
                <c:pt idx="6">
                  <c:v>1779859.0355811976</c:v>
                </c:pt>
                <c:pt idx="7">
                  <c:v>2316217.475912435</c:v>
                </c:pt>
                <c:pt idx="8">
                  <c:v>2939415.9534582081</c:v>
                </c:pt>
                <c:pt idx="9">
                  <c:v>3653696.3317773752</c:v>
                </c:pt>
                <c:pt idx="10">
                  <c:v>4463111.27442268</c:v>
                </c:pt>
                <c:pt idx="11">
                  <c:v>5371547.5339429826</c:v>
                </c:pt>
                <c:pt idx="12">
                  <c:v>6382744.8179655354</c:v>
                </c:pt>
                <c:pt idx="13">
                  <c:v>7500311.326893637</c:v>
                </c:pt>
                <c:pt idx="14">
                  <c:v>8727736.7320857942</c:v>
                </c:pt>
                <c:pt idx="15">
                  <c:v>10068403.148924792</c:v>
                </c:pt>
                <c:pt idx="16">
                  <c:v>11525594.513639903</c:v>
                </c:pt>
                <c:pt idx="17">
                  <c:v>13102504.671363808</c:v>
                </c:pt>
              </c:numCache>
            </c:numRef>
          </c:val>
          <c:smooth val="0"/>
          <c:extLst>
            <c:ext xmlns:c16="http://schemas.microsoft.com/office/drawing/2014/chart" uri="{C3380CC4-5D6E-409C-BE32-E72D297353CC}">
              <c16:uniqueId val="{00000000-652B-C447-AB34-9F476EEB3134}"/>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'H2'!$E$102:$E$120</c:f>
              <c:numCache>
                <c:formatCode>General</c:formatCode>
                <c:ptCount val="19"/>
                <c:pt idx="0">
                  <c:v>1.0000000004626304</c:v>
                </c:pt>
                <c:pt idx="1">
                  <c:v>1.0000000005282002</c:v>
                </c:pt>
                <c:pt idx="2">
                  <c:v>1.0000001101790055</c:v>
                </c:pt>
                <c:pt idx="3">
                  <c:v>1.000002714439828</c:v>
                </c:pt>
                <c:pt idx="4">
                  <c:v>1.0000229831304135</c:v>
                </c:pt>
                <c:pt idx="5">
                  <c:v>1.0001057066628936</c:v>
                </c:pt>
                <c:pt idx="6">
                  <c:v>1.0003320424275408</c:v>
                </c:pt>
                <c:pt idx="7">
                  <c:v>1.0008090040031887</c:v>
                </c:pt>
                <c:pt idx="8">
                  <c:v>1.001650272389091</c:v>
                </c:pt>
                <c:pt idx="9">
                  <c:v>1.0029589475450924</c:v>
                </c:pt>
                <c:pt idx="10">
                  <c:v>1.0048171106461996</c:v>
                </c:pt>
                <c:pt idx="11">
                  <c:v>1.0072821304176591</c:v>
                </c:pt>
                <c:pt idx="12">
                  <c:v>1.0103876246158896</c:v>
                </c:pt>
                <c:pt idx="13">
                  <c:v>1.0141468756805898</c:v>
                </c:pt>
                <c:pt idx="14">
                  <c:v>1.0185570987982238</c:v>
                </c:pt>
                <c:pt idx="15">
                  <c:v>1.0236036186304809</c:v>
                </c:pt>
                <c:pt idx="16">
                  <c:v>1.0292635026047445</c:v>
                </c:pt>
                <c:pt idx="17">
                  <c:v>1.0355085030737978</c:v>
                </c:pt>
                <c:pt idx="18">
                  <c:v>1.0423073232911084</c:v>
                </c:pt>
              </c:numCache>
            </c:numRef>
          </c:val>
          <c:smooth val="0"/>
          <c:extLst>
            <c:ext xmlns:c16="http://schemas.microsoft.com/office/drawing/2014/chart" uri="{C3380CC4-5D6E-409C-BE32-E72D297353CC}">
              <c16:uniqueId val="{00000000-FF2E-E94D-A99A-F15C8779FC3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'H2'!$D$136</c:f>
              <c:strCache>
                <c:ptCount val="1"/>
                <c:pt idx="0">
                  <c:v>Qrot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'H2'!$D$138:$D$155</c:f>
              <c:numCache>
                <c:formatCode>0.00E+00</c:formatCode>
                <c:ptCount val="18"/>
                <c:pt idx="0">
                  <c:v>1.7184736568947652</c:v>
                </c:pt>
                <c:pt idx="1">
                  <c:v>2.2912982091930205</c:v>
                </c:pt>
                <c:pt idx="2">
                  <c:v>2.8641227614912754</c:v>
                </c:pt>
                <c:pt idx="3">
                  <c:v>3.4369473137895303</c:v>
                </c:pt>
                <c:pt idx="4">
                  <c:v>4.0097718660877852</c:v>
                </c:pt>
                <c:pt idx="5">
                  <c:v>4.582596418386041</c:v>
                </c:pt>
                <c:pt idx="6">
                  <c:v>5.1554209706842959</c:v>
                </c:pt>
                <c:pt idx="7">
                  <c:v>5.7282455229825509</c:v>
                </c:pt>
                <c:pt idx="8">
                  <c:v>6.3010700752808058</c:v>
                </c:pt>
                <c:pt idx="9">
                  <c:v>6.8738946275790607</c:v>
                </c:pt>
                <c:pt idx="10">
                  <c:v>7.4467191798773165</c:v>
                </c:pt>
                <c:pt idx="11">
                  <c:v>8.0195437321755705</c:v>
                </c:pt>
                <c:pt idx="12">
                  <c:v>8.5923682844738263</c:v>
                </c:pt>
                <c:pt idx="13">
                  <c:v>9.1651928367720821</c:v>
                </c:pt>
                <c:pt idx="14">
                  <c:v>9.7380173890703361</c:v>
                </c:pt>
                <c:pt idx="15">
                  <c:v>10.310841941368592</c:v>
                </c:pt>
                <c:pt idx="16">
                  <c:v>10.883666493666846</c:v>
                </c:pt>
                <c:pt idx="17">
                  <c:v>11.456491045965102</c:v>
                </c:pt>
              </c:numCache>
            </c:numRef>
          </c:val>
          <c:smooth val="0"/>
          <c:extLst>
            <c:ext xmlns:c16="http://schemas.microsoft.com/office/drawing/2014/chart" uri="{C3380CC4-5D6E-409C-BE32-E72D297353CC}">
              <c16:uniqueId val="{00000000-6E5E-5843-9439-1068E8246396}"/>
            </c:ext>
          </c:extLst>
        </c:ser>
        <c:ser>
          <c:idx val="1"/>
          <c:order val="1"/>
          <c:tx>
            <c:strRef>
              <c:f>'H2'!$E$136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'H2'!$E$138:$E$155</c:f>
              <c:numCache>
                <c:formatCode>0.00E+00</c:formatCode>
                <c:ptCount val="18"/>
              </c:numCache>
            </c:numRef>
          </c:val>
          <c:smooth val="0"/>
          <c:extLst>
            <c:ext xmlns:c16="http://schemas.microsoft.com/office/drawing/2014/chart" uri="{C3380CC4-5D6E-409C-BE32-E72D297353CC}">
              <c16:uniqueId val="{00000001-6E5E-5843-9439-1068E8246396}"/>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92EE-5B48-97C6-4D78D2A42CF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'H2'!$H$215:$H$232</c:f>
              <c:numCache>
                <c:formatCode>0.00E+00</c:formatCode>
                <c:ptCount val="18"/>
                <c:pt idx="0">
                  <c:v>20.786002004069736</c:v>
                </c:pt>
                <c:pt idx="1">
                  <c:v>20.78623514234576</c:v>
                </c:pt>
                <c:pt idx="2">
                  <c:v>20.789707578189869</c:v>
                </c:pt>
                <c:pt idx="3">
                  <c:v>20.807800356189674</c:v>
                </c:pt>
                <c:pt idx="4">
                  <c:v>20.85967119025144</c:v>
                </c:pt>
                <c:pt idx="5">
                  <c:v>20.963215708569074</c:v>
                </c:pt>
                <c:pt idx="6">
                  <c:v>21.127318993346549</c:v>
                </c:pt>
                <c:pt idx="7">
                  <c:v>21.350435978464454</c:v>
                </c:pt>
                <c:pt idx="8">
                  <c:v>21.623485817905699</c:v>
                </c:pt>
                <c:pt idx="9">
                  <c:v>21.933765379540183</c:v>
                </c:pt>
                <c:pt idx="10">
                  <c:v>22.268055544733876</c:v>
                </c:pt>
                <c:pt idx="11">
                  <c:v>22.614476944561044</c:v>
                </c:pt>
                <c:pt idx="12">
                  <c:v>22.963308203948081</c:v>
                </c:pt>
                <c:pt idx="13">
                  <c:v>23.307136170558366</c:v>
                </c:pt>
                <c:pt idx="14">
                  <c:v>23.640652009907356</c:v>
                </c:pt>
                <c:pt idx="15">
                  <c:v>23.960302541402214</c:v>
                </c:pt>
                <c:pt idx="16">
                  <c:v>24.263916354393952</c:v>
                </c:pt>
                <c:pt idx="17">
                  <c:v>24.550363203480437</c:v>
                </c:pt>
              </c:numCache>
            </c:numRef>
          </c:val>
          <c:smooth val="0"/>
          <c:extLst>
            <c:ext xmlns:c16="http://schemas.microsoft.com/office/drawing/2014/chart" uri="{C3380CC4-5D6E-409C-BE32-E72D297353CC}">
              <c16:uniqueId val="{00000000-94A7-824F-9F91-EF196DC53CC8}"/>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'H2'!$J$263:$J$280</c:f>
              <c:numCache>
                <c:formatCode>0.00E+00</c:formatCode>
                <c:ptCount val="18"/>
                <c:pt idx="0">
                  <c:v>130.42751367842837</c:v>
                </c:pt>
                <c:pt idx="1">
                  <c:v>138.79919255451617</c:v>
                </c:pt>
                <c:pt idx="2">
                  <c:v>145.29305540342239</c:v>
                </c:pt>
                <c:pt idx="3">
                  <c:v>150.60060592814287</c:v>
                </c:pt>
                <c:pt idx="4">
                  <c:v>155.09314540612846</c:v>
                </c:pt>
                <c:pt idx="5">
                  <c:v>158.99491290885814</c:v>
                </c:pt>
                <c:pt idx="6">
                  <c:v>162.45219033832933</c:v>
                </c:pt>
                <c:pt idx="7">
                  <c:v>165.56524539989556</c:v>
                </c:pt>
                <c:pt idx="8">
                  <c:v>168.40506295598249</c:v>
                </c:pt>
                <c:pt idx="9">
                  <c:v>171.02308158698884</c:v>
                </c:pt>
                <c:pt idx="10">
                  <c:v>173.45730866754866</c:v>
                </c:pt>
                <c:pt idx="11">
                  <c:v>175.73634787016499</c:v>
                </c:pt>
                <c:pt idx="12">
                  <c:v>177.88212475823929</c:v>
                </c:pt>
                <c:pt idx="13">
                  <c:v>179.91176059479022</c:v>
                </c:pt>
                <c:pt idx="14">
                  <c:v>181.83887425711393</c:v>
                </c:pt>
                <c:pt idx="15">
                  <c:v>183.6744949264951</c:v>
                </c:pt>
                <c:pt idx="16">
                  <c:v>185.427707751025</c:v>
                </c:pt>
                <c:pt idx="17">
                  <c:v>187.1061151884889</c:v>
                </c:pt>
              </c:numCache>
            </c:numRef>
          </c:val>
          <c:smooth val="0"/>
          <c:extLst>
            <c:ext xmlns:c16="http://schemas.microsoft.com/office/drawing/2014/chart" uri="{C3380CC4-5D6E-409C-BE32-E72D297353CC}">
              <c16:uniqueId val="{00000000-82FC-C24F-ADE2-3EEBE810908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'H2'!$Z$102:$Z$120</c:f>
              <c:numCache>
                <c:formatCode>General</c:formatCode>
                <c:ptCount val="19"/>
                <c:pt idx="0">
                  <c:v>4.1299026196586448</c:v>
                </c:pt>
                <c:pt idx="1">
                  <c:v>4.5094601164949211</c:v>
                </c:pt>
                <c:pt idx="2">
                  <c:v>178.26265722761028</c:v>
                </c:pt>
                <c:pt idx="3">
                  <c:v>1932.1314621827198</c:v>
                </c:pt>
                <c:pt idx="4">
                  <c:v>10642.408283359193</c:v>
                </c:pt>
                <c:pt idx="5">
                  <c:v>39148.779984165492</c:v>
                </c:pt>
                <c:pt idx="6">
                  <c:v>110734.97020871988</c:v>
                </c:pt>
                <c:pt idx="7">
                  <c:v>261096.2767013952</c:v>
                </c:pt>
                <c:pt idx="8">
                  <c:v>539432.1564149647</c:v>
                </c:pt>
                <c:pt idx="9">
                  <c:v>1008986.9939812304</c:v>
                </c:pt>
                <c:pt idx="10">
                  <c:v>1747318.7670495431</c:v>
                </c:pt>
                <c:pt idx="11">
                  <c:v>2846475.7120627295</c:v>
                </c:pt>
                <c:pt idx="12">
                  <c:v>4413175.6762165241</c:v>
                </c:pt>
                <c:pt idx="13">
                  <c:v>6569027.2305707633</c:v>
                </c:pt>
                <c:pt idx="14">
                  <c:v>9450801.1969385799</c:v>
                </c:pt>
                <c:pt idx="15">
                  <c:v>13210747.260469295</c:v>
                </c:pt>
                <c:pt idx="16">
                  <c:v>18016945.549229447</c:v>
                </c:pt>
                <c:pt idx="17">
                  <c:v>24053682.744893592</c:v>
                </c:pt>
                <c:pt idx="18">
                  <c:v>31521843.780337002</c:v>
                </c:pt>
              </c:numCache>
            </c:numRef>
          </c:val>
          <c:smooth val="0"/>
          <c:extLst>
            <c:ext xmlns:c16="http://schemas.microsoft.com/office/drawing/2014/chart" uri="{C3380CC4-5D6E-409C-BE32-E72D297353CC}">
              <c16:uniqueId val="{00000000-C0CD-174A-B5A7-9D2C70A3A915}"/>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F265C2CF-6E7C-E540-B543-CF43B3261686}"/>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EE3F95DA-D5F7-DF40-92CC-22C01DE5E05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6C5B9EAA-6B76-EE45-B940-77ACCE06837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6C5B9EAA-6B76-EE45-B940-77ACCE06837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0477CE3E-9632-6441-A8D2-53FF65323226}"/>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0477CE3E-9632-6441-A8D2-53FF65323226}"/>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B208FB2-92F3-D744-9145-359274F6A278}"/>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2E9C71CE-DA04-4043-AE52-169E5A037F53}"/>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2E9C71CE-DA04-4043-AE52-169E5A037F53}"/>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449CADED-84E7-0D4E-90E8-C52BE1AAF020}"/>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449CADED-84E7-0D4E-90E8-C52BE1AAF020}"/>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271E3869-2810-124D-A59D-FBD36A54404A}"/>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F431B424-B68E-5D42-882B-6ABFA8B9C5EA}"/>
                </a:ext>
              </a:extLst>
            </xdr:cNvPr>
            <xdr:cNvSpPr/>
          </xdr:nvSpPr>
          <xdr:spPr>
            <a:xfrm>
              <a:off x="12863247" y="14841201"/>
              <a:ext cx="50437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F431B424-B68E-5D42-882B-6ABFA8B9C5EA}"/>
                </a:ext>
              </a:extLst>
            </xdr:cNvPr>
            <xdr:cNvSpPr/>
          </xdr:nvSpPr>
          <xdr:spPr>
            <a:xfrm>
              <a:off x="12863247" y="14841201"/>
              <a:ext cx="50437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54D61712-B5E7-674B-A54B-A51C32DD1B57}"/>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674603A5-FCBF-444B-8CF9-E74F9F9409AA}"/>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674603A5-FCBF-444B-8CF9-E74F9F9409AA}"/>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94842E4F-51A3-4E43-B290-9D4FB2DAF82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B19029F-3618-8F46-AC2F-04CBD777E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154D5D4-D851-DA48-8B5D-289C30062FD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mc:Choice xmlns:a14="http://schemas.microsoft.com/office/drawing/2010/main" Requires="a14">
        <xdr:sp macro="" textlink="">
          <xdr:nvSpPr>
            <xdr:cNvPr id="16" name="TextBox 15">
              <a:extLst>
                <a:ext uri="{FF2B5EF4-FFF2-40B4-BE49-F238E27FC236}">
                  <a16:creationId xmlns:a16="http://schemas.microsoft.com/office/drawing/2014/main" id="{3CC0732B-1FF9-B343-8CD5-4961E5C6DF79}"/>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16" name="TextBox 15">
              <a:extLst>
                <a:ext uri="{FF2B5EF4-FFF2-40B4-BE49-F238E27FC236}">
                  <a16:creationId xmlns:a16="http://schemas.microsoft.com/office/drawing/2014/main" id="{3CC0732B-1FF9-B343-8CD5-4961E5C6DF79}"/>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2083F7DE-8BD4-B24A-92A6-BEA18AA103E6}"/>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6A48E57B-64D7-874B-AF5C-C0AEA68CA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B48221C1-302B-F843-AAE9-E5339729EDD2}"/>
            </a:ext>
          </a:extLst>
        </xdr:cNvPr>
        <xdr:cNvCxnSpPr/>
      </xdr:nvCxnSpPr>
      <xdr:spPr>
        <a:xfrm>
          <a:off x="6002428" y="33354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BBFFF2B4-4A26-DB4F-BDAF-C9C9B8811C3D}"/>
                </a:ext>
              </a:extLst>
            </xdr:cNvPr>
            <xdr:cNvSpPr txBox="1"/>
          </xdr:nvSpPr>
          <xdr:spPr>
            <a:xfrm>
              <a:off x="9421430" y="32958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BBFFF2B4-4A26-DB4F-BDAF-C9C9B8811C3D}"/>
                </a:ext>
              </a:extLst>
            </xdr:cNvPr>
            <xdr:cNvSpPr txBox="1"/>
          </xdr:nvSpPr>
          <xdr:spPr>
            <a:xfrm>
              <a:off x="9421430" y="32958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9F8D087B-CCC5-2A43-83ED-297B4F5A176B}"/>
            </a:ext>
          </a:extLst>
        </xdr:cNvPr>
        <xdr:cNvSpPr/>
      </xdr:nvSpPr>
      <xdr:spPr>
        <a:xfrm>
          <a:off x="8764154" y="330540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mc:Choice xmlns:a14="http://schemas.microsoft.com/office/drawing/2010/main" Requires="a14">
        <xdr:sp macro="" textlink="">
          <xdr:nvSpPr>
            <xdr:cNvPr id="22" name="Rectangle 21">
              <a:extLst>
                <a:ext uri="{FF2B5EF4-FFF2-40B4-BE49-F238E27FC236}">
                  <a16:creationId xmlns:a16="http://schemas.microsoft.com/office/drawing/2014/main" id="{43B86E4E-B35D-3546-B82B-513F850AD5F1}"/>
                </a:ext>
              </a:extLst>
            </xdr:cNvPr>
            <xdr:cNvSpPr/>
          </xdr:nvSpPr>
          <xdr:spPr>
            <a:xfrm>
              <a:off x="12521680" y="32961735"/>
              <a:ext cx="50437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dr:sp macro="" textlink="">
          <xdr:nvSpPr>
            <xdr:cNvPr id="22" name="Rectangle 21">
              <a:extLst>
                <a:ext uri="{FF2B5EF4-FFF2-40B4-BE49-F238E27FC236}">
                  <a16:creationId xmlns:a16="http://schemas.microsoft.com/office/drawing/2014/main" id="{43B86E4E-B35D-3546-B82B-513F850AD5F1}"/>
                </a:ext>
              </a:extLst>
            </xdr:cNvPr>
            <xdr:cNvSpPr/>
          </xdr:nvSpPr>
          <xdr:spPr>
            <a:xfrm>
              <a:off x="12521680" y="32961735"/>
              <a:ext cx="50437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3" name="TextBox 22">
              <a:extLst>
                <a:ext uri="{FF2B5EF4-FFF2-40B4-BE49-F238E27FC236}">
                  <a16:creationId xmlns:a16="http://schemas.microsoft.com/office/drawing/2014/main" id="{B54072A2-8C84-B84E-A341-6A61B47CC364}"/>
                </a:ext>
              </a:extLst>
            </xdr:cNvPr>
            <xdr:cNvSpPr txBox="1"/>
          </xdr:nvSpPr>
          <xdr:spPr>
            <a:xfrm>
              <a:off x="9358575" y="33661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3" name="TextBox 22">
              <a:extLst>
                <a:ext uri="{FF2B5EF4-FFF2-40B4-BE49-F238E27FC236}">
                  <a16:creationId xmlns:a16="http://schemas.microsoft.com/office/drawing/2014/main" id="{B54072A2-8C84-B84E-A341-6A61B47CC364}"/>
                </a:ext>
              </a:extLst>
            </xdr:cNvPr>
            <xdr:cNvSpPr txBox="1"/>
          </xdr:nvSpPr>
          <xdr:spPr>
            <a:xfrm>
              <a:off x="9358575" y="33661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34C7A669-FAAC-C040-883C-233034169B3E}"/>
            </a:ext>
          </a:extLst>
        </xdr:cNvPr>
        <xdr:cNvSpPr/>
      </xdr:nvSpPr>
      <xdr:spPr>
        <a:xfrm>
          <a:off x="9334499" y="336296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mc:Choice xmlns:a14="http://schemas.microsoft.com/office/drawing/2010/main" Requires="a14">
        <xdr:sp macro="" textlink="">
          <xdr:nvSpPr>
            <xdr:cNvPr id="25" name="TextBox 24">
              <a:extLst>
                <a:ext uri="{FF2B5EF4-FFF2-40B4-BE49-F238E27FC236}">
                  <a16:creationId xmlns:a16="http://schemas.microsoft.com/office/drawing/2014/main" id="{67CC77B7-72C1-4645-B8A3-FC2E46F84311}"/>
                </a:ext>
              </a:extLst>
            </xdr:cNvPr>
            <xdr:cNvSpPr txBox="1"/>
          </xdr:nvSpPr>
          <xdr:spPr>
            <a:xfrm>
              <a:off x="13408630" y="34405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dr:sp macro="" textlink="">
          <xdr:nvSpPr>
            <xdr:cNvPr id="25" name="TextBox 24">
              <a:extLst>
                <a:ext uri="{FF2B5EF4-FFF2-40B4-BE49-F238E27FC236}">
                  <a16:creationId xmlns:a16="http://schemas.microsoft.com/office/drawing/2014/main" id="{67CC77B7-72C1-4645-B8A3-FC2E46F84311}"/>
                </a:ext>
              </a:extLst>
            </xdr:cNvPr>
            <xdr:cNvSpPr txBox="1"/>
          </xdr:nvSpPr>
          <xdr:spPr>
            <a:xfrm>
              <a:off x="13408630" y="34405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D6D2995-1DD5-B845-B5BA-E29519228627}"/>
            </a:ext>
          </a:extLst>
        </xdr:cNvPr>
        <xdr:cNvCxnSpPr>
          <a:endCxn id="25" idx="1"/>
        </xdr:cNvCxnSpPr>
      </xdr:nvCxnSpPr>
      <xdr:spPr>
        <a:xfrm rot="16200000" flipH="1">
          <a:off x="12871846" y="342651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CCF7397F-5D94-2D43-B867-1C2601ADF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E57C265-E4A9-794E-8990-DF0366853D9B}"/>
            </a:ext>
          </a:extLst>
        </xdr:cNvPr>
        <xdr:cNvSpPr txBox="1"/>
      </xdr:nvSpPr>
      <xdr:spPr>
        <a:xfrm>
          <a:off x="11731458" y="40564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5ACBCCD-DAB8-D14C-B22A-115805BF55ED}"/>
            </a:ext>
          </a:extLst>
        </xdr:cNvPr>
        <xdr:cNvCxnSpPr/>
      </xdr:nvCxnSpPr>
      <xdr:spPr>
        <a:xfrm>
          <a:off x="6002428" y="42155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D35312AD-8ED6-8249-9528-287CD4B9881C}"/>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30" name="TextBox 29">
              <a:extLst>
                <a:ext uri="{FF2B5EF4-FFF2-40B4-BE49-F238E27FC236}">
                  <a16:creationId xmlns:a16="http://schemas.microsoft.com/office/drawing/2014/main" id="{D35312AD-8ED6-8249-9528-287CD4B9881C}"/>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22177E92-752A-5A46-A0E5-0F5DFE54A698}"/>
            </a:ext>
          </a:extLst>
        </xdr:cNvPr>
        <xdr:cNvSpPr/>
      </xdr:nvSpPr>
      <xdr:spPr>
        <a:xfrm>
          <a:off x="12846314" y="41858335"/>
          <a:ext cx="50437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2D000112-8A25-9540-9158-7FDBB573CFD7}"/>
            </a:ext>
          </a:extLst>
        </xdr:cNvPr>
        <xdr:cNvCxnSpPr/>
      </xdr:nvCxnSpPr>
      <xdr:spPr>
        <a:xfrm flipV="1">
          <a:off x="11697138" y="42180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B2D3B35D-580E-F145-BF27-C25A2E9E6587}"/>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3" name="TextBox 32">
              <a:extLst>
                <a:ext uri="{FF2B5EF4-FFF2-40B4-BE49-F238E27FC236}">
                  <a16:creationId xmlns:a16="http://schemas.microsoft.com/office/drawing/2014/main" id="{B2D3B35D-580E-F145-BF27-C25A2E9E6587}"/>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3C4F1D7-B06A-384E-96EF-255B8F85E005}"/>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F9D4D155-697F-824D-A1DF-5144C5B70E35}"/>
            </a:ext>
          </a:extLst>
        </xdr:cNvPr>
        <xdr:cNvCxnSpPr>
          <a:endCxn id="33" idx="1"/>
        </xdr:cNvCxnSpPr>
      </xdr:nvCxnSpPr>
      <xdr:spPr>
        <a:xfrm rot="16200000" flipH="1">
          <a:off x="13281448" y="431404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67967F3D-3D32-3843-94CE-5BCFFBAF2CC0}"/>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6" name="TextBox 35">
              <a:extLst>
                <a:ext uri="{FF2B5EF4-FFF2-40B4-BE49-F238E27FC236}">
                  <a16:creationId xmlns:a16="http://schemas.microsoft.com/office/drawing/2014/main" id="{67967F3D-3D32-3843-94CE-5BCFFBAF2CC0}"/>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9344594C-FD71-9B4D-BC97-9CAFD54EE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F5C707A7-A7BA-C944-AF97-05A165084582}"/>
            </a:ext>
          </a:extLst>
        </xdr:cNvPr>
        <xdr:cNvCxnSpPr/>
      </xdr:nvCxnSpPr>
      <xdr:spPr>
        <a:xfrm>
          <a:off x="6002428" y="50855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9" name="TextBox 38">
              <a:extLst>
                <a:ext uri="{FF2B5EF4-FFF2-40B4-BE49-F238E27FC236}">
                  <a16:creationId xmlns:a16="http://schemas.microsoft.com/office/drawing/2014/main" id="{999840F1-0F3D-1D45-ABE2-044039CC4263}"/>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9" name="TextBox 38">
              <a:extLst>
                <a:ext uri="{FF2B5EF4-FFF2-40B4-BE49-F238E27FC236}">
                  <a16:creationId xmlns:a16="http://schemas.microsoft.com/office/drawing/2014/main" id="{999840F1-0F3D-1D45-ABE2-044039CC4263}"/>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40" name="TextBox 39">
              <a:extLst>
                <a:ext uri="{FF2B5EF4-FFF2-40B4-BE49-F238E27FC236}">
                  <a16:creationId xmlns:a16="http://schemas.microsoft.com/office/drawing/2014/main" id="{19F1D7D1-39A3-7145-A19A-33FB0486291E}"/>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40" name="TextBox 39">
              <a:extLst>
                <a:ext uri="{FF2B5EF4-FFF2-40B4-BE49-F238E27FC236}">
                  <a16:creationId xmlns:a16="http://schemas.microsoft.com/office/drawing/2014/main" id="{19F1D7D1-39A3-7145-A19A-33FB0486291E}"/>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mc:Choice xmlns:a14="http://schemas.microsoft.com/office/drawing/2010/main" Requires="a14">
        <xdr:sp macro="" textlink="">
          <xdr:nvSpPr>
            <xdr:cNvPr id="41" name="TextBox 40">
              <a:extLst>
                <a:ext uri="{FF2B5EF4-FFF2-40B4-BE49-F238E27FC236}">
                  <a16:creationId xmlns:a16="http://schemas.microsoft.com/office/drawing/2014/main" id="{5D37C773-3C50-CE43-BE42-17CB0735BD02}"/>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41" name="TextBox 40">
              <a:extLst>
                <a:ext uri="{FF2B5EF4-FFF2-40B4-BE49-F238E27FC236}">
                  <a16:creationId xmlns:a16="http://schemas.microsoft.com/office/drawing/2014/main" id="{5D37C773-3C50-CE43-BE42-17CB0735BD02}"/>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A0739676-7CD5-0F49-ACBC-8DA849791647}"/>
            </a:ext>
          </a:extLst>
        </xdr:cNvPr>
        <xdr:cNvSpPr txBox="1"/>
      </xdr:nvSpPr>
      <xdr:spPr>
        <a:xfrm>
          <a:off x="13413596" y="514286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0C179587-28A8-E64C-85F7-D6FF40420A20}"/>
            </a:ext>
          </a:extLst>
        </xdr:cNvPr>
        <xdr:cNvCxnSpPr/>
      </xdr:nvCxnSpPr>
      <xdr:spPr>
        <a:xfrm flipH="1">
          <a:off x="9039469" y="511404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A5EEFF21-A955-4D4C-B286-79F52744B843}"/>
            </a:ext>
          </a:extLst>
        </xdr:cNvPr>
        <xdr:cNvCxnSpPr/>
      </xdr:nvCxnSpPr>
      <xdr:spPr>
        <a:xfrm flipH="1">
          <a:off x="10337800" y="511218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C28C599A-B99C-614A-830A-3DD81F95B643}"/>
            </a:ext>
          </a:extLst>
        </xdr:cNvPr>
        <xdr:cNvCxnSpPr/>
      </xdr:nvCxnSpPr>
      <xdr:spPr>
        <a:xfrm>
          <a:off x="11412903" y="511282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8CE7B4E-1694-A041-B837-DD4A6E740973}"/>
            </a:ext>
          </a:extLst>
        </xdr:cNvPr>
        <xdr:cNvCxnSpPr/>
      </xdr:nvCxnSpPr>
      <xdr:spPr>
        <a:xfrm>
          <a:off x="12603774" y="511221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F3C6379-3EDC-E241-BFB0-49D8F87BFFD7}"/>
            </a:ext>
          </a:extLst>
        </xdr:cNvPr>
        <xdr:cNvSpPr/>
      </xdr:nvSpPr>
      <xdr:spPr>
        <a:xfrm>
          <a:off x="13967461" y="50957481"/>
          <a:ext cx="35102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22712B81-2CE4-1F40-839C-8E4B66DDC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0C61B560-77DB-F445-90A5-CC36FBA1CD0D}"/>
            </a:ext>
          </a:extLst>
        </xdr:cNvPr>
        <xdr:cNvCxnSpPr/>
      </xdr:nvCxnSpPr>
      <xdr:spPr>
        <a:xfrm>
          <a:off x="6002428" y="6077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10842902-72EE-244A-85CB-E282052D248D}"/>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50" name="TextBox 49">
              <a:extLst>
                <a:ext uri="{FF2B5EF4-FFF2-40B4-BE49-F238E27FC236}">
                  <a16:creationId xmlns:a16="http://schemas.microsoft.com/office/drawing/2014/main" id="{10842902-72EE-244A-85CB-E282052D248D}"/>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51" name="TextBox 50">
              <a:extLst>
                <a:ext uri="{FF2B5EF4-FFF2-40B4-BE49-F238E27FC236}">
                  <a16:creationId xmlns:a16="http://schemas.microsoft.com/office/drawing/2014/main" id="{9209307F-BB4D-1445-B4D8-93736AE60FE1}"/>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51" name="TextBox 50">
              <a:extLst>
                <a:ext uri="{FF2B5EF4-FFF2-40B4-BE49-F238E27FC236}">
                  <a16:creationId xmlns:a16="http://schemas.microsoft.com/office/drawing/2014/main" id="{9209307F-BB4D-1445-B4D8-93736AE60FE1}"/>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BE0388AF-C567-AF4E-B23B-EB7A06D2B74B}"/>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52" name="TextBox 51">
              <a:extLst>
                <a:ext uri="{FF2B5EF4-FFF2-40B4-BE49-F238E27FC236}">
                  <a16:creationId xmlns:a16="http://schemas.microsoft.com/office/drawing/2014/main" id="{BE0388AF-C567-AF4E-B23B-EB7A06D2B74B}"/>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81BA0748-9485-0649-B622-D6E20D049DD1}"/>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3" name="TextBox 52">
              <a:extLst>
                <a:ext uri="{FF2B5EF4-FFF2-40B4-BE49-F238E27FC236}">
                  <a16:creationId xmlns:a16="http://schemas.microsoft.com/office/drawing/2014/main" id="{81BA0748-9485-0649-B622-D6E20D049DD1}"/>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7786415E-370D-AF4A-8EB9-55B957A6AA40}"/>
            </a:ext>
          </a:extLst>
        </xdr:cNvPr>
        <xdr:cNvCxnSpPr/>
      </xdr:nvCxnSpPr>
      <xdr:spPr>
        <a:xfrm flipH="1">
          <a:off x="9039469" y="61059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71B0511-53A2-A149-949A-15EC0DB5DF25}"/>
            </a:ext>
          </a:extLst>
        </xdr:cNvPr>
        <xdr:cNvCxnSpPr/>
      </xdr:nvCxnSpPr>
      <xdr:spPr>
        <a:xfrm flipH="1">
          <a:off x="10265207" y="61040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50DFAC6A-43A5-464B-89DD-0EDE86BDD6A1}"/>
            </a:ext>
          </a:extLst>
        </xdr:cNvPr>
        <xdr:cNvCxnSpPr/>
      </xdr:nvCxnSpPr>
      <xdr:spPr>
        <a:xfrm>
          <a:off x="11412903" y="61046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4A05933C-56CD-204B-9F0D-89EF790B72B1}"/>
            </a:ext>
          </a:extLst>
        </xdr:cNvPr>
        <xdr:cNvCxnSpPr/>
      </xdr:nvCxnSpPr>
      <xdr:spPr>
        <a:xfrm>
          <a:off x="12603774" y="61040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8" name="CasellaDiTesto 25">
              <a:extLst>
                <a:ext uri="{FF2B5EF4-FFF2-40B4-BE49-F238E27FC236}">
                  <a16:creationId xmlns:a16="http://schemas.microsoft.com/office/drawing/2014/main" id="{FFD04423-A02E-B041-9883-17ACA52746E3}"/>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8" name="CasellaDiTesto 25">
              <a:extLst>
                <a:ext uri="{FF2B5EF4-FFF2-40B4-BE49-F238E27FC236}">
                  <a16:creationId xmlns:a16="http://schemas.microsoft.com/office/drawing/2014/main" id="{FFD04423-A02E-B041-9883-17ACA52746E3}"/>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61FAA2A7-3C0C-2948-8CB6-225717932BA2}"/>
            </a:ext>
          </a:extLst>
        </xdr:cNvPr>
        <xdr:cNvCxnSpPr>
          <a:endCxn id="50" idx="0"/>
        </xdr:cNvCxnSpPr>
      </xdr:nvCxnSpPr>
      <xdr:spPr>
        <a:xfrm>
          <a:off x="8301567" y="61192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4E6C4072-D19D-9642-954E-7A3AD14A8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F8F38089-90E6-8744-A280-96E917B4E534}"/>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dr:sp macro="" textlink="">
          <xdr:nvSpPr>
            <xdr:cNvPr id="61" name="TextBox 60">
              <a:extLst>
                <a:ext uri="{FF2B5EF4-FFF2-40B4-BE49-F238E27FC236}">
                  <a16:creationId xmlns:a16="http://schemas.microsoft.com/office/drawing/2014/main" id="{F8F38089-90E6-8744-A280-96E917B4E534}"/>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336E1236-FCA7-5441-A469-BD8B567D7F5E}"/>
            </a:ext>
          </a:extLst>
        </xdr:cNvPr>
        <xdr:cNvSpPr/>
      </xdr:nvSpPr>
      <xdr:spPr>
        <a:xfrm>
          <a:off x="26457178" y="14897100"/>
          <a:ext cx="820113" cy="353075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BDF95A0B-9232-E34C-9882-42C8A5AE7358}"/>
            </a:ext>
          </a:extLst>
        </xdr:cNvPr>
        <xdr:cNvCxnSpPr/>
      </xdr:nvCxnSpPr>
      <xdr:spPr>
        <a:xfrm>
          <a:off x="33532375" y="24069876"/>
          <a:ext cx="28021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4" name="TextBox 63">
              <a:extLst>
                <a:ext uri="{FF2B5EF4-FFF2-40B4-BE49-F238E27FC236}">
                  <a16:creationId xmlns:a16="http://schemas.microsoft.com/office/drawing/2014/main" id="{E527A1B6-0A14-BA42-9757-8FBCAF0690F3}"/>
                </a:ext>
              </a:extLst>
            </xdr:cNvPr>
            <xdr:cNvSpPr txBox="1"/>
          </xdr:nvSpPr>
          <xdr:spPr>
            <a:xfrm>
              <a:off x="36522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4" name="TextBox 63">
              <a:extLst>
                <a:ext uri="{FF2B5EF4-FFF2-40B4-BE49-F238E27FC236}">
                  <a16:creationId xmlns:a16="http://schemas.microsoft.com/office/drawing/2014/main" id="{E527A1B6-0A14-BA42-9757-8FBCAF0690F3}"/>
                </a:ext>
              </a:extLst>
            </xdr:cNvPr>
            <xdr:cNvSpPr txBox="1"/>
          </xdr:nvSpPr>
          <xdr:spPr>
            <a:xfrm>
              <a:off x="36522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14663CC2-4402-8F4A-95DC-39D4776BBC73}"/>
            </a:ext>
          </a:extLst>
        </xdr:cNvPr>
        <xdr:cNvSpPr txBox="1"/>
      </xdr:nvSpPr>
      <xdr:spPr>
        <a:xfrm>
          <a:off x="29787111" y="25008366"/>
          <a:ext cx="68095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44FFF791-8BBE-DF4E-8E0F-33CD44D61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16</xdr:col>
      <xdr:colOff>372629</xdr:colOff>
      <xdr:row>92</xdr:row>
      <xdr:rowOff>235526</xdr:rowOff>
    </xdr:from>
    <xdr:ext cx="1488997" cy="778931"/>
    <mc:AlternateContent xmlns:mc="http://schemas.openxmlformats.org/markup-compatibility/2006">
      <mc:Choice xmlns:a14="http://schemas.microsoft.com/office/drawing/2010/main" Requires="a14">
        <xdr:sp macro="" textlink="">
          <xdr:nvSpPr>
            <xdr:cNvPr id="67" name="TextBox 66">
              <a:extLst>
                <a:ext uri="{FF2B5EF4-FFF2-40B4-BE49-F238E27FC236}">
                  <a16:creationId xmlns:a16="http://schemas.microsoft.com/office/drawing/2014/main" id="{C59CBFC4-6597-A646-A825-C6CEAA5C833C}"/>
                </a:ext>
              </a:extLst>
            </xdr:cNvPr>
            <xdr:cNvSpPr txBox="1"/>
          </xdr:nvSpPr>
          <xdr:spPr>
            <a:xfrm>
              <a:off x="20108429" y="241369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dr:sp macro="" textlink="">
          <xdr:nvSpPr>
            <xdr:cNvPr id="67" name="TextBox 66">
              <a:extLst>
                <a:ext uri="{FF2B5EF4-FFF2-40B4-BE49-F238E27FC236}">
                  <a16:creationId xmlns:a16="http://schemas.microsoft.com/office/drawing/2014/main" id="{C59CBFC4-6597-A646-A825-C6CEAA5C833C}"/>
                </a:ext>
              </a:extLst>
            </xdr:cNvPr>
            <xdr:cNvSpPr txBox="1"/>
          </xdr:nvSpPr>
          <xdr:spPr>
            <a:xfrm>
              <a:off x="20108429" y="241369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62845975-0112-F14B-9C89-918149539403}"/>
            </a:ext>
          </a:extLst>
        </xdr:cNvPr>
        <xdr:cNvCxnSpPr/>
      </xdr:nvCxnSpPr>
      <xdr:spPr>
        <a:xfrm>
          <a:off x="5884845" y="70229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1719FED8-7267-FE43-A35F-149D66EAF59A}"/>
            </a:ext>
          </a:extLst>
        </xdr:cNvPr>
        <xdr:cNvCxnSpPr/>
      </xdr:nvCxnSpPr>
      <xdr:spPr>
        <a:xfrm>
          <a:off x="5841861" y="80378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9093C6E1-DCB6-314B-B44E-D2760228A8F1}"/>
                </a:ext>
              </a:extLst>
            </xdr:cNvPr>
            <xdr:cNvSpPr txBox="1"/>
          </xdr:nvSpPr>
          <xdr:spPr>
            <a:xfrm>
              <a:off x="6984930" y="78105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9093C6E1-DCB6-314B-B44E-D2760228A8F1}"/>
                </a:ext>
              </a:extLst>
            </xdr:cNvPr>
            <xdr:cNvSpPr txBox="1"/>
          </xdr:nvSpPr>
          <xdr:spPr>
            <a:xfrm>
              <a:off x="6984930" y="78105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7BEDF71C-7934-F647-9230-1BD52C04447B}"/>
                </a:ext>
              </a:extLst>
            </xdr:cNvPr>
            <xdr:cNvSpPr txBox="1"/>
          </xdr:nvSpPr>
          <xdr:spPr>
            <a:xfrm>
              <a:off x="7024393" y="67712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7BEDF71C-7934-F647-9230-1BD52C04447B}"/>
                </a:ext>
              </a:extLst>
            </xdr:cNvPr>
            <xdr:cNvSpPr txBox="1"/>
          </xdr:nvSpPr>
          <xdr:spPr>
            <a:xfrm>
              <a:off x="7024393" y="67712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B02381C7-5F15-6B4A-8FB4-A777C72D0BD4}"/>
            </a:ext>
          </a:extLst>
        </xdr:cNvPr>
        <xdr:cNvCxnSpPr/>
      </xdr:nvCxnSpPr>
      <xdr:spPr>
        <a:xfrm>
          <a:off x="6002428" y="1492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8F11236F-0B9F-C945-986D-2052BDFDD9F8}"/>
                </a:ext>
              </a:extLst>
            </xdr:cNvPr>
            <xdr:cNvSpPr txBox="1"/>
          </xdr:nvSpPr>
          <xdr:spPr>
            <a:xfrm>
              <a:off x="9421430" y="144800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8F11236F-0B9F-C945-986D-2052BDFDD9F8}"/>
                </a:ext>
              </a:extLst>
            </xdr:cNvPr>
            <xdr:cNvSpPr txBox="1"/>
          </xdr:nvSpPr>
          <xdr:spPr>
            <a:xfrm>
              <a:off x="9421430" y="144800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5FBFB702-6CA0-784F-B6F6-5955EEA365B0}"/>
                </a:ext>
              </a:extLst>
            </xdr:cNvPr>
            <xdr:cNvSpPr txBox="1"/>
          </xdr:nvSpPr>
          <xdr:spPr>
            <a:xfrm>
              <a:off x="9401190" y="151998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5FBFB702-6CA0-784F-B6F6-5955EEA365B0}"/>
                </a:ext>
              </a:extLst>
            </xdr:cNvPr>
            <xdr:cNvSpPr txBox="1"/>
          </xdr:nvSpPr>
          <xdr:spPr>
            <a:xfrm>
              <a:off x="9401190" y="151998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E65F243E-1787-854C-8DCE-394BFB349214}"/>
            </a:ext>
          </a:extLst>
        </xdr:cNvPr>
        <xdr:cNvSpPr/>
      </xdr:nvSpPr>
      <xdr:spPr>
        <a:xfrm>
          <a:off x="8764154" y="146263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794DE99E-4333-3647-A25D-6914CA2B2BA0}"/>
                </a:ext>
              </a:extLst>
            </xdr:cNvPr>
            <xdr:cNvSpPr/>
          </xdr:nvSpPr>
          <xdr:spPr>
            <a:xfrm>
              <a:off x="12863247" y="147396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794DE99E-4333-3647-A25D-6914CA2B2BA0}"/>
                </a:ext>
              </a:extLst>
            </xdr:cNvPr>
            <xdr:cNvSpPr/>
          </xdr:nvSpPr>
          <xdr:spPr>
            <a:xfrm>
              <a:off x="12863247" y="147396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9C5666D-E1FD-FF43-8FF1-352CC467FDBC}"/>
            </a:ext>
          </a:extLst>
        </xdr:cNvPr>
        <xdr:cNvCxnSpPr/>
      </xdr:nvCxnSpPr>
      <xdr:spPr>
        <a:xfrm flipV="1">
          <a:off x="7462426" y="99412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2812E098-563D-5D48-8C78-B9C53C7C6E00}"/>
                </a:ext>
              </a:extLst>
            </xdr:cNvPr>
            <xdr:cNvSpPr txBox="1"/>
          </xdr:nvSpPr>
          <xdr:spPr>
            <a:xfrm>
              <a:off x="6483515" y="93566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2812E098-563D-5D48-8C78-B9C53C7C6E00}"/>
                </a:ext>
              </a:extLst>
            </xdr:cNvPr>
            <xdr:cNvSpPr txBox="1"/>
          </xdr:nvSpPr>
          <xdr:spPr>
            <a:xfrm>
              <a:off x="6483515" y="93566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380F072-20D2-1A49-AE97-B35865F9703B}"/>
            </a:ext>
          </a:extLst>
        </xdr:cNvPr>
        <xdr:cNvCxnSpPr/>
      </xdr:nvCxnSpPr>
      <xdr:spPr>
        <a:xfrm flipH="1" flipV="1">
          <a:off x="7944555" y="98754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17DAEE8-4ED0-BF48-B24D-0453B2130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673100</xdr:colOff>
      <xdr:row>107</xdr:row>
      <xdr:rowOff>50799</xdr:rowOff>
    </xdr:from>
    <xdr:to>
      <xdr:col>14</xdr:col>
      <xdr:colOff>1082675</xdr:colOff>
      <xdr:row>123</xdr:row>
      <xdr:rowOff>127000</xdr:rowOff>
    </xdr:to>
    <xdr:graphicFrame macro="">
      <xdr:nvGraphicFramePr>
        <xdr:cNvPr id="15" name="Chart 14">
          <a:extLst>
            <a:ext uri="{FF2B5EF4-FFF2-40B4-BE49-F238E27FC236}">
              <a16:creationId xmlns:a16="http://schemas.microsoft.com/office/drawing/2014/main" id="{437DE3E4-C900-C44D-B038-52150D1AD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46876413-3E48-5E4D-A57A-FE977DE00998}"/>
            </a:ext>
          </a:extLst>
        </xdr:cNvPr>
        <xdr:cNvCxnSpPr/>
      </xdr:nvCxnSpPr>
      <xdr:spPr>
        <a:xfrm>
          <a:off x="6002428" y="33367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17" name="TextBox 16">
              <a:extLst>
                <a:ext uri="{FF2B5EF4-FFF2-40B4-BE49-F238E27FC236}">
                  <a16:creationId xmlns:a16="http://schemas.microsoft.com/office/drawing/2014/main" id="{CE20C23C-972C-9E4E-8A59-23801502C141}"/>
                </a:ext>
              </a:extLst>
            </xdr:cNvPr>
            <xdr:cNvSpPr txBox="1"/>
          </xdr:nvSpPr>
          <xdr:spPr>
            <a:xfrm>
              <a:off x="9421430" y="329712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17" name="TextBox 16">
              <a:extLst>
                <a:ext uri="{FF2B5EF4-FFF2-40B4-BE49-F238E27FC236}">
                  <a16:creationId xmlns:a16="http://schemas.microsoft.com/office/drawing/2014/main" id="{CE20C23C-972C-9E4E-8A59-23801502C141}"/>
                </a:ext>
              </a:extLst>
            </xdr:cNvPr>
            <xdr:cNvSpPr txBox="1"/>
          </xdr:nvSpPr>
          <xdr:spPr>
            <a:xfrm>
              <a:off x="9421430" y="329712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40EC9646-63C2-334B-9747-F224103BCC6F}"/>
            </a:ext>
          </a:extLst>
        </xdr:cNvPr>
        <xdr:cNvSpPr/>
      </xdr:nvSpPr>
      <xdr:spPr>
        <a:xfrm>
          <a:off x="8764154" y="330667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mc:Choice xmlns:a14="http://schemas.microsoft.com/office/drawing/2010/main" Requires="a14">
        <xdr:sp macro="" textlink="">
          <xdr:nvSpPr>
            <xdr:cNvPr id="19" name="Rectangle 18">
              <a:extLst>
                <a:ext uri="{FF2B5EF4-FFF2-40B4-BE49-F238E27FC236}">
                  <a16:creationId xmlns:a16="http://schemas.microsoft.com/office/drawing/2014/main" id="{F65DB771-6DFA-6946-9CF3-8672753D6E87}"/>
                </a:ext>
              </a:extLst>
            </xdr:cNvPr>
            <xdr:cNvSpPr/>
          </xdr:nvSpPr>
          <xdr:spPr>
            <a:xfrm>
              <a:off x="12521680" y="329744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dr:sp macro="" textlink="">
          <xdr:nvSpPr>
            <xdr:cNvPr id="19" name="Rectangle 18">
              <a:extLst>
                <a:ext uri="{FF2B5EF4-FFF2-40B4-BE49-F238E27FC236}">
                  <a16:creationId xmlns:a16="http://schemas.microsoft.com/office/drawing/2014/main" id="{F65DB771-6DFA-6946-9CF3-8672753D6E87}"/>
                </a:ext>
              </a:extLst>
            </xdr:cNvPr>
            <xdr:cNvSpPr/>
          </xdr:nvSpPr>
          <xdr:spPr>
            <a:xfrm>
              <a:off x="12521680" y="329744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7BE2CAD4-A433-B44F-B7EE-8D8E0EEDB3BA}"/>
                </a:ext>
              </a:extLst>
            </xdr:cNvPr>
            <xdr:cNvSpPr txBox="1"/>
          </xdr:nvSpPr>
          <xdr:spPr>
            <a:xfrm>
              <a:off x="9358575" y="336742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7BE2CAD4-A433-B44F-B7EE-8D8E0EEDB3BA}"/>
                </a:ext>
              </a:extLst>
            </xdr:cNvPr>
            <xdr:cNvSpPr txBox="1"/>
          </xdr:nvSpPr>
          <xdr:spPr>
            <a:xfrm>
              <a:off x="9358575" y="336742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1" name="Rounded Rectangle 20">
          <a:extLst>
            <a:ext uri="{FF2B5EF4-FFF2-40B4-BE49-F238E27FC236}">
              <a16:creationId xmlns:a16="http://schemas.microsoft.com/office/drawing/2014/main" id="{CDD13F4A-DA3D-5042-B685-32352C3F01A6}"/>
            </a:ext>
          </a:extLst>
        </xdr:cNvPr>
        <xdr:cNvSpPr/>
      </xdr:nvSpPr>
      <xdr:spPr>
        <a:xfrm>
          <a:off x="9334499" y="336423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mc:Choice xmlns:a14="http://schemas.microsoft.com/office/drawing/2010/main" Requires="a14">
        <xdr:sp macro="" textlink="">
          <xdr:nvSpPr>
            <xdr:cNvPr id="22" name="TextBox 21">
              <a:extLst>
                <a:ext uri="{FF2B5EF4-FFF2-40B4-BE49-F238E27FC236}">
                  <a16:creationId xmlns:a16="http://schemas.microsoft.com/office/drawing/2014/main" id="{C42005B3-CD20-E94F-B6F6-0B16C68B5628}"/>
                </a:ext>
              </a:extLst>
            </xdr:cNvPr>
            <xdr:cNvSpPr txBox="1"/>
          </xdr:nvSpPr>
          <xdr:spPr>
            <a:xfrm>
              <a:off x="13408630" y="344179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dr:sp macro="" textlink="">
          <xdr:nvSpPr>
            <xdr:cNvPr id="22" name="TextBox 21">
              <a:extLst>
                <a:ext uri="{FF2B5EF4-FFF2-40B4-BE49-F238E27FC236}">
                  <a16:creationId xmlns:a16="http://schemas.microsoft.com/office/drawing/2014/main" id="{C42005B3-CD20-E94F-B6F6-0B16C68B5628}"/>
                </a:ext>
              </a:extLst>
            </xdr:cNvPr>
            <xdr:cNvSpPr txBox="1"/>
          </xdr:nvSpPr>
          <xdr:spPr>
            <a:xfrm>
              <a:off x="13408630" y="344179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3" name="Curved Connector 22">
          <a:extLst>
            <a:ext uri="{FF2B5EF4-FFF2-40B4-BE49-F238E27FC236}">
              <a16:creationId xmlns:a16="http://schemas.microsoft.com/office/drawing/2014/main" id="{C8474B24-1D47-6748-8A1C-A8ECA72AF411}"/>
            </a:ext>
          </a:extLst>
        </xdr:cNvPr>
        <xdr:cNvCxnSpPr>
          <a:endCxn id="22" idx="1"/>
        </xdr:cNvCxnSpPr>
      </xdr:nvCxnSpPr>
      <xdr:spPr>
        <a:xfrm rot="16200000" flipH="1">
          <a:off x="12871846" y="342778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4" name="Chart 23">
          <a:extLst>
            <a:ext uri="{FF2B5EF4-FFF2-40B4-BE49-F238E27FC236}">
              <a16:creationId xmlns:a16="http://schemas.microsoft.com/office/drawing/2014/main" id="{24A7BCEA-4958-4B46-A51D-DAECD17F1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5" name="TextBox 24">
          <a:extLst>
            <a:ext uri="{FF2B5EF4-FFF2-40B4-BE49-F238E27FC236}">
              <a16:creationId xmlns:a16="http://schemas.microsoft.com/office/drawing/2014/main" id="{A8ED6724-3923-E546-B6E4-346E15EA8756}"/>
            </a:ext>
          </a:extLst>
        </xdr:cNvPr>
        <xdr:cNvSpPr txBox="1"/>
      </xdr:nvSpPr>
      <xdr:spPr>
        <a:xfrm>
          <a:off x="11731458" y="40564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6" name="Straight Arrow Connector 25">
          <a:extLst>
            <a:ext uri="{FF2B5EF4-FFF2-40B4-BE49-F238E27FC236}">
              <a16:creationId xmlns:a16="http://schemas.microsoft.com/office/drawing/2014/main" id="{613DE7F5-7CBF-AC41-9AAD-B96D333B9217}"/>
            </a:ext>
          </a:extLst>
        </xdr:cNvPr>
        <xdr:cNvCxnSpPr/>
      </xdr:nvCxnSpPr>
      <xdr:spPr>
        <a:xfrm>
          <a:off x="6002428" y="42155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27" name="TextBox 26">
              <a:extLst>
                <a:ext uri="{FF2B5EF4-FFF2-40B4-BE49-F238E27FC236}">
                  <a16:creationId xmlns:a16="http://schemas.microsoft.com/office/drawing/2014/main" id="{04CDD072-1457-8149-84C0-8B488D6BDB14}"/>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27" name="TextBox 26">
              <a:extLst>
                <a:ext uri="{FF2B5EF4-FFF2-40B4-BE49-F238E27FC236}">
                  <a16:creationId xmlns:a16="http://schemas.microsoft.com/office/drawing/2014/main" id="{04CDD072-1457-8149-84C0-8B488D6BDB14}"/>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8" name="Rectangle 27">
          <a:extLst>
            <a:ext uri="{FF2B5EF4-FFF2-40B4-BE49-F238E27FC236}">
              <a16:creationId xmlns:a16="http://schemas.microsoft.com/office/drawing/2014/main" id="{214545F6-C915-EA43-8BB5-18586CBA4159}"/>
            </a:ext>
          </a:extLst>
        </xdr:cNvPr>
        <xdr:cNvSpPr/>
      </xdr:nvSpPr>
      <xdr:spPr>
        <a:xfrm>
          <a:off x="12846314" y="418583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9" name="Curved Connector 28">
          <a:extLst>
            <a:ext uri="{FF2B5EF4-FFF2-40B4-BE49-F238E27FC236}">
              <a16:creationId xmlns:a16="http://schemas.microsoft.com/office/drawing/2014/main" id="{82962AC5-843B-4C4F-9F28-2A0622E6461F}"/>
            </a:ext>
          </a:extLst>
        </xdr:cNvPr>
        <xdr:cNvCxnSpPr/>
      </xdr:nvCxnSpPr>
      <xdr:spPr>
        <a:xfrm flipV="1">
          <a:off x="11697138" y="42180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883A6A18-35D6-EE4D-BE74-47E224F60C13}"/>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0" name="TextBox 29">
              <a:extLst>
                <a:ext uri="{FF2B5EF4-FFF2-40B4-BE49-F238E27FC236}">
                  <a16:creationId xmlns:a16="http://schemas.microsoft.com/office/drawing/2014/main" id="{883A6A18-35D6-EE4D-BE74-47E224F60C13}"/>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1" name="Curved Connector 30">
          <a:extLst>
            <a:ext uri="{FF2B5EF4-FFF2-40B4-BE49-F238E27FC236}">
              <a16:creationId xmlns:a16="http://schemas.microsoft.com/office/drawing/2014/main" id="{827415F9-8F2A-8B44-BABC-3E3FB65A0D23}"/>
            </a:ext>
          </a:extLst>
        </xdr:cNvPr>
        <xdr:cNvCxnSpPr/>
      </xdr:nvCxnSpPr>
      <xdr:spPr>
        <a:xfrm>
          <a:off x="11796379" y="147314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2" name="Curved Connector 31">
          <a:extLst>
            <a:ext uri="{FF2B5EF4-FFF2-40B4-BE49-F238E27FC236}">
              <a16:creationId xmlns:a16="http://schemas.microsoft.com/office/drawing/2014/main" id="{BCA48EAC-B745-6649-9F3C-4BCFA33569DC}"/>
            </a:ext>
          </a:extLst>
        </xdr:cNvPr>
        <xdr:cNvCxnSpPr>
          <a:endCxn id="30" idx="1"/>
        </xdr:cNvCxnSpPr>
      </xdr:nvCxnSpPr>
      <xdr:spPr>
        <a:xfrm rot="16200000" flipH="1">
          <a:off x="13281448" y="431404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748EA925-7EB0-B748-B664-8272963285D4}"/>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3" name="TextBox 32">
              <a:extLst>
                <a:ext uri="{FF2B5EF4-FFF2-40B4-BE49-F238E27FC236}">
                  <a16:creationId xmlns:a16="http://schemas.microsoft.com/office/drawing/2014/main" id="{748EA925-7EB0-B748-B664-8272963285D4}"/>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4" name="Chart 33">
          <a:extLst>
            <a:ext uri="{FF2B5EF4-FFF2-40B4-BE49-F238E27FC236}">
              <a16:creationId xmlns:a16="http://schemas.microsoft.com/office/drawing/2014/main" id="{1EE05663-30FB-CC4E-84E8-B634A3FEB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5" name="Straight Arrow Connector 34">
          <a:extLst>
            <a:ext uri="{FF2B5EF4-FFF2-40B4-BE49-F238E27FC236}">
              <a16:creationId xmlns:a16="http://schemas.microsoft.com/office/drawing/2014/main" id="{7346A7A2-17A1-6A45-A62B-2E2BBCB73B7C}"/>
            </a:ext>
          </a:extLst>
        </xdr:cNvPr>
        <xdr:cNvCxnSpPr/>
      </xdr:nvCxnSpPr>
      <xdr:spPr>
        <a:xfrm>
          <a:off x="6002428" y="50855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CA32CF57-B6E6-0E4B-8441-3E17D962A565}"/>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6" name="TextBox 35">
              <a:extLst>
                <a:ext uri="{FF2B5EF4-FFF2-40B4-BE49-F238E27FC236}">
                  <a16:creationId xmlns:a16="http://schemas.microsoft.com/office/drawing/2014/main" id="{CA32CF57-B6E6-0E4B-8441-3E17D962A565}"/>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37" name="TextBox 36">
              <a:extLst>
                <a:ext uri="{FF2B5EF4-FFF2-40B4-BE49-F238E27FC236}">
                  <a16:creationId xmlns:a16="http://schemas.microsoft.com/office/drawing/2014/main" id="{2972AD45-997B-AB44-8B78-D81E48402FE8}"/>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37" name="TextBox 36">
              <a:extLst>
                <a:ext uri="{FF2B5EF4-FFF2-40B4-BE49-F238E27FC236}">
                  <a16:creationId xmlns:a16="http://schemas.microsoft.com/office/drawing/2014/main" id="{2972AD45-997B-AB44-8B78-D81E48402FE8}"/>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mc:Choice xmlns:a14="http://schemas.microsoft.com/office/drawing/2010/main" Requires="a14">
        <xdr:sp macro="" textlink="">
          <xdr:nvSpPr>
            <xdr:cNvPr id="38" name="TextBox 37">
              <a:extLst>
                <a:ext uri="{FF2B5EF4-FFF2-40B4-BE49-F238E27FC236}">
                  <a16:creationId xmlns:a16="http://schemas.microsoft.com/office/drawing/2014/main" id="{C323C60A-38C3-FC4C-9F5B-6138CAA6B32B}"/>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8" name="TextBox 37">
              <a:extLst>
                <a:ext uri="{FF2B5EF4-FFF2-40B4-BE49-F238E27FC236}">
                  <a16:creationId xmlns:a16="http://schemas.microsoft.com/office/drawing/2014/main" id="{C323C60A-38C3-FC4C-9F5B-6138CAA6B32B}"/>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9" name="TextBox 38">
          <a:extLst>
            <a:ext uri="{FF2B5EF4-FFF2-40B4-BE49-F238E27FC236}">
              <a16:creationId xmlns:a16="http://schemas.microsoft.com/office/drawing/2014/main" id="{DE7EACBD-9C7A-F84C-A78A-E72F531A5BCA}"/>
            </a:ext>
          </a:extLst>
        </xdr:cNvPr>
        <xdr:cNvSpPr txBox="1"/>
      </xdr:nvSpPr>
      <xdr:spPr>
        <a:xfrm>
          <a:off x="13413596" y="514286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0" name="Straight Arrow Connector 39">
          <a:extLst>
            <a:ext uri="{FF2B5EF4-FFF2-40B4-BE49-F238E27FC236}">
              <a16:creationId xmlns:a16="http://schemas.microsoft.com/office/drawing/2014/main" id="{4899237E-3682-FD46-842C-99D7EA2A29F1}"/>
            </a:ext>
          </a:extLst>
        </xdr:cNvPr>
        <xdr:cNvCxnSpPr/>
      </xdr:nvCxnSpPr>
      <xdr:spPr>
        <a:xfrm flipH="1">
          <a:off x="9039469" y="511404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1" name="Straight Arrow Connector 40">
          <a:extLst>
            <a:ext uri="{FF2B5EF4-FFF2-40B4-BE49-F238E27FC236}">
              <a16:creationId xmlns:a16="http://schemas.microsoft.com/office/drawing/2014/main" id="{51184A2A-0F3D-A542-985B-EC4C7471188F}"/>
            </a:ext>
          </a:extLst>
        </xdr:cNvPr>
        <xdr:cNvCxnSpPr/>
      </xdr:nvCxnSpPr>
      <xdr:spPr>
        <a:xfrm flipH="1">
          <a:off x="10337800" y="511218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2" name="Straight Arrow Connector 41">
          <a:extLst>
            <a:ext uri="{FF2B5EF4-FFF2-40B4-BE49-F238E27FC236}">
              <a16:creationId xmlns:a16="http://schemas.microsoft.com/office/drawing/2014/main" id="{63F835DF-4F20-644B-B561-C072CC485D1E}"/>
            </a:ext>
          </a:extLst>
        </xdr:cNvPr>
        <xdr:cNvCxnSpPr/>
      </xdr:nvCxnSpPr>
      <xdr:spPr>
        <a:xfrm>
          <a:off x="11412903" y="511282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3" name="Straight Arrow Connector 42">
          <a:extLst>
            <a:ext uri="{FF2B5EF4-FFF2-40B4-BE49-F238E27FC236}">
              <a16:creationId xmlns:a16="http://schemas.microsoft.com/office/drawing/2014/main" id="{762245CB-7BC3-1243-899A-1343586C4B23}"/>
            </a:ext>
          </a:extLst>
        </xdr:cNvPr>
        <xdr:cNvCxnSpPr/>
      </xdr:nvCxnSpPr>
      <xdr:spPr>
        <a:xfrm>
          <a:off x="12603774" y="511221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4" name="Rectangle 43">
          <a:extLst>
            <a:ext uri="{FF2B5EF4-FFF2-40B4-BE49-F238E27FC236}">
              <a16:creationId xmlns:a16="http://schemas.microsoft.com/office/drawing/2014/main" id="{3F4262DB-A534-9C4F-8E78-5AAA2C850CFA}"/>
            </a:ext>
          </a:extLst>
        </xdr:cNvPr>
        <xdr:cNvSpPr/>
      </xdr:nvSpPr>
      <xdr:spPr>
        <a:xfrm>
          <a:off x="13967461" y="509574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5" name="Chart 44">
          <a:extLst>
            <a:ext uri="{FF2B5EF4-FFF2-40B4-BE49-F238E27FC236}">
              <a16:creationId xmlns:a16="http://schemas.microsoft.com/office/drawing/2014/main" id="{79568D6C-0C56-6447-BA27-84A02238B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6" name="Straight Arrow Connector 45">
          <a:extLst>
            <a:ext uri="{FF2B5EF4-FFF2-40B4-BE49-F238E27FC236}">
              <a16:creationId xmlns:a16="http://schemas.microsoft.com/office/drawing/2014/main" id="{97865EF7-3372-D242-8CAC-AF3D9811549C}"/>
            </a:ext>
          </a:extLst>
        </xdr:cNvPr>
        <xdr:cNvCxnSpPr/>
      </xdr:nvCxnSpPr>
      <xdr:spPr>
        <a:xfrm>
          <a:off x="6002428" y="6077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47" name="TextBox 46">
              <a:extLst>
                <a:ext uri="{FF2B5EF4-FFF2-40B4-BE49-F238E27FC236}">
                  <a16:creationId xmlns:a16="http://schemas.microsoft.com/office/drawing/2014/main" id="{C4A954DC-8357-6E42-A74E-15D0E2CEB964}"/>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47" name="TextBox 46">
              <a:extLst>
                <a:ext uri="{FF2B5EF4-FFF2-40B4-BE49-F238E27FC236}">
                  <a16:creationId xmlns:a16="http://schemas.microsoft.com/office/drawing/2014/main" id="{C4A954DC-8357-6E42-A74E-15D0E2CEB964}"/>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48" name="TextBox 47">
              <a:extLst>
                <a:ext uri="{FF2B5EF4-FFF2-40B4-BE49-F238E27FC236}">
                  <a16:creationId xmlns:a16="http://schemas.microsoft.com/office/drawing/2014/main" id="{A9AAD532-D3B0-E34E-8C66-DDC24B59D7C9}"/>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48" name="TextBox 47">
              <a:extLst>
                <a:ext uri="{FF2B5EF4-FFF2-40B4-BE49-F238E27FC236}">
                  <a16:creationId xmlns:a16="http://schemas.microsoft.com/office/drawing/2014/main" id="{A9AAD532-D3B0-E34E-8C66-DDC24B59D7C9}"/>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49" name="TextBox 48">
              <a:extLst>
                <a:ext uri="{FF2B5EF4-FFF2-40B4-BE49-F238E27FC236}">
                  <a16:creationId xmlns:a16="http://schemas.microsoft.com/office/drawing/2014/main" id="{2C84F5A4-050F-D041-93B8-0738A26A8BF9}"/>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49" name="TextBox 48">
              <a:extLst>
                <a:ext uri="{FF2B5EF4-FFF2-40B4-BE49-F238E27FC236}">
                  <a16:creationId xmlns:a16="http://schemas.microsoft.com/office/drawing/2014/main" id="{2C84F5A4-050F-D041-93B8-0738A26A8BF9}"/>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EFA78501-9946-5B4F-9B6D-9185E52E2BD8}"/>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0" name="TextBox 49">
              <a:extLst>
                <a:ext uri="{FF2B5EF4-FFF2-40B4-BE49-F238E27FC236}">
                  <a16:creationId xmlns:a16="http://schemas.microsoft.com/office/drawing/2014/main" id="{EFA78501-9946-5B4F-9B6D-9185E52E2BD8}"/>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1" name="Straight Arrow Connector 50">
          <a:extLst>
            <a:ext uri="{FF2B5EF4-FFF2-40B4-BE49-F238E27FC236}">
              <a16:creationId xmlns:a16="http://schemas.microsoft.com/office/drawing/2014/main" id="{158DBE73-3363-D343-9242-19EB53E2EF4F}"/>
            </a:ext>
          </a:extLst>
        </xdr:cNvPr>
        <xdr:cNvCxnSpPr/>
      </xdr:nvCxnSpPr>
      <xdr:spPr>
        <a:xfrm flipH="1">
          <a:off x="9039469" y="61059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2" name="Straight Arrow Connector 51">
          <a:extLst>
            <a:ext uri="{FF2B5EF4-FFF2-40B4-BE49-F238E27FC236}">
              <a16:creationId xmlns:a16="http://schemas.microsoft.com/office/drawing/2014/main" id="{E49A9E89-48B5-994D-BD50-A68741C890B1}"/>
            </a:ext>
          </a:extLst>
        </xdr:cNvPr>
        <xdr:cNvCxnSpPr/>
      </xdr:nvCxnSpPr>
      <xdr:spPr>
        <a:xfrm flipH="1">
          <a:off x="10265207" y="61040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3" name="Straight Arrow Connector 52">
          <a:extLst>
            <a:ext uri="{FF2B5EF4-FFF2-40B4-BE49-F238E27FC236}">
              <a16:creationId xmlns:a16="http://schemas.microsoft.com/office/drawing/2014/main" id="{D5C9F541-CD7B-EE4F-A13B-0A7CA573AEF4}"/>
            </a:ext>
          </a:extLst>
        </xdr:cNvPr>
        <xdr:cNvCxnSpPr/>
      </xdr:nvCxnSpPr>
      <xdr:spPr>
        <a:xfrm>
          <a:off x="11412903" y="61046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4" name="Straight Arrow Connector 53">
          <a:extLst>
            <a:ext uri="{FF2B5EF4-FFF2-40B4-BE49-F238E27FC236}">
              <a16:creationId xmlns:a16="http://schemas.microsoft.com/office/drawing/2014/main" id="{F53B5B79-A0B3-FC44-B53D-1536D8B65724}"/>
            </a:ext>
          </a:extLst>
        </xdr:cNvPr>
        <xdr:cNvCxnSpPr/>
      </xdr:nvCxnSpPr>
      <xdr:spPr>
        <a:xfrm>
          <a:off x="12603774" y="61040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5" name="CasellaDiTesto 25">
              <a:extLst>
                <a:ext uri="{FF2B5EF4-FFF2-40B4-BE49-F238E27FC236}">
                  <a16:creationId xmlns:a16="http://schemas.microsoft.com/office/drawing/2014/main" id="{E6C9BD11-0EED-B947-8AAB-FD7FEAB29479}"/>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5" name="CasellaDiTesto 25">
              <a:extLst>
                <a:ext uri="{FF2B5EF4-FFF2-40B4-BE49-F238E27FC236}">
                  <a16:creationId xmlns:a16="http://schemas.microsoft.com/office/drawing/2014/main" id="{E6C9BD11-0EED-B947-8AAB-FD7FEAB29479}"/>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6" name="Curved Connector 55">
          <a:extLst>
            <a:ext uri="{FF2B5EF4-FFF2-40B4-BE49-F238E27FC236}">
              <a16:creationId xmlns:a16="http://schemas.microsoft.com/office/drawing/2014/main" id="{8EE4CDE0-2544-B846-8351-868A7B78186C}"/>
            </a:ext>
          </a:extLst>
        </xdr:cNvPr>
        <xdr:cNvCxnSpPr>
          <a:endCxn id="47" idx="0"/>
        </xdr:cNvCxnSpPr>
      </xdr:nvCxnSpPr>
      <xdr:spPr>
        <a:xfrm>
          <a:off x="8301567" y="61192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7" name="Chart 56">
          <a:extLst>
            <a:ext uri="{FF2B5EF4-FFF2-40B4-BE49-F238E27FC236}">
              <a16:creationId xmlns:a16="http://schemas.microsoft.com/office/drawing/2014/main" id="{B57C57A1-0BBA-674B-9EFB-FD09CA58D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mc:Choice xmlns:a14="http://schemas.microsoft.com/office/drawing/2010/main" Requires="a14">
        <xdr:sp macro="" textlink="">
          <xdr:nvSpPr>
            <xdr:cNvPr id="58" name="TextBox 57">
              <a:extLst>
                <a:ext uri="{FF2B5EF4-FFF2-40B4-BE49-F238E27FC236}">
                  <a16:creationId xmlns:a16="http://schemas.microsoft.com/office/drawing/2014/main" id="{865D5693-B0D8-F141-838C-449E725BF5B3}"/>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dr:sp macro="" textlink="">
          <xdr:nvSpPr>
            <xdr:cNvPr id="58" name="TextBox 57">
              <a:extLst>
                <a:ext uri="{FF2B5EF4-FFF2-40B4-BE49-F238E27FC236}">
                  <a16:creationId xmlns:a16="http://schemas.microsoft.com/office/drawing/2014/main" id="{865D5693-B0D8-F141-838C-449E725BF5B3}"/>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59" name="Curved Connector 58">
          <a:extLst>
            <a:ext uri="{FF2B5EF4-FFF2-40B4-BE49-F238E27FC236}">
              <a16:creationId xmlns:a16="http://schemas.microsoft.com/office/drawing/2014/main" id="{7B0AE225-5C04-2C44-817E-51C36CD3A051}"/>
            </a:ext>
          </a:extLst>
        </xdr:cNvPr>
        <xdr:cNvCxnSpPr/>
      </xdr:nvCxnSpPr>
      <xdr:spPr>
        <a:xfrm rot="10800000" flipV="1">
          <a:off x="7325052" y="24756692"/>
          <a:ext cx="5430853" cy="2135261"/>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mc:Choice xmlns:a14="http://schemas.microsoft.com/office/drawing/2010/main" Requires="a14">
        <xdr:sp macro="" textlink="">
          <xdr:nvSpPr>
            <xdr:cNvPr id="60" name="TextBox 59">
              <a:extLst>
                <a:ext uri="{FF2B5EF4-FFF2-40B4-BE49-F238E27FC236}">
                  <a16:creationId xmlns:a16="http://schemas.microsoft.com/office/drawing/2014/main" id="{F22462AB-4128-9643-BBA4-9523DB582ADD}"/>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dr:sp macro="" textlink="">
          <xdr:nvSpPr>
            <xdr:cNvPr id="60" name="TextBox 59">
              <a:extLst>
                <a:ext uri="{FF2B5EF4-FFF2-40B4-BE49-F238E27FC236}">
                  <a16:creationId xmlns:a16="http://schemas.microsoft.com/office/drawing/2014/main" id="{F22462AB-4128-9643-BBA4-9523DB582ADD}"/>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27DCD8D7-44B6-5341-AEB3-D27FFA80AEC1}"/>
                </a:ext>
              </a:extLst>
            </xdr:cNvPr>
            <xdr:cNvSpPr txBox="1"/>
          </xdr:nvSpPr>
          <xdr:spPr>
            <a:xfrm>
              <a:off x="5826896" y="358548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dr:sp macro="" textlink="">
          <xdr:nvSpPr>
            <xdr:cNvPr id="61" name="TextBox 60">
              <a:extLst>
                <a:ext uri="{FF2B5EF4-FFF2-40B4-BE49-F238E27FC236}">
                  <a16:creationId xmlns:a16="http://schemas.microsoft.com/office/drawing/2014/main" id="{27DCD8D7-44B6-5341-AEB3-D27FFA80AEC1}"/>
                </a:ext>
              </a:extLst>
            </xdr:cNvPr>
            <xdr:cNvSpPr txBox="1"/>
          </xdr:nvSpPr>
          <xdr:spPr>
            <a:xfrm>
              <a:off x="5826896" y="358548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2" name="TextBox 61">
          <a:extLst>
            <a:ext uri="{FF2B5EF4-FFF2-40B4-BE49-F238E27FC236}">
              <a16:creationId xmlns:a16="http://schemas.microsoft.com/office/drawing/2014/main" id="{4FC03824-8816-564E-AE65-41BF466371BF}"/>
            </a:ext>
          </a:extLst>
        </xdr:cNvPr>
        <xdr:cNvSpPr txBox="1"/>
      </xdr:nvSpPr>
      <xdr:spPr>
        <a:xfrm>
          <a:off x="6010275" y="45015150"/>
          <a:ext cx="4236667"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2B42E765-56B5-C94C-95AD-90BFDF0680F6}"/>
            </a:ext>
          </a:extLst>
        </xdr:cNvPr>
        <xdr:cNvSpPr/>
      </xdr:nvSpPr>
      <xdr:spPr>
        <a:xfrm>
          <a:off x="21542278" y="14795500"/>
          <a:ext cx="1061413" cy="354091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586FD8B9-1793-064A-B451-EF0D9F450FBF}"/>
            </a:ext>
          </a:extLst>
        </xdr:cNvPr>
        <xdr:cNvCxnSpPr/>
      </xdr:nvCxnSpPr>
      <xdr:spPr>
        <a:xfrm>
          <a:off x="29354075" y="23968276"/>
          <a:ext cx="25989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5" name="TextBox 64">
              <a:extLst>
                <a:ext uri="{FF2B5EF4-FFF2-40B4-BE49-F238E27FC236}">
                  <a16:creationId xmlns:a16="http://schemas.microsoft.com/office/drawing/2014/main" id="{646047DF-5538-7248-A195-EF3E5A563EB2}"/>
                </a:ext>
              </a:extLst>
            </xdr:cNvPr>
            <xdr:cNvSpPr txBox="1"/>
          </xdr:nvSpPr>
          <xdr:spPr>
            <a:xfrm>
              <a:off x="32141390" y="237501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5" name="TextBox 64">
              <a:extLst>
                <a:ext uri="{FF2B5EF4-FFF2-40B4-BE49-F238E27FC236}">
                  <a16:creationId xmlns:a16="http://schemas.microsoft.com/office/drawing/2014/main" id="{646047DF-5538-7248-A195-EF3E5A563EB2}"/>
                </a:ext>
              </a:extLst>
            </xdr:cNvPr>
            <xdr:cNvSpPr txBox="1"/>
          </xdr:nvSpPr>
          <xdr:spPr>
            <a:xfrm>
              <a:off x="32141390" y="237501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F7A6D4AE-0710-6240-9F09-9FAFB47DD330}"/>
            </a:ext>
          </a:extLst>
        </xdr:cNvPr>
        <xdr:cNvSpPr txBox="1"/>
      </xdr:nvSpPr>
      <xdr:spPr>
        <a:xfrm>
          <a:off x="25596111" y="24906766"/>
          <a:ext cx="6619063" cy="905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67" name="Chart 66">
          <a:extLst>
            <a:ext uri="{FF2B5EF4-FFF2-40B4-BE49-F238E27FC236}">
              <a16:creationId xmlns:a16="http://schemas.microsoft.com/office/drawing/2014/main" id="{458BCD60-8F13-1745-AAEC-54CF684AA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68" name="Straight Arrow Connector 67">
          <a:extLst>
            <a:ext uri="{FF2B5EF4-FFF2-40B4-BE49-F238E27FC236}">
              <a16:creationId xmlns:a16="http://schemas.microsoft.com/office/drawing/2014/main" id="{D5EA3DE7-6707-AE45-800F-018F3D8C9736}"/>
            </a:ext>
          </a:extLst>
        </xdr:cNvPr>
        <xdr:cNvCxnSpPr/>
      </xdr:nvCxnSpPr>
      <xdr:spPr>
        <a:xfrm>
          <a:off x="5909875" y="239682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mc:Choice xmlns:a14="http://schemas.microsoft.com/office/drawing/2010/main" Requires="a14">
        <xdr:sp macro="" textlink="">
          <xdr:nvSpPr>
            <xdr:cNvPr id="69" name="TextBox 68">
              <a:extLst>
                <a:ext uri="{FF2B5EF4-FFF2-40B4-BE49-F238E27FC236}">
                  <a16:creationId xmlns:a16="http://schemas.microsoft.com/office/drawing/2014/main" id="{2A628D99-8AA5-5A4E-88C3-76A2481D3B98}"/>
                </a:ext>
              </a:extLst>
            </xdr:cNvPr>
            <xdr:cNvSpPr txBox="1"/>
          </xdr:nvSpPr>
          <xdr:spPr>
            <a:xfrm>
              <a:off x="8900938" y="235116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69" name="TextBox 68">
              <a:extLst>
                <a:ext uri="{FF2B5EF4-FFF2-40B4-BE49-F238E27FC236}">
                  <a16:creationId xmlns:a16="http://schemas.microsoft.com/office/drawing/2014/main" id="{2A628D99-8AA5-5A4E-88C3-76A2481D3B98}"/>
                </a:ext>
              </a:extLst>
            </xdr:cNvPr>
            <xdr:cNvSpPr txBox="1"/>
          </xdr:nvSpPr>
          <xdr:spPr>
            <a:xfrm>
              <a:off x="8900938" y="235116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70" name="Rectangle 69">
          <a:extLst>
            <a:ext uri="{FF2B5EF4-FFF2-40B4-BE49-F238E27FC236}">
              <a16:creationId xmlns:a16="http://schemas.microsoft.com/office/drawing/2014/main" id="{4DF7A7DC-6B0A-8044-8221-459FA7420D32}"/>
            </a:ext>
          </a:extLst>
        </xdr:cNvPr>
        <xdr:cNvSpPr/>
      </xdr:nvSpPr>
      <xdr:spPr>
        <a:xfrm>
          <a:off x="11431081" y="233803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12</xdr:col>
      <xdr:colOff>779029</xdr:colOff>
      <xdr:row>95</xdr:row>
      <xdr:rowOff>45026</xdr:rowOff>
    </xdr:from>
    <xdr:ext cx="1488997" cy="778931"/>
    <mc:AlternateContent xmlns:mc="http://schemas.openxmlformats.org/markup-compatibility/2006">
      <mc:Choice xmlns:a14="http://schemas.microsoft.com/office/drawing/2010/main" Requires="a14">
        <xdr:sp macro="" textlink="">
          <xdr:nvSpPr>
            <xdr:cNvPr id="71" name="TextBox 70">
              <a:extLst>
                <a:ext uri="{FF2B5EF4-FFF2-40B4-BE49-F238E27FC236}">
                  <a16:creationId xmlns:a16="http://schemas.microsoft.com/office/drawing/2014/main" id="{EE048251-E313-FD45-B992-526121C86AA6}"/>
                </a:ext>
              </a:extLst>
            </xdr:cNvPr>
            <xdr:cNvSpPr txBox="1"/>
          </xdr:nvSpPr>
          <xdr:spPr>
            <a:xfrm>
              <a:off x="15053829" y="246830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dr:sp macro="" textlink="">
          <xdr:nvSpPr>
            <xdr:cNvPr id="71" name="TextBox 70">
              <a:extLst>
                <a:ext uri="{FF2B5EF4-FFF2-40B4-BE49-F238E27FC236}">
                  <a16:creationId xmlns:a16="http://schemas.microsoft.com/office/drawing/2014/main" id="{EE048251-E313-FD45-B992-526121C86AA6}"/>
                </a:ext>
              </a:extLst>
            </xdr:cNvPr>
            <xdr:cNvSpPr txBox="1"/>
          </xdr:nvSpPr>
          <xdr:spPr>
            <a:xfrm>
              <a:off x="15053829" y="246830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2B3EA77-D95E-0843-8FC7-4CE19D4413B6}"/>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832255A-D3A1-C348-9399-726B90B090AE}"/>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5715F190-904F-A44D-9BC7-E9B1FE6E8CF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5715F190-904F-A44D-9BC7-E9B1FE6E8CF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841EC350-24B0-3D44-B634-A5F490872057}"/>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841EC350-24B0-3D44-B634-A5F490872057}"/>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6701C80-DF3F-AF42-87CA-4C6B56E73575}"/>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CA4125E5-6920-974F-B77D-2F72F747D357}"/>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CA4125E5-6920-974F-B77D-2F72F747D357}"/>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5344F44D-63A9-954A-97B1-AE79D92CE397}"/>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5344F44D-63A9-954A-97B1-AE79D92CE397}"/>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3945526D-5F65-D542-95AA-40A5DB936623}"/>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50D971AD-93DF-BD49-861C-0C5E6DC04ED7}"/>
                </a:ext>
              </a:extLst>
            </xdr:cNvPr>
            <xdr:cNvSpPr/>
          </xdr:nvSpPr>
          <xdr:spPr>
            <a:xfrm>
              <a:off x="135744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50D971AD-93DF-BD49-861C-0C5E6DC04ED7}"/>
                </a:ext>
              </a:extLst>
            </xdr:cNvPr>
            <xdr:cNvSpPr/>
          </xdr:nvSpPr>
          <xdr:spPr>
            <a:xfrm>
              <a:off x="135744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A23949B1-51AD-8A48-9B83-8D77F34805DF}"/>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FDB12729-EAC7-F54F-A04B-F50703A9E8F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FDB12729-EAC7-F54F-A04B-F50703A9E8F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00B2111-BA24-9445-B663-B15219B5F631}"/>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A5992590-D16B-3340-A9B8-010D9EBB6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1003457</xdr:colOff>
      <xdr:row>107</xdr:row>
      <xdr:rowOff>266543</xdr:rowOff>
    </xdr:from>
    <xdr:to>
      <xdr:col>16</xdr:col>
      <xdr:colOff>31358</xdr:colOff>
      <xdr:row>124</xdr:row>
      <xdr:rowOff>50800</xdr:rowOff>
    </xdr:to>
    <xdr:graphicFrame macro="">
      <xdr:nvGraphicFramePr>
        <xdr:cNvPr id="15" name="Chart 14">
          <a:extLst>
            <a:ext uri="{FF2B5EF4-FFF2-40B4-BE49-F238E27FC236}">
              <a16:creationId xmlns:a16="http://schemas.microsoft.com/office/drawing/2014/main" id="{7EA4851C-B6FA-8641-B568-AFF87F738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139C7C17-DF24-7E45-B4AD-E40290D9AD8D}"/>
            </a:ext>
          </a:extLst>
        </xdr:cNvPr>
        <xdr:cNvCxnSpPr/>
      </xdr:nvCxnSpPr>
      <xdr:spPr>
        <a:xfrm>
          <a:off x="6002428" y="3327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17" name="TextBox 16">
              <a:extLst>
                <a:ext uri="{FF2B5EF4-FFF2-40B4-BE49-F238E27FC236}">
                  <a16:creationId xmlns:a16="http://schemas.microsoft.com/office/drawing/2014/main" id="{71051EA0-D3DD-9141-953B-9D504589A855}"/>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17" name="TextBox 16">
              <a:extLst>
                <a:ext uri="{FF2B5EF4-FFF2-40B4-BE49-F238E27FC236}">
                  <a16:creationId xmlns:a16="http://schemas.microsoft.com/office/drawing/2014/main" id="{71051EA0-D3DD-9141-953B-9D504589A855}"/>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7CF582AF-5950-054D-BC3E-3D847EA51C84}"/>
            </a:ext>
          </a:extLst>
        </xdr:cNvPr>
        <xdr:cNvSpPr/>
      </xdr:nvSpPr>
      <xdr:spPr>
        <a:xfrm>
          <a:off x="8764154" y="32977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mc:Choice xmlns:a14="http://schemas.microsoft.com/office/drawing/2010/main" Requires="a14">
        <xdr:sp macro="" textlink="">
          <xdr:nvSpPr>
            <xdr:cNvPr id="19" name="Rectangle 18">
              <a:extLst>
                <a:ext uri="{FF2B5EF4-FFF2-40B4-BE49-F238E27FC236}">
                  <a16:creationId xmlns:a16="http://schemas.microsoft.com/office/drawing/2014/main" id="{B7C85D4C-A7C6-1643-AE24-342B94ECD49A}"/>
                </a:ext>
              </a:extLst>
            </xdr:cNvPr>
            <xdr:cNvSpPr/>
          </xdr:nvSpPr>
          <xdr:spPr>
            <a:xfrm>
              <a:off x="13232880" y="32885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dr:sp macro="" textlink="">
          <xdr:nvSpPr>
            <xdr:cNvPr id="19" name="Rectangle 18">
              <a:extLst>
                <a:ext uri="{FF2B5EF4-FFF2-40B4-BE49-F238E27FC236}">
                  <a16:creationId xmlns:a16="http://schemas.microsoft.com/office/drawing/2014/main" id="{B7C85D4C-A7C6-1643-AE24-342B94ECD49A}"/>
                </a:ext>
              </a:extLst>
            </xdr:cNvPr>
            <xdr:cNvSpPr/>
          </xdr:nvSpPr>
          <xdr:spPr>
            <a:xfrm>
              <a:off x="13232880" y="32885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5BEBBE78-BF93-B848-B844-1E63D4CD4D5C}"/>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5BEBBE78-BF93-B848-B844-1E63D4CD4D5C}"/>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1" name="Rounded Rectangle 20">
          <a:extLst>
            <a:ext uri="{FF2B5EF4-FFF2-40B4-BE49-F238E27FC236}">
              <a16:creationId xmlns:a16="http://schemas.microsoft.com/office/drawing/2014/main" id="{D600F7F5-3BCB-A34A-8838-EB7206F32E0D}"/>
            </a:ext>
          </a:extLst>
        </xdr:cNvPr>
        <xdr:cNvSpPr/>
      </xdr:nvSpPr>
      <xdr:spPr>
        <a:xfrm>
          <a:off x="9334499" y="33553400"/>
          <a:ext cx="38426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mc:Choice xmlns:a14="http://schemas.microsoft.com/office/drawing/2010/main" Requires="a14">
        <xdr:sp macro="" textlink="">
          <xdr:nvSpPr>
            <xdr:cNvPr id="22" name="TextBox 21">
              <a:extLst>
                <a:ext uri="{FF2B5EF4-FFF2-40B4-BE49-F238E27FC236}">
                  <a16:creationId xmlns:a16="http://schemas.microsoft.com/office/drawing/2014/main" id="{8DD0EA6B-462A-7846-B9B2-E2D9402BC076}"/>
                </a:ext>
              </a:extLst>
            </xdr:cNvPr>
            <xdr:cNvSpPr txBox="1"/>
          </xdr:nvSpPr>
          <xdr:spPr>
            <a:xfrm>
              <a:off x="14119830" y="34329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dr:sp macro="" textlink="">
          <xdr:nvSpPr>
            <xdr:cNvPr id="22" name="TextBox 21">
              <a:extLst>
                <a:ext uri="{FF2B5EF4-FFF2-40B4-BE49-F238E27FC236}">
                  <a16:creationId xmlns:a16="http://schemas.microsoft.com/office/drawing/2014/main" id="{8DD0EA6B-462A-7846-B9B2-E2D9402BC076}"/>
                </a:ext>
              </a:extLst>
            </xdr:cNvPr>
            <xdr:cNvSpPr txBox="1"/>
          </xdr:nvSpPr>
          <xdr:spPr>
            <a:xfrm>
              <a:off x="14119830" y="34329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3" name="Curved Connector 22">
          <a:extLst>
            <a:ext uri="{FF2B5EF4-FFF2-40B4-BE49-F238E27FC236}">
              <a16:creationId xmlns:a16="http://schemas.microsoft.com/office/drawing/2014/main" id="{EDA3B37D-0608-9940-8B72-0DF4EE963451}"/>
            </a:ext>
          </a:extLst>
        </xdr:cNvPr>
        <xdr:cNvCxnSpPr>
          <a:endCxn id="22" idx="1"/>
        </xdr:cNvCxnSpPr>
      </xdr:nvCxnSpPr>
      <xdr:spPr>
        <a:xfrm rot="16200000" flipH="1">
          <a:off x="13583046" y="34188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4" name="Chart 23">
          <a:extLst>
            <a:ext uri="{FF2B5EF4-FFF2-40B4-BE49-F238E27FC236}">
              <a16:creationId xmlns:a16="http://schemas.microsoft.com/office/drawing/2014/main" id="{A81B713E-A08B-274B-B5E5-F2D454CDE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5" name="TextBox 24">
          <a:extLst>
            <a:ext uri="{FF2B5EF4-FFF2-40B4-BE49-F238E27FC236}">
              <a16:creationId xmlns:a16="http://schemas.microsoft.com/office/drawing/2014/main" id="{15F8A0E1-0C7F-8440-A29B-0696FC14840D}"/>
            </a:ext>
          </a:extLst>
        </xdr:cNvPr>
        <xdr:cNvSpPr txBox="1"/>
      </xdr:nvSpPr>
      <xdr:spPr>
        <a:xfrm>
          <a:off x="12442658" y="404880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6" name="Straight Arrow Connector 25">
          <a:extLst>
            <a:ext uri="{FF2B5EF4-FFF2-40B4-BE49-F238E27FC236}">
              <a16:creationId xmlns:a16="http://schemas.microsoft.com/office/drawing/2014/main" id="{8F468008-66C0-564F-B1F3-C3DD81C08BB8}"/>
            </a:ext>
          </a:extLst>
        </xdr:cNvPr>
        <xdr:cNvCxnSpPr/>
      </xdr:nvCxnSpPr>
      <xdr:spPr>
        <a:xfrm>
          <a:off x="6002428" y="42079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27" name="TextBox 26">
              <a:extLst>
                <a:ext uri="{FF2B5EF4-FFF2-40B4-BE49-F238E27FC236}">
                  <a16:creationId xmlns:a16="http://schemas.microsoft.com/office/drawing/2014/main" id="{7DE577E5-6F69-E64C-A00E-67C9DCA9249E}"/>
                </a:ext>
              </a:extLst>
            </xdr:cNvPr>
            <xdr:cNvSpPr txBox="1"/>
          </xdr:nvSpPr>
          <xdr:spPr>
            <a:xfrm>
              <a:off x="9506096" y="417046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27" name="TextBox 26">
              <a:extLst>
                <a:ext uri="{FF2B5EF4-FFF2-40B4-BE49-F238E27FC236}">
                  <a16:creationId xmlns:a16="http://schemas.microsoft.com/office/drawing/2014/main" id="{7DE577E5-6F69-E64C-A00E-67C9DCA9249E}"/>
                </a:ext>
              </a:extLst>
            </xdr:cNvPr>
            <xdr:cNvSpPr txBox="1"/>
          </xdr:nvSpPr>
          <xdr:spPr>
            <a:xfrm>
              <a:off x="9506096" y="417046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8" name="Rectangle 27">
          <a:extLst>
            <a:ext uri="{FF2B5EF4-FFF2-40B4-BE49-F238E27FC236}">
              <a16:creationId xmlns:a16="http://schemas.microsoft.com/office/drawing/2014/main" id="{D387DD6A-D80C-4D42-8075-218FD90D54C1}"/>
            </a:ext>
          </a:extLst>
        </xdr:cNvPr>
        <xdr:cNvSpPr/>
      </xdr:nvSpPr>
      <xdr:spPr>
        <a:xfrm>
          <a:off x="13557514" y="417821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9" name="Curved Connector 28">
          <a:extLst>
            <a:ext uri="{FF2B5EF4-FFF2-40B4-BE49-F238E27FC236}">
              <a16:creationId xmlns:a16="http://schemas.microsoft.com/office/drawing/2014/main" id="{5BE18586-B2FC-5D42-A3DF-1BF91F893532}"/>
            </a:ext>
          </a:extLst>
        </xdr:cNvPr>
        <xdr:cNvCxnSpPr/>
      </xdr:nvCxnSpPr>
      <xdr:spPr>
        <a:xfrm flipV="1">
          <a:off x="12408338" y="421040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30" name="TextBox 29">
              <a:extLst>
                <a:ext uri="{FF2B5EF4-FFF2-40B4-BE49-F238E27FC236}">
                  <a16:creationId xmlns:a16="http://schemas.microsoft.com/office/drawing/2014/main" id="{44661C21-F01E-B440-86BC-52614D33DA05}"/>
                </a:ext>
              </a:extLst>
            </xdr:cNvPr>
            <xdr:cNvSpPr txBox="1"/>
          </xdr:nvSpPr>
          <xdr:spPr>
            <a:xfrm>
              <a:off x="14346767" y="431757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30" name="TextBox 29">
              <a:extLst>
                <a:ext uri="{FF2B5EF4-FFF2-40B4-BE49-F238E27FC236}">
                  <a16:creationId xmlns:a16="http://schemas.microsoft.com/office/drawing/2014/main" id="{44661C21-F01E-B440-86BC-52614D33DA05}"/>
                </a:ext>
              </a:extLst>
            </xdr:cNvPr>
            <xdr:cNvSpPr txBox="1"/>
          </xdr:nvSpPr>
          <xdr:spPr>
            <a:xfrm>
              <a:off x="14346767" y="431757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1" name="Curved Connector 30">
          <a:extLst>
            <a:ext uri="{FF2B5EF4-FFF2-40B4-BE49-F238E27FC236}">
              <a16:creationId xmlns:a16="http://schemas.microsoft.com/office/drawing/2014/main" id="{63D9D1A8-94C5-B643-9569-60476DC549F3}"/>
            </a:ext>
          </a:extLst>
        </xdr:cNvPr>
        <xdr:cNvCxnSpPr/>
      </xdr:nvCxnSpPr>
      <xdr:spPr>
        <a:xfrm>
          <a:off x="125075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2" name="Curved Connector 31">
          <a:extLst>
            <a:ext uri="{FF2B5EF4-FFF2-40B4-BE49-F238E27FC236}">
              <a16:creationId xmlns:a16="http://schemas.microsoft.com/office/drawing/2014/main" id="{06391A8D-4D8E-5442-90DF-EDA684A7F924}"/>
            </a:ext>
          </a:extLst>
        </xdr:cNvPr>
        <xdr:cNvCxnSpPr>
          <a:endCxn id="30" idx="1"/>
        </xdr:cNvCxnSpPr>
      </xdr:nvCxnSpPr>
      <xdr:spPr>
        <a:xfrm rot="16200000" flipH="1">
          <a:off x="13992648" y="430642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3" name="TextBox 32">
              <a:extLst>
                <a:ext uri="{FF2B5EF4-FFF2-40B4-BE49-F238E27FC236}">
                  <a16:creationId xmlns:a16="http://schemas.microsoft.com/office/drawing/2014/main" id="{3D2AC808-DF77-314B-9F29-16BBDE25BF4F}"/>
                </a:ext>
              </a:extLst>
            </xdr:cNvPr>
            <xdr:cNvSpPr txBox="1"/>
          </xdr:nvSpPr>
          <xdr:spPr>
            <a:xfrm>
              <a:off x="10690773" y="424359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3" name="TextBox 32">
              <a:extLst>
                <a:ext uri="{FF2B5EF4-FFF2-40B4-BE49-F238E27FC236}">
                  <a16:creationId xmlns:a16="http://schemas.microsoft.com/office/drawing/2014/main" id="{3D2AC808-DF77-314B-9F29-16BBDE25BF4F}"/>
                </a:ext>
              </a:extLst>
            </xdr:cNvPr>
            <xdr:cNvSpPr txBox="1"/>
          </xdr:nvSpPr>
          <xdr:spPr>
            <a:xfrm>
              <a:off x="10690773" y="424359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4" name="Chart 33">
          <a:extLst>
            <a:ext uri="{FF2B5EF4-FFF2-40B4-BE49-F238E27FC236}">
              <a16:creationId xmlns:a16="http://schemas.microsoft.com/office/drawing/2014/main" id="{E5FEB289-657A-4647-B1F9-BED42261C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5" name="Straight Arrow Connector 34">
          <a:extLst>
            <a:ext uri="{FF2B5EF4-FFF2-40B4-BE49-F238E27FC236}">
              <a16:creationId xmlns:a16="http://schemas.microsoft.com/office/drawing/2014/main" id="{6EFAFDAA-CA79-6340-BAD4-ED01C3CF4D2A}"/>
            </a:ext>
          </a:extLst>
        </xdr:cNvPr>
        <xdr:cNvCxnSpPr/>
      </xdr:nvCxnSpPr>
      <xdr:spPr>
        <a:xfrm>
          <a:off x="6002428" y="50778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6" name="TextBox 35">
              <a:extLst>
                <a:ext uri="{FF2B5EF4-FFF2-40B4-BE49-F238E27FC236}">
                  <a16:creationId xmlns:a16="http://schemas.microsoft.com/office/drawing/2014/main" id="{3F7A4A52-9379-8C47-B6D5-479572BFD5CD}"/>
                </a:ext>
              </a:extLst>
            </xdr:cNvPr>
            <xdr:cNvSpPr txBox="1"/>
          </xdr:nvSpPr>
          <xdr:spPr>
            <a:xfrm>
              <a:off x="8659887" y="51395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6" name="TextBox 35">
              <a:extLst>
                <a:ext uri="{FF2B5EF4-FFF2-40B4-BE49-F238E27FC236}">
                  <a16:creationId xmlns:a16="http://schemas.microsoft.com/office/drawing/2014/main" id="{3F7A4A52-9379-8C47-B6D5-479572BFD5CD}"/>
                </a:ext>
              </a:extLst>
            </xdr:cNvPr>
            <xdr:cNvSpPr txBox="1"/>
          </xdr:nvSpPr>
          <xdr:spPr>
            <a:xfrm>
              <a:off x="8659887" y="51395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37" name="TextBox 36">
              <a:extLst>
                <a:ext uri="{FF2B5EF4-FFF2-40B4-BE49-F238E27FC236}">
                  <a16:creationId xmlns:a16="http://schemas.microsoft.com/office/drawing/2014/main" id="{0B35A55D-763E-7944-9C1D-B4D9D00FD6E5}"/>
                </a:ext>
              </a:extLst>
            </xdr:cNvPr>
            <xdr:cNvSpPr txBox="1"/>
          </xdr:nvSpPr>
          <xdr:spPr>
            <a:xfrm>
              <a:off x="9186937" y="51905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37" name="TextBox 36">
              <a:extLst>
                <a:ext uri="{FF2B5EF4-FFF2-40B4-BE49-F238E27FC236}">
                  <a16:creationId xmlns:a16="http://schemas.microsoft.com/office/drawing/2014/main" id="{0B35A55D-763E-7944-9C1D-B4D9D00FD6E5}"/>
                </a:ext>
              </a:extLst>
            </xdr:cNvPr>
            <xdr:cNvSpPr txBox="1"/>
          </xdr:nvSpPr>
          <xdr:spPr>
            <a:xfrm>
              <a:off x="9186937" y="51905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mc:Choice xmlns:a14="http://schemas.microsoft.com/office/drawing/2010/main" Requires="a14">
        <xdr:sp macro="" textlink="">
          <xdr:nvSpPr>
            <xdr:cNvPr id="38" name="TextBox 37">
              <a:extLst>
                <a:ext uri="{FF2B5EF4-FFF2-40B4-BE49-F238E27FC236}">
                  <a16:creationId xmlns:a16="http://schemas.microsoft.com/office/drawing/2014/main" id="{FE7A9853-D906-E743-862B-3F7881B5AB95}"/>
                </a:ext>
              </a:extLst>
            </xdr:cNvPr>
            <xdr:cNvSpPr txBox="1"/>
          </xdr:nvSpPr>
          <xdr:spPr>
            <a:xfrm>
              <a:off x="12880196" y="51820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8" name="TextBox 37">
              <a:extLst>
                <a:ext uri="{FF2B5EF4-FFF2-40B4-BE49-F238E27FC236}">
                  <a16:creationId xmlns:a16="http://schemas.microsoft.com/office/drawing/2014/main" id="{FE7A9853-D906-E743-862B-3F7881B5AB95}"/>
                </a:ext>
              </a:extLst>
            </xdr:cNvPr>
            <xdr:cNvSpPr txBox="1"/>
          </xdr:nvSpPr>
          <xdr:spPr>
            <a:xfrm>
              <a:off x="12880196" y="51820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9" name="TextBox 38">
          <a:extLst>
            <a:ext uri="{FF2B5EF4-FFF2-40B4-BE49-F238E27FC236}">
              <a16:creationId xmlns:a16="http://schemas.microsoft.com/office/drawing/2014/main" id="{07255777-B772-4D4C-9AD0-A4C0B5C80705}"/>
            </a:ext>
          </a:extLst>
        </xdr:cNvPr>
        <xdr:cNvSpPr txBox="1"/>
      </xdr:nvSpPr>
      <xdr:spPr>
        <a:xfrm>
          <a:off x="14124796" y="51352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0" name="Straight Arrow Connector 39">
          <a:extLst>
            <a:ext uri="{FF2B5EF4-FFF2-40B4-BE49-F238E27FC236}">
              <a16:creationId xmlns:a16="http://schemas.microsoft.com/office/drawing/2014/main" id="{2E3EDFD8-13FC-1B41-B7F3-9C4AFA861745}"/>
            </a:ext>
          </a:extLst>
        </xdr:cNvPr>
        <xdr:cNvCxnSpPr/>
      </xdr:nvCxnSpPr>
      <xdr:spPr>
        <a:xfrm flipH="1">
          <a:off x="9039469" y="510642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1" name="Straight Arrow Connector 40">
          <a:extLst>
            <a:ext uri="{FF2B5EF4-FFF2-40B4-BE49-F238E27FC236}">
              <a16:creationId xmlns:a16="http://schemas.microsoft.com/office/drawing/2014/main" id="{A5AE3945-F071-CA42-A337-E098B9265BC9}"/>
            </a:ext>
          </a:extLst>
        </xdr:cNvPr>
        <xdr:cNvCxnSpPr/>
      </xdr:nvCxnSpPr>
      <xdr:spPr>
        <a:xfrm flipH="1">
          <a:off x="10833100" y="51045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2" name="Straight Arrow Connector 41">
          <a:extLst>
            <a:ext uri="{FF2B5EF4-FFF2-40B4-BE49-F238E27FC236}">
              <a16:creationId xmlns:a16="http://schemas.microsoft.com/office/drawing/2014/main" id="{116CEF8B-02AF-7C48-9BBD-6A44E6E61B61}"/>
            </a:ext>
          </a:extLst>
        </xdr:cNvPr>
        <xdr:cNvCxnSpPr/>
      </xdr:nvCxnSpPr>
      <xdr:spPr>
        <a:xfrm>
          <a:off x="12124103" y="51052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3" name="Straight Arrow Connector 42">
          <a:extLst>
            <a:ext uri="{FF2B5EF4-FFF2-40B4-BE49-F238E27FC236}">
              <a16:creationId xmlns:a16="http://schemas.microsoft.com/office/drawing/2014/main" id="{A076976E-A7F4-974E-9DB4-887F7CDEC864}"/>
            </a:ext>
          </a:extLst>
        </xdr:cNvPr>
        <xdr:cNvCxnSpPr/>
      </xdr:nvCxnSpPr>
      <xdr:spPr>
        <a:xfrm>
          <a:off x="13314974" y="51045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4" name="Rectangle 43">
          <a:extLst>
            <a:ext uri="{FF2B5EF4-FFF2-40B4-BE49-F238E27FC236}">
              <a16:creationId xmlns:a16="http://schemas.microsoft.com/office/drawing/2014/main" id="{B8F2FF6E-9FDE-3345-848A-1776AC6700F6}"/>
            </a:ext>
          </a:extLst>
        </xdr:cNvPr>
        <xdr:cNvSpPr/>
      </xdr:nvSpPr>
      <xdr:spPr>
        <a:xfrm>
          <a:off x="14678661" y="50881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5" name="Chart 44">
          <a:extLst>
            <a:ext uri="{FF2B5EF4-FFF2-40B4-BE49-F238E27FC236}">
              <a16:creationId xmlns:a16="http://schemas.microsoft.com/office/drawing/2014/main" id="{7468D47F-3BD1-A04D-A320-065F5EDC2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6" name="Straight Arrow Connector 45">
          <a:extLst>
            <a:ext uri="{FF2B5EF4-FFF2-40B4-BE49-F238E27FC236}">
              <a16:creationId xmlns:a16="http://schemas.microsoft.com/office/drawing/2014/main" id="{DE42DCF6-E002-6949-BE66-1070F35AA971}"/>
            </a:ext>
          </a:extLst>
        </xdr:cNvPr>
        <xdr:cNvCxnSpPr/>
      </xdr:nvCxnSpPr>
      <xdr:spPr>
        <a:xfrm>
          <a:off x="6002428" y="6069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47" name="TextBox 46">
              <a:extLst>
                <a:ext uri="{FF2B5EF4-FFF2-40B4-BE49-F238E27FC236}">
                  <a16:creationId xmlns:a16="http://schemas.microsoft.com/office/drawing/2014/main" id="{3E72BCD4-0CDF-454D-BC3E-C6F182695371}"/>
                </a:ext>
              </a:extLst>
            </xdr:cNvPr>
            <xdr:cNvSpPr txBox="1"/>
          </xdr:nvSpPr>
          <xdr:spPr>
            <a:xfrm>
              <a:off x="7988516" y="61433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47" name="TextBox 46">
              <a:extLst>
                <a:ext uri="{FF2B5EF4-FFF2-40B4-BE49-F238E27FC236}">
                  <a16:creationId xmlns:a16="http://schemas.microsoft.com/office/drawing/2014/main" id="{3E72BCD4-0CDF-454D-BC3E-C6F182695371}"/>
                </a:ext>
              </a:extLst>
            </xdr:cNvPr>
            <xdr:cNvSpPr txBox="1"/>
          </xdr:nvSpPr>
          <xdr:spPr>
            <a:xfrm>
              <a:off x="7988516" y="61433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48" name="TextBox 47">
              <a:extLst>
                <a:ext uri="{FF2B5EF4-FFF2-40B4-BE49-F238E27FC236}">
                  <a16:creationId xmlns:a16="http://schemas.microsoft.com/office/drawing/2014/main" id="{0C24E2D6-CD85-CA4E-BE75-D75B33910509}"/>
                </a:ext>
              </a:extLst>
            </xdr:cNvPr>
            <xdr:cNvSpPr txBox="1"/>
          </xdr:nvSpPr>
          <xdr:spPr>
            <a:xfrm>
              <a:off x="8984037" y="61999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48" name="TextBox 47">
              <a:extLst>
                <a:ext uri="{FF2B5EF4-FFF2-40B4-BE49-F238E27FC236}">
                  <a16:creationId xmlns:a16="http://schemas.microsoft.com/office/drawing/2014/main" id="{0C24E2D6-CD85-CA4E-BE75-D75B33910509}"/>
                </a:ext>
              </a:extLst>
            </xdr:cNvPr>
            <xdr:cNvSpPr txBox="1"/>
          </xdr:nvSpPr>
          <xdr:spPr>
            <a:xfrm>
              <a:off x="8984037" y="61999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49" name="TextBox 48">
              <a:extLst>
                <a:ext uri="{FF2B5EF4-FFF2-40B4-BE49-F238E27FC236}">
                  <a16:creationId xmlns:a16="http://schemas.microsoft.com/office/drawing/2014/main" id="{C16640CB-0D0C-7E41-8EE2-F71C3B2CC0E9}"/>
                </a:ext>
              </a:extLst>
            </xdr:cNvPr>
            <xdr:cNvSpPr txBox="1"/>
          </xdr:nvSpPr>
          <xdr:spPr>
            <a:xfrm>
              <a:off x="12880195" y="61726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49" name="TextBox 48">
              <a:extLst>
                <a:ext uri="{FF2B5EF4-FFF2-40B4-BE49-F238E27FC236}">
                  <a16:creationId xmlns:a16="http://schemas.microsoft.com/office/drawing/2014/main" id="{C16640CB-0D0C-7E41-8EE2-F71C3B2CC0E9}"/>
                </a:ext>
              </a:extLst>
            </xdr:cNvPr>
            <xdr:cNvSpPr txBox="1"/>
          </xdr:nvSpPr>
          <xdr:spPr>
            <a:xfrm>
              <a:off x="12880195" y="61726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F6307CD7-433A-2F48-9B11-1B8DB9AECD2F}"/>
                </a:ext>
              </a:extLst>
            </xdr:cNvPr>
            <xdr:cNvSpPr txBox="1"/>
          </xdr:nvSpPr>
          <xdr:spPr>
            <a:xfrm>
              <a:off x="14124796" y="61271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50" name="TextBox 49">
              <a:extLst>
                <a:ext uri="{FF2B5EF4-FFF2-40B4-BE49-F238E27FC236}">
                  <a16:creationId xmlns:a16="http://schemas.microsoft.com/office/drawing/2014/main" id="{F6307CD7-433A-2F48-9B11-1B8DB9AECD2F}"/>
                </a:ext>
              </a:extLst>
            </xdr:cNvPr>
            <xdr:cNvSpPr txBox="1"/>
          </xdr:nvSpPr>
          <xdr:spPr>
            <a:xfrm>
              <a:off x="14124796" y="61271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1" name="Straight Arrow Connector 50">
          <a:extLst>
            <a:ext uri="{FF2B5EF4-FFF2-40B4-BE49-F238E27FC236}">
              <a16:creationId xmlns:a16="http://schemas.microsoft.com/office/drawing/2014/main" id="{4E3CD3E9-F530-E849-911E-DF4BECA59B05}"/>
            </a:ext>
          </a:extLst>
        </xdr:cNvPr>
        <xdr:cNvCxnSpPr/>
      </xdr:nvCxnSpPr>
      <xdr:spPr>
        <a:xfrm flipH="1">
          <a:off x="9039469" y="60982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2" name="Straight Arrow Connector 51">
          <a:extLst>
            <a:ext uri="{FF2B5EF4-FFF2-40B4-BE49-F238E27FC236}">
              <a16:creationId xmlns:a16="http://schemas.microsoft.com/office/drawing/2014/main" id="{C4966E69-7752-294B-8E36-190CCBEC2128}"/>
            </a:ext>
          </a:extLst>
        </xdr:cNvPr>
        <xdr:cNvCxnSpPr/>
      </xdr:nvCxnSpPr>
      <xdr:spPr>
        <a:xfrm flipH="1">
          <a:off x="10760507" y="60964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3" name="Straight Arrow Connector 52">
          <a:extLst>
            <a:ext uri="{FF2B5EF4-FFF2-40B4-BE49-F238E27FC236}">
              <a16:creationId xmlns:a16="http://schemas.microsoft.com/office/drawing/2014/main" id="{3854170A-0D13-F643-90AA-5A20290322D7}"/>
            </a:ext>
          </a:extLst>
        </xdr:cNvPr>
        <xdr:cNvCxnSpPr/>
      </xdr:nvCxnSpPr>
      <xdr:spPr>
        <a:xfrm>
          <a:off x="12124103" y="60970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4" name="Straight Arrow Connector 53">
          <a:extLst>
            <a:ext uri="{FF2B5EF4-FFF2-40B4-BE49-F238E27FC236}">
              <a16:creationId xmlns:a16="http://schemas.microsoft.com/office/drawing/2014/main" id="{1BE5B337-9E9E-934B-90E2-63653D8775D6}"/>
            </a:ext>
          </a:extLst>
        </xdr:cNvPr>
        <xdr:cNvCxnSpPr/>
      </xdr:nvCxnSpPr>
      <xdr:spPr>
        <a:xfrm>
          <a:off x="13314974" y="60964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5" name="CasellaDiTesto 25">
              <a:extLst>
                <a:ext uri="{FF2B5EF4-FFF2-40B4-BE49-F238E27FC236}">
                  <a16:creationId xmlns:a16="http://schemas.microsoft.com/office/drawing/2014/main" id="{A1F6932A-13A7-4949-9F52-0A9E6CBBCE27}"/>
                </a:ext>
              </a:extLst>
            </xdr:cNvPr>
            <xdr:cNvSpPr txBox="1"/>
          </xdr:nvSpPr>
          <xdr:spPr>
            <a:xfrm>
              <a:off x="7294032" y="61023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5" name="CasellaDiTesto 25">
              <a:extLst>
                <a:ext uri="{FF2B5EF4-FFF2-40B4-BE49-F238E27FC236}">
                  <a16:creationId xmlns:a16="http://schemas.microsoft.com/office/drawing/2014/main" id="{A1F6932A-13A7-4949-9F52-0A9E6CBBCE27}"/>
                </a:ext>
              </a:extLst>
            </xdr:cNvPr>
            <xdr:cNvSpPr txBox="1"/>
          </xdr:nvSpPr>
          <xdr:spPr>
            <a:xfrm>
              <a:off x="7294032" y="61023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6" name="Curved Connector 55">
          <a:extLst>
            <a:ext uri="{FF2B5EF4-FFF2-40B4-BE49-F238E27FC236}">
              <a16:creationId xmlns:a16="http://schemas.microsoft.com/office/drawing/2014/main" id="{8C57316D-456B-994C-988A-9D8850BCB2EC}"/>
            </a:ext>
          </a:extLst>
        </xdr:cNvPr>
        <xdr:cNvCxnSpPr>
          <a:endCxn id="47" idx="0"/>
        </xdr:cNvCxnSpPr>
      </xdr:nvCxnSpPr>
      <xdr:spPr>
        <a:xfrm>
          <a:off x="8301567" y="61116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7" name="Chart 56">
          <a:extLst>
            <a:ext uri="{FF2B5EF4-FFF2-40B4-BE49-F238E27FC236}">
              <a16:creationId xmlns:a16="http://schemas.microsoft.com/office/drawing/2014/main" id="{1796FD31-E143-0643-B822-8EA1252F1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mc:Choice xmlns:a14="http://schemas.microsoft.com/office/drawing/2010/main" Requires="a14">
        <xdr:sp macro="" textlink="">
          <xdr:nvSpPr>
            <xdr:cNvPr id="58" name="TextBox 57">
              <a:extLst>
                <a:ext uri="{FF2B5EF4-FFF2-40B4-BE49-F238E27FC236}">
                  <a16:creationId xmlns:a16="http://schemas.microsoft.com/office/drawing/2014/main" id="{C090E238-F0AF-9242-9963-9318796E70EE}"/>
                </a:ext>
              </a:extLst>
            </xdr:cNvPr>
            <xdr:cNvSpPr txBox="1"/>
          </xdr:nvSpPr>
          <xdr:spPr>
            <a:xfrm>
              <a:off x="13457050" y="618634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dr:sp macro="" textlink="">
          <xdr:nvSpPr>
            <xdr:cNvPr id="58" name="TextBox 57">
              <a:extLst>
                <a:ext uri="{FF2B5EF4-FFF2-40B4-BE49-F238E27FC236}">
                  <a16:creationId xmlns:a16="http://schemas.microsoft.com/office/drawing/2014/main" id="{C090E238-F0AF-9242-9963-9318796E70EE}"/>
                </a:ext>
              </a:extLst>
            </xdr:cNvPr>
            <xdr:cNvSpPr txBox="1"/>
          </xdr:nvSpPr>
          <xdr:spPr>
            <a:xfrm>
              <a:off x="13457050" y="618634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mc:Choice xmlns:a14="http://schemas.microsoft.com/office/drawing/2010/main" Requires="a14">
        <xdr:sp macro="" textlink="">
          <xdr:nvSpPr>
            <xdr:cNvPr id="59" name="TextBox 58">
              <a:extLst>
                <a:ext uri="{FF2B5EF4-FFF2-40B4-BE49-F238E27FC236}">
                  <a16:creationId xmlns:a16="http://schemas.microsoft.com/office/drawing/2014/main" id="{F7A9324A-C73F-8645-ABDE-EBAD277908B6}"/>
                </a:ext>
              </a:extLst>
            </xdr:cNvPr>
            <xdr:cNvSpPr txBox="1"/>
          </xdr:nvSpPr>
          <xdr:spPr>
            <a:xfrm>
              <a:off x="6178486" y="447175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NH2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dr:sp macro="" textlink="">
          <xdr:nvSpPr>
            <xdr:cNvPr id="59" name="TextBox 58">
              <a:extLst>
                <a:ext uri="{FF2B5EF4-FFF2-40B4-BE49-F238E27FC236}">
                  <a16:creationId xmlns:a16="http://schemas.microsoft.com/office/drawing/2014/main" id="{F7A9324A-C73F-8645-ABDE-EBAD277908B6}"/>
                </a:ext>
              </a:extLst>
            </xdr:cNvPr>
            <xdr:cNvSpPr txBox="1"/>
          </xdr:nvSpPr>
          <xdr:spPr>
            <a:xfrm>
              <a:off x="6178486" y="447175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NH2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0" name="Right Brace 59">
          <a:extLst>
            <a:ext uri="{FF2B5EF4-FFF2-40B4-BE49-F238E27FC236}">
              <a16:creationId xmlns:a16="http://schemas.microsoft.com/office/drawing/2014/main" id="{D3B75FEB-1D85-2D4A-8A8A-8323D58A0C19}"/>
            </a:ext>
          </a:extLst>
        </xdr:cNvPr>
        <xdr:cNvSpPr/>
      </xdr:nvSpPr>
      <xdr:spPr>
        <a:xfrm>
          <a:off x="21707378" y="14897100"/>
          <a:ext cx="1061413" cy="352313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1" name="Straight Arrow Connector 60">
          <a:extLst>
            <a:ext uri="{FF2B5EF4-FFF2-40B4-BE49-F238E27FC236}">
              <a16:creationId xmlns:a16="http://schemas.microsoft.com/office/drawing/2014/main" id="{25D34F01-2140-6246-99A5-0978BFD386E4}"/>
            </a:ext>
          </a:extLst>
        </xdr:cNvPr>
        <xdr:cNvCxnSpPr/>
      </xdr:nvCxnSpPr>
      <xdr:spPr>
        <a:xfrm>
          <a:off x="287952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62" name="TextBox 61">
              <a:extLst>
                <a:ext uri="{FF2B5EF4-FFF2-40B4-BE49-F238E27FC236}">
                  <a16:creationId xmlns:a16="http://schemas.microsoft.com/office/drawing/2014/main" id="{E3157A36-D839-6F43-9E6D-259B2DCE1582}"/>
                </a:ext>
              </a:extLst>
            </xdr:cNvPr>
            <xdr:cNvSpPr txBox="1"/>
          </xdr:nvSpPr>
          <xdr:spPr>
            <a:xfrm>
              <a:off x="312650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62" name="TextBox 61">
              <a:extLst>
                <a:ext uri="{FF2B5EF4-FFF2-40B4-BE49-F238E27FC236}">
                  <a16:creationId xmlns:a16="http://schemas.microsoft.com/office/drawing/2014/main" id="{E3157A36-D839-6F43-9E6D-259B2DCE1582}"/>
                </a:ext>
              </a:extLst>
            </xdr:cNvPr>
            <xdr:cNvSpPr txBox="1"/>
          </xdr:nvSpPr>
          <xdr:spPr>
            <a:xfrm>
              <a:off x="312650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3" name="TextBox 62">
          <a:extLst>
            <a:ext uri="{FF2B5EF4-FFF2-40B4-BE49-F238E27FC236}">
              <a16:creationId xmlns:a16="http://schemas.microsoft.com/office/drawing/2014/main" id="{CE057D02-A83B-504C-BBB3-6D3C16BB2FF5}"/>
            </a:ext>
          </a:extLst>
        </xdr:cNvPr>
        <xdr:cNvSpPr txBox="1"/>
      </xdr:nvSpPr>
      <xdr:spPr>
        <a:xfrm>
          <a:off x="257612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4" name="Chart 63">
          <a:extLst>
            <a:ext uri="{FF2B5EF4-FFF2-40B4-BE49-F238E27FC236}">
              <a16:creationId xmlns:a16="http://schemas.microsoft.com/office/drawing/2014/main" id="{5B4FCC30-0551-C044-963B-65E0D67BE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65" name="Straight Arrow Connector 64">
          <a:extLst>
            <a:ext uri="{FF2B5EF4-FFF2-40B4-BE49-F238E27FC236}">
              <a16:creationId xmlns:a16="http://schemas.microsoft.com/office/drawing/2014/main" id="{BFB12A96-A0CC-434D-AB57-58DA1AD3253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mc:Choice xmlns:a14="http://schemas.microsoft.com/office/drawing/2010/main" Requires="a14">
        <xdr:sp macro="" textlink="">
          <xdr:nvSpPr>
            <xdr:cNvPr id="66" name="TextBox 65">
              <a:extLst>
                <a:ext uri="{FF2B5EF4-FFF2-40B4-BE49-F238E27FC236}">
                  <a16:creationId xmlns:a16="http://schemas.microsoft.com/office/drawing/2014/main" id="{08FA7FB4-50F3-DE48-BC0C-7AE6C6522CC5}"/>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66" name="TextBox 65">
              <a:extLst>
                <a:ext uri="{FF2B5EF4-FFF2-40B4-BE49-F238E27FC236}">
                  <a16:creationId xmlns:a16="http://schemas.microsoft.com/office/drawing/2014/main" id="{08FA7FB4-50F3-DE48-BC0C-7AE6C6522CC5}"/>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67" name="Rectangle 66">
          <a:extLst>
            <a:ext uri="{FF2B5EF4-FFF2-40B4-BE49-F238E27FC236}">
              <a16:creationId xmlns:a16="http://schemas.microsoft.com/office/drawing/2014/main" id="{B6E6668F-46CB-A84C-8C02-D50BEF460E01}"/>
            </a:ext>
          </a:extLst>
        </xdr:cNvPr>
        <xdr:cNvSpPr/>
      </xdr:nvSpPr>
      <xdr:spPr>
        <a:xfrm>
          <a:off x="121422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13</xdr:col>
      <xdr:colOff>372629</xdr:colOff>
      <xdr:row>92</xdr:row>
      <xdr:rowOff>95826</xdr:rowOff>
    </xdr:from>
    <xdr:ext cx="1488997" cy="778931"/>
    <mc:AlternateContent xmlns:mc="http://schemas.openxmlformats.org/markup-compatibility/2006">
      <mc:Choice xmlns:a14="http://schemas.microsoft.com/office/drawing/2010/main" Requires="a14">
        <xdr:sp macro="" textlink="">
          <xdr:nvSpPr>
            <xdr:cNvPr id="68" name="TextBox 67">
              <a:extLst>
                <a:ext uri="{FF2B5EF4-FFF2-40B4-BE49-F238E27FC236}">
                  <a16:creationId xmlns:a16="http://schemas.microsoft.com/office/drawing/2014/main" id="{BC3E01E8-22C7-BD4B-A060-399203DE693A}"/>
                </a:ext>
              </a:extLst>
            </xdr:cNvPr>
            <xdr:cNvSpPr txBox="1"/>
          </xdr:nvSpPr>
          <xdr:spPr>
            <a:xfrm>
              <a:off x="165778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dr:sp macro="" textlink="">
          <xdr:nvSpPr>
            <xdr:cNvPr id="68" name="TextBox 67">
              <a:extLst>
                <a:ext uri="{FF2B5EF4-FFF2-40B4-BE49-F238E27FC236}">
                  <a16:creationId xmlns:a16="http://schemas.microsoft.com/office/drawing/2014/main" id="{BC3E01E8-22C7-BD4B-A060-399203DE693A}"/>
                </a:ext>
              </a:extLst>
            </xdr:cNvPr>
            <xdr:cNvSpPr txBox="1"/>
          </xdr:nvSpPr>
          <xdr:spPr>
            <a:xfrm>
              <a:off x="165778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2C0C3970-383D-5D41-898D-1C406D1D64FB}"/>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DA29547-6791-CE40-9CA9-3CAAFE9E63D2}"/>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76744AA4-67A3-BF46-8D0E-CA2D7669FF4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dr:sp macro="" textlink="">
          <xdr:nvSpPr>
            <xdr:cNvPr id="4" name="TextBox 3">
              <a:extLst>
                <a:ext uri="{FF2B5EF4-FFF2-40B4-BE49-F238E27FC236}">
                  <a16:creationId xmlns:a16="http://schemas.microsoft.com/office/drawing/2014/main" id="{76744AA4-67A3-BF46-8D0E-CA2D7669FF4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DA974F06-8BAD-5643-B738-3FC7412E7CD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5" name="TextBox 4">
              <a:extLst>
                <a:ext uri="{FF2B5EF4-FFF2-40B4-BE49-F238E27FC236}">
                  <a16:creationId xmlns:a16="http://schemas.microsoft.com/office/drawing/2014/main" id="{DA974F06-8BAD-5643-B738-3FC7412E7CD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F0134E78-B4E8-D342-8600-85CFBBB308C7}"/>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79AB4DE3-9DAA-BF43-8878-A9BCB3A04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dr:sp macro="" textlink="">
          <xdr:nvSpPr>
            <xdr:cNvPr id="7" name="TextBox 6">
              <a:extLst>
                <a:ext uri="{FF2B5EF4-FFF2-40B4-BE49-F238E27FC236}">
                  <a16:creationId xmlns:a16="http://schemas.microsoft.com/office/drawing/2014/main" id="{79AB4DE3-9DAA-BF43-8878-A9BCB3A04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DC71277A-9758-4B4A-9314-ADD8A852DAD5}"/>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dr:sp macro="" textlink="">
          <xdr:nvSpPr>
            <xdr:cNvPr id="8" name="TextBox 7">
              <a:extLst>
                <a:ext uri="{FF2B5EF4-FFF2-40B4-BE49-F238E27FC236}">
                  <a16:creationId xmlns:a16="http://schemas.microsoft.com/office/drawing/2014/main" id="{DC71277A-9758-4B4A-9314-ADD8A852DAD5}"/>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B252DB3A-9E47-7F43-B1C8-8EEEF0979C28}"/>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mc:Choice xmlns:a14="http://schemas.microsoft.com/office/drawing/2010/main" Requires="a14">
        <xdr:sp macro="" textlink="">
          <xdr:nvSpPr>
            <xdr:cNvPr id="10" name="Rectangle 9">
              <a:extLst>
                <a:ext uri="{FF2B5EF4-FFF2-40B4-BE49-F238E27FC236}">
                  <a16:creationId xmlns:a16="http://schemas.microsoft.com/office/drawing/2014/main" id="{A6EFC51B-BC02-BB4E-A125-94104CBA06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dr:sp macro="" textlink="">
          <xdr:nvSpPr>
            <xdr:cNvPr id="10" name="Rectangle 9">
              <a:extLst>
                <a:ext uri="{FF2B5EF4-FFF2-40B4-BE49-F238E27FC236}">
                  <a16:creationId xmlns:a16="http://schemas.microsoft.com/office/drawing/2014/main" id="{A6EFC51B-BC02-BB4E-A125-94104CBA06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910AA9D-66AC-614A-936A-EBF2D72AF224}"/>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5B1105CD-C468-084C-AA7F-E01E28D7380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dr:sp macro="" textlink="">
          <xdr:nvSpPr>
            <xdr:cNvPr id="12" name="TextBox 11">
              <a:extLst>
                <a:ext uri="{FF2B5EF4-FFF2-40B4-BE49-F238E27FC236}">
                  <a16:creationId xmlns:a16="http://schemas.microsoft.com/office/drawing/2014/main" id="{5B1105CD-C468-084C-AA7F-E01E28D7380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CDC5F40-FB44-3A40-A37C-4FDCE114D8C6}"/>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CAE4CDBC-B2DF-E241-A172-1C0D4F99F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558800</xdr:colOff>
      <xdr:row>107</xdr:row>
      <xdr:rowOff>228599</xdr:rowOff>
    </xdr:from>
    <xdr:to>
      <xdr:col>16</xdr:col>
      <xdr:colOff>30976</xdr:colOff>
      <xdr:row>124</xdr:row>
      <xdr:rowOff>50800</xdr:rowOff>
    </xdr:to>
    <xdr:graphicFrame macro="">
      <xdr:nvGraphicFramePr>
        <xdr:cNvPr id="15" name="Chart 14">
          <a:extLst>
            <a:ext uri="{FF2B5EF4-FFF2-40B4-BE49-F238E27FC236}">
              <a16:creationId xmlns:a16="http://schemas.microsoft.com/office/drawing/2014/main" id="{EE2B0F95-9635-9C4E-AE58-77034D413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45D8DF7C-AB32-E241-9C49-F658E5988DB4}"/>
            </a:ext>
          </a:extLst>
        </xdr:cNvPr>
        <xdr:cNvCxnSpPr/>
      </xdr:nvCxnSpPr>
      <xdr:spPr>
        <a:xfrm>
          <a:off x="6002428" y="3327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mc:Choice xmlns:a14="http://schemas.microsoft.com/office/drawing/2010/main" Requires="a14">
        <xdr:sp macro="" textlink="">
          <xdr:nvSpPr>
            <xdr:cNvPr id="17" name="TextBox 16">
              <a:extLst>
                <a:ext uri="{FF2B5EF4-FFF2-40B4-BE49-F238E27FC236}">
                  <a16:creationId xmlns:a16="http://schemas.microsoft.com/office/drawing/2014/main" id="{FCEC2A27-E960-654D-9D05-11054968929F}"/>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dr:sp macro="" textlink="">
          <xdr:nvSpPr>
            <xdr:cNvPr id="17" name="TextBox 16">
              <a:extLst>
                <a:ext uri="{FF2B5EF4-FFF2-40B4-BE49-F238E27FC236}">
                  <a16:creationId xmlns:a16="http://schemas.microsoft.com/office/drawing/2014/main" id="{FCEC2A27-E960-654D-9D05-11054968929F}"/>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F9BB80EE-930E-BF4B-99A4-9E2C388423DD}"/>
            </a:ext>
          </a:extLst>
        </xdr:cNvPr>
        <xdr:cNvSpPr/>
      </xdr:nvSpPr>
      <xdr:spPr>
        <a:xfrm>
          <a:off x="8764154" y="329778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128</xdr:row>
      <xdr:rowOff>228600</xdr:rowOff>
    </xdr:to>
    <mc:AlternateContent xmlns:mc="http://schemas.openxmlformats.org/markup-compatibility/2006">
      <mc:Choice xmlns:a14="http://schemas.microsoft.com/office/drawing/2010/main" Requires="a14">
        <xdr:sp macro="" textlink="">
          <xdr:nvSpPr>
            <xdr:cNvPr id="19" name="Rectangle 18">
              <a:extLst>
                <a:ext uri="{FF2B5EF4-FFF2-40B4-BE49-F238E27FC236}">
                  <a16:creationId xmlns:a16="http://schemas.microsoft.com/office/drawing/2014/main" id="{ADFAE449-D973-804D-963B-37A727881F48}"/>
                </a:ext>
              </a:extLst>
            </xdr:cNvPr>
            <xdr:cNvSpPr/>
          </xdr:nvSpPr>
          <xdr:spPr>
            <a:xfrm>
              <a:off x="12521680" y="328855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endParaRPr lang="en-US" sz="1100" b="0"/>
            </a:p>
          </xdr:txBody>
        </xdr:sp>
      </mc:Choice>
      <mc:Fallback>
        <xdr:sp macro="" textlink="">
          <xdr:nvSpPr>
            <xdr:cNvPr id="19" name="Rectangle 18">
              <a:extLst>
                <a:ext uri="{FF2B5EF4-FFF2-40B4-BE49-F238E27FC236}">
                  <a16:creationId xmlns:a16="http://schemas.microsoft.com/office/drawing/2014/main" id="{ADFAE449-D973-804D-963B-37A727881F48}"/>
                </a:ext>
              </a:extLst>
            </xdr:cNvPr>
            <xdr:cNvSpPr/>
          </xdr:nvSpPr>
          <xdr:spPr>
            <a:xfrm>
              <a:off x="12521680" y="328855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CD146E4F-0B06-444D-9321-1E9D295322D9}"/>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dr:sp macro="" textlink="">
          <xdr:nvSpPr>
            <xdr:cNvPr id="20" name="TextBox 19">
              <a:extLst>
                <a:ext uri="{FF2B5EF4-FFF2-40B4-BE49-F238E27FC236}">
                  <a16:creationId xmlns:a16="http://schemas.microsoft.com/office/drawing/2014/main" id="{CD146E4F-0B06-444D-9321-1E9D295322D9}"/>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1168399</xdr:colOff>
      <xdr:row>125</xdr:row>
      <xdr:rowOff>50800</xdr:rowOff>
    </xdr:from>
    <xdr:to>
      <xdr:col>9</xdr:col>
      <xdr:colOff>266700</xdr:colOff>
      <xdr:row>128</xdr:row>
      <xdr:rowOff>50800</xdr:rowOff>
    </xdr:to>
    <xdr:sp macro="" textlink="">
      <xdr:nvSpPr>
        <xdr:cNvPr id="21" name="Rounded Rectangle 20">
          <a:extLst>
            <a:ext uri="{FF2B5EF4-FFF2-40B4-BE49-F238E27FC236}">
              <a16:creationId xmlns:a16="http://schemas.microsoft.com/office/drawing/2014/main" id="{38CA3145-04B2-AE4F-85C7-6456E4EDCC97}"/>
            </a:ext>
          </a:extLst>
        </xdr:cNvPr>
        <xdr:cNvSpPr/>
      </xdr:nvSpPr>
      <xdr:spPr>
        <a:xfrm>
          <a:off x="9182099" y="32753300"/>
          <a:ext cx="2070101"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2" name="Chart 21">
          <a:extLst>
            <a:ext uri="{FF2B5EF4-FFF2-40B4-BE49-F238E27FC236}">
              <a16:creationId xmlns:a16="http://schemas.microsoft.com/office/drawing/2014/main" id="{F8E14146-8EC7-6649-A3BC-12792D6CE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3" name="TextBox 22">
          <a:extLst>
            <a:ext uri="{FF2B5EF4-FFF2-40B4-BE49-F238E27FC236}">
              <a16:creationId xmlns:a16="http://schemas.microsoft.com/office/drawing/2014/main" id="{E9329B0F-23FB-9A4B-8028-CE6B471EBF24}"/>
            </a:ext>
          </a:extLst>
        </xdr:cNvPr>
        <xdr:cNvSpPr txBox="1"/>
      </xdr:nvSpPr>
      <xdr:spPr>
        <a:xfrm>
          <a:off x="11731458" y="40576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4" name="Straight Arrow Connector 23">
          <a:extLst>
            <a:ext uri="{FF2B5EF4-FFF2-40B4-BE49-F238E27FC236}">
              <a16:creationId xmlns:a16="http://schemas.microsoft.com/office/drawing/2014/main" id="{27BEA1B3-D451-0049-8CE8-7125ED0393FF}"/>
            </a:ext>
          </a:extLst>
        </xdr:cNvPr>
        <xdr:cNvCxnSpPr/>
      </xdr:nvCxnSpPr>
      <xdr:spPr>
        <a:xfrm>
          <a:off x="6002428" y="4216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mc:Choice xmlns:a14="http://schemas.microsoft.com/office/drawing/2010/main" Requires="a14">
        <xdr:sp macro="" textlink="">
          <xdr:nvSpPr>
            <xdr:cNvPr id="25" name="TextBox 24">
              <a:extLst>
                <a:ext uri="{FF2B5EF4-FFF2-40B4-BE49-F238E27FC236}">
                  <a16:creationId xmlns:a16="http://schemas.microsoft.com/office/drawing/2014/main" id="{05D82A40-9732-6C4A-8760-8CE4FEEFA348}"/>
                </a:ext>
              </a:extLst>
            </xdr:cNvPr>
            <xdr:cNvSpPr txBox="1"/>
          </xdr:nvSpPr>
          <xdr:spPr>
            <a:xfrm>
              <a:off x="9506096" y="41793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dr:sp macro="" textlink="">
          <xdr:nvSpPr>
            <xdr:cNvPr id="25" name="TextBox 24">
              <a:extLst>
                <a:ext uri="{FF2B5EF4-FFF2-40B4-BE49-F238E27FC236}">
                  <a16:creationId xmlns:a16="http://schemas.microsoft.com/office/drawing/2014/main" id="{05D82A40-9732-6C4A-8760-8CE4FEEFA348}"/>
                </a:ext>
              </a:extLst>
            </xdr:cNvPr>
            <xdr:cNvSpPr txBox="1"/>
          </xdr:nvSpPr>
          <xdr:spPr>
            <a:xfrm>
              <a:off x="9506096" y="41793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6" name="Rectangle 25">
          <a:extLst>
            <a:ext uri="{FF2B5EF4-FFF2-40B4-BE49-F238E27FC236}">
              <a16:creationId xmlns:a16="http://schemas.microsoft.com/office/drawing/2014/main" id="{5A59F2FE-16F2-7B48-AFE6-E31B448CA78A}"/>
            </a:ext>
          </a:extLst>
        </xdr:cNvPr>
        <xdr:cNvSpPr/>
      </xdr:nvSpPr>
      <xdr:spPr>
        <a:xfrm>
          <a:off x="12846314" y="418710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7" name="Curved Connector 26">
          <a:extLst>
            <a:ext uri="{FF2B5EF4-FFF2-40B4-BE49-F238E27FC236}">
              <a16:creationId xmlns:a16="http://schemas.microsoft.com/office/drawing/2014/main" id="{D641DE80-03EA-704F-BCE7-FD6F45468D29}"/>
            </a:ext>
          </a:extLst>
        </xdr:cNvPr>
        <xdr:cNvCxnSpPr/>
      </xdr:nvCxnSpPr>
      <xdr:spPr>
        <a:xfrm flipV="1">
          <a:off x="11697138" y="42192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mc:Choice xmlns:a14="http://schemas.microsoft.com/office/drawing/2010/main" Requires="a14">
        <xdr:sp macro="" textlink="">
          <xdr:nvSpPr>
            <xdr:cNvPr id="28" name="TextBox 27">
              <a:extLst>
                <a:ext uri="{FF2B5EF4-FFF2-40B4-BE49-F238E27FC236}">
                  <a16:creationId xmlns:a16="http://schemas.microsoft.com/office/drawing/2014/main" id="{35205C78-F9FF-B647-AA48-C2D87F22177D}"/>
                </a:ext>
              </a:extLst>
            </xdr:cNvPr>
            <xdr:cNvSpPr txBox="1"/>
          </xdr:nvSpPr>
          <xdr:spPr>
            <a:xfrm>
              <a:off x="13635567" y="432646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dr:sp macro="" textlink="">
          <xdr:nvSpPr>
            <xdr:cNvPr id="28" name="TextBox 27">
              <a:extLst>
                <a:ext uri="{FF2B5EF4-FFF2-40B4-BE49-F238E27FC236}">
                  <a16:creationId xmlns:a16="http://schemas.microsoft.com/office/drawing/2014/main" id="{35205C78-F9FF-B647-AA48-C2D87F22177D}"/>
                </a:ext>
              </a:extLst>
            </xdr:cNvPr>
            <xdr:cNvSpPr txBox="1"/>
          </xdr:nvSpPr>
          <xdr:spPr>
            <a:xfrm>
              <a:off x="13635567" y="432646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29" name="Curved Connector 28">
          <a:extLst>
            <a:ext uri="{FF2B5EF4-FFF2-40B4-BE49-F238E27FC236}">
              <a16:creationId xmlns:a16="http://schemas.microsoft.com/office/drawing/2014/main" id="{4B101A4C-DDDC-C347-BE17-2BA04FDAB1B6}"/>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0" name="Curved Connector 29">
          <a:extLst>
            <a:ext uri="{FF2B5EF4-FFF2-40B4-BE49-F238E27FC236}">
              <a16:creationId xmlns:a16="http://schemas.microsoft.com/office/drawing/2014/main" id="{CBC28D94-40C6-F64F-A761-7F0454CC869C}"/>
            </a:ext>
          </a:extLst>
        </xdr:cNvPr>
        <xdr:cNvCxnSpPr>
          <a:endCxn id="28" idx="1"/>
        </xdr:cNvCxnSpPr>
      </xdr:nvCxnSpPr>
      <xdr:spPr>
        <a:xfrm rot="16200000" flipH="1">
          <a:off x="13281448" y="431531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mc:Choice xmlns:a14="http://schemas.microsoft.com/office/drawing/2010/main" Requires="a14">
        <xdr:sp macro="" textlink="">
          <xdr:nvSpPr>
            <xdr:cNvPr id="31" name="TextBox 30">
              <a:extLst>
                <a:ext uri="{FF2B5EF4-FFF2-40B4-BE49-F238E27FC236}">
                  <a16:creationId xmlns:a16="http://schemas.microsoft.com/office/drawing/2014/main" id="{B717FFAA-83BD-AD4F-8767-B8FDF0C204A6}"/>
                </a:ext>
              </a:extLst>
            </xdr:cNvPr>
            <xdr:cNvSpPr txBox="1"/>
          </xdr:nvSpPr>
          <xdr:spPr>
            <a:xfrm>
              <a:off x="10195473" y="42524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dr:sp macro="" textlink="">
          <xdr:nvSpPr>
            <xdr:cNvPr id="31" name="TextBox 30">
              <a:extLst>
                <a:ext uri="{FF2B5EF4-FFF2-40B4-BE49-F238E27FC236}">
                  <a16:creationId xmlns:a16="http://schemas.microsoft.com/office/drawing/2014/main" id="{B717FFAA-83BD-AD4F-8767-B8FDF0C204A6}"/>
                </a:ext>
              </a:extLst>
            </xdr:cNvPr>
            <xdr:cNvSpPr txBox="1"/>
          </xdr:nvSpPr>
          <xdr:spPr>
            <a:xfrm>
              <a:off x="10195473" y="42524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2" name="Chart 31">
          <a:extLst>
            <a:ext uri="{FF2B5EF4-FFF2-40B4-BE49-F238E27FC236}">
              <a16:creationId xmlns:a16="http://schemas.microsoft.com/office/drawing/2014/main" id="{DC1D92C8-8EB4-8842-86A2-CA510657E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3" name="Straight Arrow Connector 32">
          <a:extLst>
            <a:ext uri="{FF2B5EF4-FFF2-40B4-BE49-F238E27FC236}">
              <a16:creationId xmlns:a16="http://schemas.microsoft.com/office/drawing/2014/main" id="{7D0556B5-7481-8B4D-8DB7-F899A9BAA5F5}"/>
            </a:ext>
          </a:extLst>
        </xdr:cNvPr>
        <xdr:cNvCxnSpPr/>
      </xdr:nvCxnSpPr>
      <xdr:spPr>
        <a:xfrm>
          <a:off x="6002428" y="50867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mc:Choice xmlns:a14="http://schemas.microsoft.com/office/drawing/2010/main" Requires="a14">
        <xdr:sp macro="" textlink="">
          <xdr:nvSpPr>
            <xdr:cNvPr id="34" name="TextBox 33">
              <a:extLst>
                <a:ext uri="{FF2B5EF4-FFF2-40B4-BE49-F238E27FC236}">
                  <a16:creationId xmlns:a16="http://schemas.microsoft.com/office/drawing/2014/main" id="{50D6E4A0-0DE2-FD47-94BE-F353D24C3BE4}"/>
                </a:ext>
              </a:extLst>
            </xdr:cNvPr>
            <xdr:cNvSpPr txBox="1"/>
          </xdr:nvSpPr>
          <xdr:spPr>
            <a:xfrm>
              <a:off x="8659887" y="51484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dr:sp macro="" textlink="">
          <xdr:nvSpPr>
            <xdr:cNvPr id="34" name="TextBox 33">
              <a:extLst>
                <a:ext uri="{FF2B5EF4-FFF2-40B4-BE49-F238E27FC236}">
                  <a16:creationId xmlns:a16="http://schemas.microsoft.com/office/drawing/2014/main" id="{50D6E4A0-0DE2-FD47-94BE-F353D24C3BE4}"/>
                </a:ext>
              </a:extLst>
            </xdr:cNvPr>
            <xdr:cNvSpPr txBox="1"/>
          </xdr:nvSpPr>
          <xdr:spPr>
            <a:xfrm>
              <a:off x="8659887" y="51484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mc:Choice xmlns:a14="http://schemas.microsoft.com/office/drawing/2010/main" Requires="a14">
        <xdr:sp macro="" textlink="">
          <xdr:nvSpPr>
            <xdr:cNvPr id="35" name="TextBox 34">
              <a:extLst>
                <a:ext uri="{FF2B5EF4-FFF2-40B4-BE49-F238E27FC236}">
                  <a16:creationId xmlns:a16="http://schemas.microsoft.com/office/drawing/2014/main" id="{F6062F3B-DD48-B443-AA31-766093134E92}"/>
                </a:ext>
              </a:extLst>
            </xdr:cNvPr>
            <xdr:cNvSpPr txBox="1"/>
          </xdr:nvSpPr>
          <xdr:spPr>
            <a:xfrm>
              <a:off x="9186937" y="51994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dr:sp macro="" textlink="">
          <xdr:nvSpPr>
            <xdr:cNvPr id="35" name="TextBox 34">
              <a:extLst>
                <a:ext uri="{FF2B5EF4-FFF2-40B4-BE49-F238E27FC236}">
                  <a16:creationId xmlns:a16="http://schemas.microsoft.com/office/drawing/2014/main" id="{F6062F3B-DD48-B443-AA31-766093134E92}"/>
                </a:ext>
              </a:extLst>
            </xdr:cNvPr>
            <xdr:cNvSpPr txBox="1"/>
          </xdr:nvSpPr>
          <xdr:spPr>
            <a:xfrm>
              <a:off x="9186937" y="51994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6" name="TextBox 35">
          <a:extLst>
            <a:ext uri="{FF2B5EF4-FFF2-40B4-BE49-F238E27FC236}">
              <a16:creationId xmlns:a16="http://schemas.microsoft.com/office/drawing/2014/main" id="{12ACEB9D-BCFA-B94A-97B9-6C83CAEC587B}"/>
            </a:ext>
          </a:extLst>
        </xdr:cNvPr>
        <xdr:cNvSpPr txBox="1"/>
      </xdr:nvSpPr>
      <xdr:spPr>
        <a:xfrm>
          <a:off x="13413596" y="51441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37" name="Straight Arrow Connector 36">
          <a:extLst>
            <a:ext uri="{FF2B5EF4-FFF2-40B4-BE49-F238E27FC236}">
              <a16:creationId xmlns:a16="http://schemas.microsoft.com/office/drawing/2014/main" id="{1DA22E0A-A431-D544-BECE-478718CD6B53}"/>
            </a:ext>
          </a:extLst>
        </xdr:cNvPr>
        <xdr:cNvCxnSpPr/>
      </xdr:nvCxnSpPr>
      <xdr:spPr>
        <a:xfrm flipH="1">
          <a:off x="9039469" y="51153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38" name="Straight Arrow Connector 37">
          <a:extLst>
            <a:ext uri="{FF2B5EF4-FFF2-40B4-BE49-F238E27FC236}">
              <a16:creationId xmlns:a16="http://schemas.microsoft.com/office/drawing/2014/main" id="{944E630B-DC99-DA46-9666-F2D24A4AF473}"/>
            </a:ext>
          </a:extLst>
        </xdr:cNvPr>
        <xdr:cNvCxnSpPr/>
      </xdr:nvCxnSpPr>
      <xdr:spPr>
        <a:xfrm flipH="1">
          <a:off x="10337800" y="51134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39" name="Straight Arrow Connector 38">
          <a:extLst>
            <a:ext uri="{FF2B5EF4-FFF2-40B4-BE49-F238E27FC236}">
              <a16:creationId xmlns:a16="http://schemas.microsoft.com/office/drawing/2014/main" id="{1AA66086-63B9-7244-869B-59D54FAA92FC}"/>
            </a:ext>
          </a:extLst>
        </xdr:cNvPr>
        <xdr:cNvCxnSpPr/>
      </xdr:nvCxnSpPr>
      <xdr:spPr>
        <a:xfrm>
          <a:off x="11412903" y="51140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0" name="Straight Arrow Connector 39">
          <a:extLst>
            <a:ext uri="{FF2B5EF4-FFF2-40B4-BE49-F238E27FC236}">
              <a16:creationId xmlns:a16="http://schemas.microsoft.com/office/drawing/2014/main" id="{AE17A8D8-C9CE-C94D-AB0A-DF02EB29344D}"/>
            </a:ext>
          </a:extLst>
        </xdr:cNvPr>
        <xdr:cNvCxnSpPr/>
      </xdr:nvCxnSpPr>
      <xdr:spPr>
        <a:xfrm>
          <a:off x="12603774" y="51134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1" name="Rectangle 40">
          <a:extLst>
            <a:ext uri="{FF2B5EF4-FFF2-40B4-BE49-F238E27FC236}">
              <a16:creationId xmlns:a16="http://schemas.microsoft.com/office/drawing/2014/main" id="{83CC6DBB-C3AD-3B43-B6AA-FA5EC1CC975D}"/>
            </a:ext>
          </a:extLst>
        </xdr:cNvPr>
        <xdr:cNvSpPr/>
      </xdr:nvSpPr>
      <xdr:spPr>
        <a:xfrm>
          <a:off x="13967461" y="50970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2" name="Chart 41">
          <a:extLst>
            <a:ext uri="{FF2B5EF4-FFF2-40B4-BE49-F238E27FC236}">
              <a16:creationId xmlns:a16="http://schemas.microsoft.com/office/drawing/2014/main" id="{474F85FA-4405-6641-A45B-F3C4B0C97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3" name="Straight Arrow Connector 42">
          <a:extLst>
            <a:ext uri="{FF2B5EF4-FFF2-40B4-BE49-F238E27FC236}">
              <a16:creationId xmlns:a16="http://schemas.microsoft.com/office/drawing/2014/main" id="{FD8F673B-1967-4240-9D62-0BE504331267}"/>
            </a:ext>
          </a:extLst>
        </xdr:cNvPr>
        <xdr:cNvCxnSpPr/>
      </xdr:nvCxnSpPr>
      <xdr:spPr>
        <a:xfrm>
          <a:off x="6002428" y="60786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mc:Choice xmlns:a14="http://schemas.microsoft.com/office/drawing/2010/main" Requires="a14">
        <xdr:sp macro="" textlink="">
          <xdr:nvSpPr>
            <xdr:cNvPr id="44" name="TextBox 43">
              <a:extLst>
                <a:ext uri="{FF2B5EF4-FFF2-40B4-BE49-F238E27FC236}">
                  <a16:creationId xmlns:a16="http://schemas.microsoft.com/office/drawing/2014/main" id="{755F80AC-29E9-9245-92DC-D525E20FEA00}"/>
                </a:ext>
              </a:extLst>
            </xdr:cNvPr>
            <xdr:cNvSpPr txBox="1"/>
          </xdr:nvSpPr>
          <xdr:spPr>
            <a:xfrm>
              <a:off x="7988516" y="615224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dr:sp macro="" textlink="">
          <xdr:nvSpPr>
            <xdr:cNvPr id="44" name="TextBox 43">
              <a:extLst>
                <a:ext uri="{FF2B5EF4-FFF2-40B4-BE49-F238E27FC236}">
                  <a16:creationId xmlns:a16="http://schemas.microsoft.com/office/drawing/2014/main" id="{755F80AC-29E9-9245-92DC-D525E20FEA00}"/>
                </a:ext>
              </a:extLst>
            </xdr:cNvPr>
            <xdr:cNvSpPr txBox="1"/>
          </xdr:nvSpPr>
          <xdr:spPr>
            <a:xfrm>
              <a:off x="7988516" y="615224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mc:Choice xmlns:a14="http://schemas.microsoft.com/office/drawing/2010/main" Requires="a14">
        <xdr:sp macro="" textlink="">
          <xdr:nvSpPr>
            <xdr:cNvPr id="45" name="TextBox 44">
              <a:extLst>
                <a:ext uri="{FF2B5EF4-FFF2-40B4-BE49-F238E27FC236}">
                  <a16:creationId xmlns:a16="http://schemas.microsoft.com/office/drawing/2014/main" id="{974FC4A3-827D-A249-B1E2-12D176536FA0}"/>
                </a:ext>
              </a:extLst>
            </xdr:cNvPr>
            <xdr:cNvSpPr txBox="1"/>
          </xdr:nvSpPr>
          <xdr:spPr>
            <a:xfrm>
              <a:off x="8984037" y="620885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dr:sp macro="" textlink="">
          <xdr:nvSpPr>
            <xdr:cNvPr id="45" name="TextBox 44">
              <a:extLst>
                <a:ext uri="{FF2B5EF4-FFF2-40B4-BE49-F238E27FC236}">
                  <a16:creationId xmlns:a16="http://schemas.microsoft.com/office/drawing/2014/main" id="{974FC4A3-827D-A249-B1E2-12D176536FA0}"/>
                </a:ext>
              </a:extLst>
            </xdr:cNvPr>
            <xdr:cNvSpPr txBox="1"/>
          </xdr:nvSpPr>
          <xdr:spPr>
            <a:xfrm>
              <a:off x="8984037" y="620885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mc:Choice xmlns:a14="http://schemas.microsoft.com/office/drawing/2010/main" Requires="a14">
        <xdr:sp macro="" textlink="">
          <xdr:nvSpPr>
            <xdr:cNvPr id="46" name="TextBox 45">
              <a:extLst>
                <a:ext uri="{FF2B5EF4-FFF2-40B4-BE49-F238E27FC236}">
                  <a16:creationId xmlns:a16="http://schemas.microsoft.com/office/drawing/2014/main" id="{9FD5F055-9C17-174A-A927-02B2BF6719F8}"/>
                </a:ext>
              </a:extLst>
            </xdr:cNvPr>
            <xdr:cNvSpPr txBox="1"/>
          </xdr:nvSpPr>
          <xdr:spPr>
            <a:xfrm>
              <a:off x="12168995" y="618155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dr:sp macro="" textlink="">
          <xdr:nvSpPr>
            <xdr:cNvPr id="46" name="TextBox 45">
              <a:extLst>
                <a:ext uri="{FF2B5EF4-FFF2-40B4-BE49-F238E27FC236}">
                  <a16:creationId xmlns:a16="http://schemas.microsoft.com/office/drawing/2014/main" id="{9FD5F055-9C17-174A-A927-02B2BF6719F8}"/>
                </a:ext>
              </a:extLst>
            </xdr:cNvPr>
            <xdr:cNvSpPr txBox="1"/>
          </xdr:nvSpPr>
          <xdr:spPr>
            <a:xfrm>
              <a:off x="12168995" y="618155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mc:Choice xmlns:a14="http://schemas.microsoft.com/office/drawing/2010/main" Requires="a14">
        <xdr:sp macro="" textlink="">
          <xdr:nvSpPr>
            <xdr:cNvPr id="47" name="TextBox 46">
              <a:extLst>
                <a:ext uri="{FF2B5EF4-FFF2-40B4-BE49-F238E27FC236}">
                  <a16:creationId xmlns:a16="http://schemas.microsoft.com/office/drawing/2014/main" id="{2BE46E5E-DB16-1A41-9D08-D20956D81838}"/>
                </a:ext>
              </a:extLst>
            </xdr:cNvPr>
            <xdr:cNvSpPr txBox="1"/>
          </xdr:nvSpPr>
          <xdr:spPr>
            <a:xfrm>
              <a:off x="13413596" y="613600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dr:sp macro="" textlink="">
          <xdr:nvSpPr>
            <xdr:cNvPr id="47" name="TextBox 46">
              <a:extLst>
                <a:ext uri="{FF2B5EF4-FFF2-40B4-BE49-F238E27FC236}">
                  <a16:creationId xmlns:a16="http://schemas.microsoft.com/office/drawing/2014/main" id="{2BE46E5E-DB16-1A41-9D08-D20956D81838}"/>
                </a:ext>
              </a:extLst>
            </xdr:cNvPr>
            <xdr:cNvSpPr txBox="1"/>
          </xdr:nvSpPr>
          <xdr:spPr>
            <a:xfrm>
              <a:off x="13413596" y="613600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48" name="Straight Arrow Connector 47">
          <a:extLst>
            <a:ext uri="{FF2B5EF4-FFF2-40B4-BE49-F238E27FC236}">
              <a16:creationId xmlns:a16="http://schemas.microsoft.com/office/drawing/2014/main" id="{19566005-73F3-A741-8665-D2EDE3A5DEF9}"/>
            </a:ext>
          </a:extLst>
        </xdr:cNvPr>
        <xdr:cNvCxnSpPr/>
      </xdr:nvCxnSpPr>
      <xdr:spPr>
        <a:xfrm flipH="1">
          <a:off x="9039469" y="61071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49" name="Straight Arrow Connector 48">
          <a:extLst>
            <a:ext uri="{FF2B5EF4-FFF2-40B4-BE49-F238E27FC236}">
              <a16:creationId xmlns:a16="http://schemas.microsoft.com/office/drawing/2014/main" id="{E8566AF2-42E2-094D-8C4B-6702AA4264E6}"/>
            </a:ext>
          </a:extLst>
        </xdr:cNvPr>
        <xdr:cNvCxnSpPr/>
      </xdr:nvCxnSpPr>
      <xdr:spPr>
        <a:xfrm flipH="1">
          <a:off x="10265207" y="610532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0" name="Straight Arrow Connector 49">
          <a:extLst>
            <a:ext uri="{FF2B5EF4-FFF2-40B4-BE49-F238E27FC236}">
              <a16:creationId xmlns:a16="http://schemas.microsoft.com/office/drawing/2014/main" id="{283F82FB-90F8-C34F-87F7-9127191C22EC}"/>
            </a:ext>
          </a:extLst>
        </xdr:cNvPr>
        <xdr:cNvCxnSpPr/>
      </xdr:nvCxnSpPr>
      <xdr:spPr>
        <a:xfrm>
          <a:off x="11412903" y="610596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1" name="Straight Arrow Connector 50">
          <a:extLst>
            <a:ext uri="{FF2B5EF4-FFF2-40B4-BE49-F238E27FC236}">
              <a16:creationId xmlns:a16="http://schemas.microsoft.com/office/drawing/2014/main" id="{E645039A-BF14-E749-AC4A-CD7BBBAB7F27}"/>
            </a:ext>
          </a:extLst>
        </xdr:cNvPr>
        <xdr:cNvCxnSpPr/>
      </xdr:nvCxnSpPr>
      <xdr:spPr>
        <a:xfrm>
          <a:off x="12603774" y="610535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mc:Choice xmlns:a14="http://schemas.microsoft.com/office/drawing/2010/main" Requires="a14">
        <xdr:sp macro="" textlink="">
          <xdr:nvSpPr>
            <xdr:cNvPr id="52" name="CasellaDiTesto 25">
              <a:extLst>
                <a:ext uri="{FF2B5EF4-FFF2-40B4-BE49-F238E27FC236}">
                  <a16:creationId xmlns:a16="http://schemas.microsoft.com/office/drawing/2014/main" id="{C2488CD1-85C5-454E-9AD5-35F339214ABE}"/>
                </a:ext>
              </a:extLst>
            </xdr:cNvPr>
            <xdr:cNvSpPr txBox="1"/>
          </xdr:nvSpPr>
          <xdr:spPr>
            <a:xfrm>
              <a:off x="7294032" y="611124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dr:sp macro="" textlink="">
          <xdr:nvSpPr>
            <xdr:cNvPr id="52" name="CasellaDiTesto 25">
              <a:extLst>
                <a:ext uri="{FF2B5EF4-FFF2-40B4-BE49-F238E27FC236}">
                  <a16:creationId xmlns:a16="http://schemas.microsoft.com/office/drawing/2014/main" id="{C2488CD1-85C5-454E-9AD5-35F339214ABE}"/>
                </a:ext>
              </a:extLst>
            </xdr:cNvPr>
            <xdr:cNvSpPr txBox="1"/>
          </xdr:nvSpPr>
          <xdr:spPr>
            <a:xfrm>
              <a:off x="7294032" y="611124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3" name="Curved Connector 52">
          <a:extLst>
            <a:ext uri="{FF2B5EF4-FFF2-40B4-BE49-F238E27FC236}">
              <a16:creationId xmlns:a16="http://schemas.microsoft.com/office/drawing/2014/main" id="{0D1983E8-FAF7-0541-A2F4-DBEE08C13EA0}"/>
            </a:ext>
          </a:extLst>
        </xdr:cNvPr>
        <xdr:cNvCxnSpPr>
          <a:endCxn id="44" idx="0"/>
        </xdr:cNvCxnSpPr>
      </xdr:nvCxnSpPr>
      <xdr:spPr>
        <a:xfrm>
          <a:off x="8301567" y="612055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4" name="Chart 53">
          <a:extLst>
            <a:ext uri="{FF2B5EF4-FFF2-40B4-BE49-F238E27FC236}">
              <a16:creationId xmlns:a16="http://schemas.microsoft.com/office/drawing/2014/main" id="{0F883D31-3608-584F-AAFA-3BDBA34C8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11</xdr:col>
      <xdr:colOff>147450</xdr:colOff>
      <xdr:row>244</xdr:row>
      <xdr:rowOff>90622</xdr:rowOff>
    </xdr:from>
    <xdr:ext cx="4580678" cy="776366"/>
    <mc:AlternateContent xmlns:mc="http://schemas.openxmlformats.org/markup-compatibility/2006">
      <mc:Choice xmlns:a14="http://schemas.microsoft.com/office/drawing/2010/main" Requires="a14">
        <xdr:sp macro="" textlink="">
          <xdr:nvSpPr>
            <xdr:cNvPr id="55" name="TextBox 54">
              <a:extLst>
                <a:ext uri="{FF2B5EF4-FFF2-40B4-BE49-F238E27FC236}">
                  <a16:creationId xmlns:a16="http://schemas.microsoft.com/office/drawing/2014/main" id="{69DC5A7A-2713-B448-A1BF-59E7D93E9474}"/>
                </a:ext>
              </a:extLst>
            </xdr:cNvPr>
            <xdr:cNvSpPr txBox="1"/>
          </xdr:nvSpPr>
          <xdr:spPr>
            <a:xfrm>
              <a:off x="13342750" y="619650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a:solidFill>
                    <a:srgbClr val="FF0000"/>
                  </a:solidFill>
                </a:rPr>
                <a:t>and</a:t>
              </a:r>
              <a14:m>
                <m:oMath xmlns:m="http://schemas.openxmlformats.org/officeDocument/2006/math">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a14:m>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+1</m:t>
                          </m:r>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8</m:t>
                      </m:r>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𝜋</m:t>
                          </m:r>
                        </m:e>
                        <m:sup>
                          <m:r>
                            <a:rPr lang="it-IT" sz="1400" b="0" i="1">
                              <a:solidFill>
                                <a:srgbClr val="FF0000"/>
                              </a:solidFill>
                              <a:latin typeface="Cambria Math" panose="02040503050406030204" pitchFamily="18" charset="0"/>
                            </a:rPr>
                            <m:t>2</m:t>
                          </m:r>
                        </m:sup>
                      </m:sSup>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𝑘</m:t>
                          </m:r>
                        </m:e>
                        <m:sub>
                          <m:r>
                            <a:rPr lang="it-IT" sz="1400" b="0" i="1">
                              <a:solidFill>
                                <a:srgbClr val="FF0000"/>
                              </a:solidFill>
                              <a:latin typeface="Cambria Math" panose="02040503050406030204" pitchFamily="18" charset="0"/>
                            </a:rPr>
                            <m:t>𝑏</m:t>
                          </m:r>
                        </m:sub>
                      </m:sSub>
                      <m:r>
                        <a:rPr lang="it-IT" sz="1400" b="0" i="1">
                          <a:solidFill>
                            <a:srgbClr val="FF0000"/>
                          </a:solidFill>
                          <a:latin typeface="Cambria Math" panose="02040503050406030204" pitchFamily="18" charset="0"/>
                        </a:rPr>
                        <m:t>𝑇𝐼</m:t>
                      </m:r>
                    </m:num>
                    <m:den>
                      <m:r>
                        <a:rPr lang="it-IT" sz="1400" b="0" i="1">
                          <a:solidFill>
                            <a:srgbClr val="FF0000"/>
                          </a:solidFill>
                          <a:latin typeface="Cambria Math" panose="02040503050406030204" pitchFamily="18" charset="0"/>
                          <a:ea typeface="Cambria Math" panose="02040503050406030204" pitchFamily="18" charset="0"/>
                        </a:rPr>
                        <m:t>𝜎</m:t>
                      </m:r>
                      <m:sSup>
                        <m:sSupPr>
                          <m:ctrlPr>
                            <a:rPr lang="it-IT" sz="1400" b="0" i="1">
                              <a:solidFill>
                                <a:srgbClr val="FF0000"/>
                              </a:solidFill>
                              <a:latin typeface="Cambria Math" panose="02040503050406030204" pitchFamily="18" charset="0"/>
                              <a:ea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h</m:t>
                          </m:r>
                        </m:e>
                        <m:sup>
                          <m:r>
                            <a:rPr lang="it-IT" sz="1400" b="0" i="1">
                              <a:solidFill>
                                <a:srgbClr val="FF0000"/>
                              </a:solidFill>
                              <a:latin typeface="Cambria Math" panose="02040503050406030204" pitchFamily="18" charset="0"/>
                              <a:ea typeface="Cambria Math" panose="02040503050406030204" pitchFamily="18" charset="0"/>
                            </a:rPr>
                            <m:t>2</m:t>
                          </m:r>
                        </m:sup>
                      </m:sSup>
                    </m:den>
                  </m:f>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xdr:txBody>
        </xdr:sp>
      </mc:Choice>
      <mc:Fallback>
        <xdr:sp macro="" textlink="">
          <xdr:nvSpPr>
            <xdr:cNvPr id="55" name="TextBox 54">
              <a:extLst>
                <a:ext uri="{FF2B5EF4-FFF2-40B4-BE49-F238E27FC236}">
                  <a16:creationId xmlns:a16="http://schemas.microsoft.com/office/drawing/2014/main" id="{69DC5A7A-2713-B448-A1BF-59E7D93E9474}"/>
                </a:ext>
              </a:extLst>
            </xdr:cNvPr>
            <xdr:cNvSpPr txBox="1"/>
          </xdr:nvSpPr>
          <xdr:spPr>
            <a:xfrm>
              <a:off x="13342750" y="619650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a:solidFill>
                    <a:srgbClr val="FF0000"/>
                  </a:solidFill>
                </a:rPr>
                <a:t>and</a:t>
              </a:r>
              <a:r>
                <a:rPr lang="it-IT" sz="1400" b="0" i="0">
                  <a:solidFill>
                    <a:srgbClr val="FF0000"/>
                  </a:solidFill>
                  <a:latin typeface="Cambria Math" panose="02040503050406030204" pitchFamily="18" charset="0"/>
                </a:rPr>
                <a:t>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it-IT" sz="1400" b="0" i="0">
                  <a:solidFill>
                    <a:srgbClr val="FF0000"/>
                  </a:solidFill>
                  <a:latin typeface="Cambria Math" panose="02040503050406030204" pitchFamily="18" charset="0"/>
                </a:rPr>
                <a:t>𝑅⁡(ln(𝑞_𝑟 )+1)</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𝑟=(8</a:t>
              </a:r>
              <a:r>
                <a:rPr lang="it-IT" sz="1400" b="0" i="0">
                  <a:solidFill>
                    <a:srgbClr val="FF0000"/>
                  </a:solidFill>
                  <a:latin typeface="Cambria Math" panose="02040503050406030204" pitchFamily="18" charset="0"/>
                  <a:ea typeface="Cambria Math" panose="02040503050406030204" pitchFamily="18" charset="0"/>
                </a:rPr>
                <a:t>𝜋^</a:t>
              </a:r>
              <a:r>
                <a:rPr lang="it-IT" sz="1400" b="0" i="0">
                  <a:solidFill>
                    <a:srgbClr val="FF0000"/>
                  </a:solidFill>
                  <a:latin typeface="Cambria Math" panose="02040503050406030204" pitchFamily="18" charset="0"/>
                </a:rPr>
                <a:t>2 𝑘_𝑏 𝑇𝐼)/(</a:t>
              </a:r>
              <a:r>
                <a:rPr lang="it-IT" sz="1400" b="0" i="0">
                  <a:solidFill>
                    <a:srgbClr val="FF0000"/>
                  </a:solidFill>
                  <a:latin typeface="Cambria Math" panose="02040503050406030204" pitchFamily="18" charset="0"/>
                  <a:ea typeface="Cambria Math" panose="02040503050406030204" pitchFamily="18" charset="0"/>
                </a:rPr>
                <a:t>𝜎ℎ^2 )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xdr:txBody>
        </xdr:sp>
      </mc:Fallback>
    </mc:AlternateContent>
    <xdr:clientData/>
  </xdr:oneCellAnchor>
  <xdr:twoCellAnchor>
    <xdr:from>
      <xdr:col>16</xdr:col>
      <xdr:colOff>1577878</xdr:colOff>
      <xdr:row>55</xdr:row>
      <xdr:rowOff>0</xdr:rowOff>
    </xdr:from>
    <xdr:to>
      <xdr:col>17</xdr:col>
      <xdr:colOff>1039091</xdr:colOff>
      <xdr:row>195</xdr:row>
      <xdr:rowOff>153939</xdr:rowOff>
    </xdr:to>
    <xdr:sp macro="" textlink="">
      <xdr:nvSpPr>
        <xdr:cNvPr id="56" name="Right Brace 55">
          <a:extLst>
            <a:ext uri="{FF2B5EF4-FFF2-40B4-BE49-F238E27FC236}">
              <a16:creationId xmlns:a16="http://schemas.microsoft.com/office/drawing/2014/main" id="{6668EDB2-66D7-0343-9C37-75DAF09058B4}"/>
            </a:ext>
          </a:extLst>
        </xdr:cNvPr>
        <xdr:cNvSpPr/>
      </xdr:nvSpPr>
      <xdr:spPr>
        <a:xfrm>
          <a:off x="20996178" y="14897100"/>
          <a:ext cx="1061413" cy="353202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57" name="Straight Arrow Connector 56">
          <a:extLst>
            <a:ext uri="{FF2B5EF4-FFF2-40B4-BE49-F238E27FC236}">
              <a16:creationId xmlns:a16="http://schemas.microsoft.com/office/drawing/2014/main" id="{C7E61064-90BB-4B42-966A-DFA768941414}"/>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mc:Choice xmlns:a14="http://schemas.microsoft.com/office/drawing/2010/main" Requires="a14">
        <xdr:sp macro="" textlink="">
          <xdr:nvSpPr>
            <xdr:cNvPr id="58" name="TextBox 57">
              <a:extLst>
                <a:ext uri="{FF2B5EF4-FFF2-40B4-BE49-F238E27FC236}">
                  <a16:creationId xmlns:a16="http://schemas.microsoft.com/office/drawing/2014/main" id="{DB2643D5-9947-7C43-B111-B2DD0B93B0D8}"/>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dr:sp macro="" textlink="">
          <xdr:nvSpPr>
            <xdr:cNvPr id="58" name="TextBox 57">
              <a:extLst>
                <a:ext uri="{FF2B5EF4-FFF2-40B4-BE49-F238E27FC236}">
                  <a16:creationId xmlns:a16="http://schemas.microsoft.com/office/drawing/2014/main" id="{DB2643D5-9947-7C43-B111-B2DD0B93B0D8}"/>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59" name="TextBox 58">
          <a:extLst>
            <a:ext uri="{FF2B5EF4-FFF2-40B4-BE49-F238E27FC236}">
              <a16:creationId xmlns:a16="http://schemas.microsoft.com/office/drawing/2014/main" id="{FAA79B4C-F5C9-254B-A9FA-1B329C949077}"/>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 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0" name="Chart 59">
          <a:extLst>
            <a:ext uri="{FF2B5EF4-FFF2-40B4-BE49-F238E27FC236}">
              <a16:creationId xmlns:a16="http://schemas.microsoft.com/office/drawing/2014/main" id="{98C4ABD8-071F-E743-BE99-73268FD9A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mc:Choice xmlns:a14="http://schemas.microsoft.com/office/drawing/2010/main" Requires="a14">
        <xdr:sp macro="" textlink="">
          <xdr:nvSpPr>
            <xdr:cNvPr id="61" name="TextBox 60">
              <a:extLst>
                <a:ext uri="{FF2B5EF4-FFF2-40B4-BE49-F238E27FC236}">
                  <a16:creationId xmlns:a16="http://schemas.microsoft.com/office/drawing/2014/main" id="{8486B12E-82D3-3946-9C45-D8F40C08617A}"/>
                </a:ext>
              </a:extLst>
            </xdr:cNvPr>
            <xdr:cNvSpPr txBox="1"/>
          </xdr:nvSpPr>
          <xdr:spPr>
            <a:xfrm>
              <a:off x="5869940" y="337743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dr:sp macro="" textlink="">
          <xdr:nvSpPr>
            <xdr:cNvPr id="61" name="TextBox 60">
              <a:extLst>
                <a:ext uri="{FF2B5EF4-FFF2-40B4-BE49-F238E27FC236}">
                  <a16:creationId xmlns:a16="http://schemas.microsoft.com/office/drawing/2014/main" id="{8486B12E-82D3-3946-9C45-D8F40C08617A}"/>
                </a:ext>
              </a:extLst>
            </xdr:cNvPr>
            <xdr:cNvSpPr txBox="1"/>
          </xdr:nvSpPr>
          <xdr:spPr>
            <a:xfrm>
              <a:off x="5869940" y="337743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oneCellAnchor>
    <xdr:from>
      <xdr:col>9</xdr:col>
      <xdr:colOff>850474</xdr:colOff>
      <xdr:row>204</xdr:row>
      <xdr:rowOff>31451</xdr:rowOff>
    </xdr:from>
    <xdr:ext cx="282578" cy="278224"/>
    <mc:AlternateContent xmlns:mc="http://schemas.openxmlformats.org/markup-compatibility/2006">
      <mc:Choice xmlns:a14="http://schemas.microsoft.com/office/drawing/2010/main" Requires="a14">
        <xdr:sp macro="" textlink="">
          <xdr:nvSpPr>
            <xdr:cNvPr id="62" name="TextBox 61">
              <a:extLst>
                <a:ext uri="{FF2B5EF4-FFF2-40B4-BE49-F238E27FC236}">
                  <a16:creationId xmlns:a16="http://schemas.microsoft.com/office/drawing/2014/main" id="{C8C6DD95-0CD3-1D48-A7B0-08B5ED919110}"/>
                </a:ext>
              </a:extLst>
            </xdr:cNvPr>
            <xdr:cNvSpPr txBox="1"/>
          </xdr:nvSpPr>
          <xdr:spPr>
            <a:xfrm>
              <a:off x="11835974" y="52253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dr:sp macro="" textlink="">
          <xdr:nvSpPr>
            <xdr:cNvPr id="62" name="TextBox 61">
              <a:extLst>
                <a:ext uri="{FF2B5EF4-FFF2-40B4-BE49-F238E27FC236}">
                  <a16:creationId xmlns:a16="http://schemas.microsoft.com/office/drawing/2014/main" id="{C8C6DD95-0CD3-1D48-A7B0-08B5ED919110}"/>
                </a:ext>
              </a:extLst>
            </xdr:cNvPr>
            <xdr:cNvSpPr txBox="1"/>
          </xdr:nvSpPr>
          <xdr:spPr>
            <a:xfrm>
              <a:off x="11835974" y="52253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twoCellAnchor>
    <xdr:from>
      <xdr:col>9</xdr:col>
      <xdr:colOff>745067</xdr:colOff>
      <xdr:row>203</xdr:row>
      <xdr:rowOff>95955</xdr:rowOff>
    </xdr:from>
    <xdr:to>
      <xdr:col>10</xdr:col>
      <xdr:colOff>118534</xdr:colOff>
      <xdr:row>205</xdr:row>
      <xdr:rowOff>141111</xdr:rowOff>
    </xdr:to>
    <xdr:sp macro="" textlink="">
      <xdr:nvSpPr>
        <xdr:cNvPr id="63" name="Oval 62">
          <a:extLst>
            <a:ext uri="{FF2B5EF4-FFF2-40B4-BE49-F238E27FC236}">
              <a16:creationId xmlns:a16="http://schemas.microsoft.com/office/drawing/2014/main" id="{75ED252F-83F1-B649-9FD6-0E7DBD624F22}"/>
            </a:ext>
          </a:extLst>
        </xdr:cNvPr>
        <xdr:cNvSpPr/>
      </xdr:nvSpPr>
      <xdr:spPr>
        <a:xfrm>
          <a:off x="11730567" y="52064355"/>
          <a:ext cx="491067" cy="5404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205</xdr:row>
      <xdr:rowOff>33868</xdr:rowOff>
    </xdr:from>
    <xdr:to>
      <xdr:col>12</xdr:col>
      <xdr:colOff>536224</xdr:colOff>
      <xdr:row>207</xdr:row>
      <xdr:rowOff>16933</xdr:rowOff>
    </xdr:to>
    <xdr:sp macro="" textlink="">
      <xdr:nvSpPr>
        <xdr:cNvPr id="64" name="Rectangle 63">
          <a:extLst>
            <a:ext uri="{FF2B5EF4-FFF2-40B4-BE49-F238E27FC236}">
              <a16:creationId xmlns:a16="http://schemas.microsoft.com/office/drawing/2014/main" id="{CD545D0C-9527-F34C-ADEC-3600A621BBC1}"/>
            </a:ext>
          </a:extLst>
        </xdr:cNvPr>
        <xdr:cNvSpPr/>
      </xdr:nvSpPr>
      <xdr:spPr>
        <a:xfrm>
          <a:off x="12407903" y="524975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oneCellAnchor>
    <xdr:from>
      <xdr:col>10</xdr:col>
      <xdr:colOff>11545</xdr:colOff>
      <xdr:row>252</xdr:row>
      <xdr:rowOff>115455</xdr:rowOff>
    </xdr:from>
    <xdr:ext cx="1638370" cy="434158"/>
    <mc:AlternateContent xmlns:mc="http://schemas.openxmlformats.org/markup-compatibility/2006">
      <mc:Choice xmlns:a14="http://schemas.microsoft.com/office/drawing/2010/main" Requires="a14">
        <xdr:sp macro="" textlink="">
          <xdr:nvSpPr>
            <xdr:cNvPr id="65" name="TextBox 64">
              <a:extLst>
                <a:ext uri="{FF2B5EF4-FFF2-40B4-BE49-F238E27FC236}">
                  <a16:creationId xmlns:a16="http://schemas.microsoft.com/office/drawing/2014/main" id="{9D57FEE8-CA07-BB4D-81C0-C311D3E51387}"/>
                </a:ext>
              </a:extLst>
            </xdr:cNvPr>
            <xdr:cNvSpPr txBox="1"/>
          </xdr:nvSpPr>
          <xdr:spPr>
            <a:xfrm>
              <a:off x="12114645" y="63920255"/>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dr:sp macro="" textlink="">
          <xdr:nvSpPr>
            <xdr:cNvPr id="65" name="TextBox 64">
              <a:extLst>
                <a:ext uri="{FF2B5EF4-FFF2-40B4-BE49-F238E27FC236}">
                  <a16:creationId xmlns:a16="http://schemas.microsoft.com/office/drawing/2014/main" id="{9D57FEE8-CA07-BB4D-81C0-C311D3E51387}"/>
                </a:ext>
              </a:extLst>
            </xdr:cNvPr>
            <xdr:cNvSpPr txBox="1"/>
          </xdr:nvSpPr>
          <xdr:spPr>
            <a:xfrm>
              <a:off x="12114645" y="63920255"/>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359975</xdr:colOff>
      <xdr:row>92</xdr:row>
      <xdr:rowOff>168476</xdr:rowOff>
    </xdr:from>
    <xdr:to>
      <xdr:col>6</xdr:col>
      <xdr:colOff>520551</xdr:colOff>
      <xdr:row>92</xdr:row>
      <xdr:rowOff>183073</xdr:rowOff>
    </xdr:to>
    <xdr:cxnSp macro="">
      <xdr:nvCxnSpPr>
        <xdr:cNvPr id="66" name="Straight Arrow Connector 65">
          <a:extLst>
            <a:ext uri="{FF2B5EF4-FFF2-40B4-BE49-F238E27FC236}">
              <a16:creationId xmlns:a16="http://schemas.microsoft.com/office/drawing/2014/main" id="{13F7842F-E464-5F40-931E-C301BDA9B2D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mc:Choice xmlns:a14="http://schemas.microsoft.com/office/drawing/2010/main" Requires="a14">
        <xdr:sp macro="" textlink="">
          <xdr:nvSpPr>
            <xdr:cNvPr id="67" name="TextBox 66">
              <a:extLst>
                <a:ext uri="{FF2B5EF4-FFF2-40B4-BE49-F238E27FC236}">
                  <a16:creationId xmlns:a16="http://schemas.microsoft.com/office/drawing/2014/main" id="{196F8DBC-C8F6-0042-9506-A990BA04384E}"/>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dr:sp macro="" textlink="">
          <xdr:nvSpPr>
            <xdr:cNvPr id="67" name="TextBox 66">
              <a:extLst>
                <a:ext uri="{FF2B5EF4-FFF2-40B4-BE49-F238E27FC236}">
                  <a16:creationId xmlns:a16="http://schemas.microsoft.com/office/drawing/2014/main" id="{196F8DBC-C8F6-0042-9506-A990BA04384E}"/>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68" name="Rectangle 67">
          <a:extLst>
            <a:ext uri="{FF2B5EF4-FFF2-40B4-BE49-F238E27FC236}">
              <a16:creationId xmlns:a16="http://schemas.microsoft.com/office/drawing/2014/main" id="{CB713C26-AAC0-3443-812A-699C445E8AA7}"/>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13</xdr:col>
      <xdr:colOff>372629</xdr:colOff>
      <xdr:row>92</xdr:row>
      <xdr:rowOff>95826</xdr:rowOff>
    </xdr:from>
    <xdr:ext cx="1488997" cy="778931"/>
    <mc:AlternateContent xmlns:mc="http://schemas.openxmlformats.org/markup-compatibility/2006">
      <mc:Choice xmlns:a14="http://schemas.microsoft.com/office/drawing/2010/main" Requires="a14">
        <xdr:sp macro="" textlink="">
          <xdr:nvSpPr>
            <xdr:cNvPr id="69" name="TextBox 68">
              <a:extLst>
                <a:ext uri="{FF2B5EF4-FFF2-40B4-BE49-F238E27FC236}">
                  <a16:creationId xmlns:a16="http://schemas.microsoft.com/office/drawing/2014/main" id="{6DAD74E4-30A8-D643-9F53-C3CDE19927D2}"/>
                </a:ext>
              </a:extLst>
            </xdr:cNvPr>
            <xdr:cNvSpPr txBox="1"/>
          </xdr:nvSpPr>
          <xdr:spPr>
            <a:xfrm>
              <a:off x="158666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dr:sp macro="" textlink="">
          <xdr:nvSpPr>
            <xdr:cNvPr id="69" name="TextBox 68">
              <a:extLst>
                <a:ext uri="{FF2B5EF4-FFF2-40B4-BE49-F238E27FC236}">
                  <a16:creationId xmlns:a16="http://schemas.microsoft.com/office/drawing/2014/main" id="{6DAD74E4-30A8-D643-9F53-C3CDE19927D2}"/>
                </a:ext>
              </a:extLst>
            </xdr:cNvPr>
            <xdr:cNvSpPr txBox="1"/>
          </xdr:nvSpPr>
          <xdr:spPr>
            <a:xfrm>
              <a:off x="158666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9/Project9i.xlsx" TargetMode="External"/><Relationship Id="rId1" Type="http://schemas.openxmlformats.org/officeDocument/2006/relationships/externalLinkPath" Target="Project9i.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5/Project5.xlsx" TargetMode="External"/><Relationship Id="rId1" Type="http://schemas.openxmlformats.org/officeDocument/2006/relationships/externalLinkPath" Target="/Users/edoardocabiati/Desktop/Cose_brutte_PoliMI/V_anno/II_semestre/Molecular_Modeling_for_Process_Engineering/MMfP/Project5/Project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H2"/>
      <sheetName val="TS"/>
      <sheetName val="CH4+H---CH3+H2"/>
    </sheetNames>
    <sheetDataSet>
      <sheetData sheetId="0">
        <row r="64">
          <cell r="E64" t="str">
            <v>Qtransl</v>
          </cell>
        </row>
        <row r="66">
          <cell r="C66">
            <v>300</v>
          </cell>
          <cell r="E66">
            <v>2561019.5780483168</v>
          </cell>
        </row>
        <row r="67">
          <cell r="C67">
            <v>400</v>
          </cell>
          <cell r="E67">
            <v>5257263.4410172841</v>
          </cell>
        </row>
        <row r="68">
          <cell r="C68">
            <v>500</v>
          </cell>
          <cell r="E68">
            <v>9184061.2732337248</v>
          </cell>
        </row>
        <row r="69">
          <cell r="C69">
            <v>600</v>
          </cell>
          <cell r="E69">
            <v>14487314.483115843</v>
          </cell>
        </row>
        <row r="70">
          <cell r="C70">
            <v>700</v>
          </cell>
          <cell r="E70">
            <v>21298786.576327905</v>
          </cell>
        </row>
        <row r="71">
          <cell r="C71">
            <v>800</v>
          </cell>
          <cell r="E71">
            <v>29739573.03701964</v>
          </cell>
        </row>
        <row r="72">
          <cell r="C72">
            <v>900</v>
          </cell>
          <cell r="E72">
            <v>39922344.255225062</v>
          </cell>
        </row>
        <row r="73">
          <cell r="C73">
            <v>1000</v>
          </cell>
          <cell r="E73">
            <v>51952896.041090004</v>
          </cell>
        </row>
        <row r="74">
          <cell r="C74">
            <v>1100</v>
          </cell>
          <cell r="E74">
            <v>65931275.037711106</v>
          </cell>
        </row>
        <row r="75">
          <cell r="C75">
            <v>1200</v>
          </cell>
          <cell r="E75">
            <v>81952626.497546583</v>
          </cell>
        </row>
        <row r="76">
          <cell r="C76">
            <v>1300</v>
          </cell>
          <cell r="E76">
            <v>100107851.90564039</v>
          </cell>
        </row>
        <row r="77">
          <cell r="C77">
            <v>1400</v>
          </cell>
          <cell r="E77">
            <v>120484131.35333039</v>
          </cell>
        </row>
        <row r="78">
          <cell r="C78">
            <v>1500</v>
          </cell>
          <cell r="E78">
            <v>143165346.70559824</v>
          </cell>
        </row>
        <row r="79">
          <cell r="C79">
            <v>1600</v>
          </cell>
          <cell r="E79">
            <v>168232430.11255404</v>
          </cell>
        </row>
        <row r="80">
          <cell r="C80">
            <v>1700</v>
          </cell>
          <cell r="E80">
            <v>195763655.11076817</v>
          </cell>
        </row>
        <row r="81">
          <cell r="C81">
            <v>1800</v>
          </cell>
          <cell r="E81">
            <v>225834882.74986503</v>
          </cell>
        </row>
        <row r="82">
          <cell r="C82">
            <v>1900</v>
          </cell>
          <cell r="E82">
            <v>258519771.9152036</v>
          </cell>
        </row>
        <row r="83">
          <cell r="C83">
            <v>2000</v>
          </cell>
          <cell r="E83">
            <v>293889960.74347669</v>
          </cell>
        </row>
        <row r="102">
          <cell r="C102">
            <v>298.14999999999998</v>
          </cell>
          <cell r="M102">
            <v>1.0055756116022561</v>
          </cell>
        </row>
        <row r="103">
          <cell r="C103">
            <v>300</v>
          </cell>
          <cell r="M103">
            <v>1.0058117576803012</v>
          </cell>
        </row>
        <row r="104">
          <cell r="C104">
            <v>400</v>
          </cell>
          <cell r="M104">
            <v>1.0314188286923798</v>
          </cell>
        </row>
        <row r="105">
          <cell r="C105">
            <v>500</v>
          </cell>
          <cell r="M105">
            <v>1.089389272054446</v>
          </cell>
        </row>
        <row r="106">
          <cell r="C106">
            <v>600</v>
          </cell>
          <cell r="M106">
            <v>1.1862545013821679</v>
          </cell>
        </row>
        <row r="107">
          <cell r="C107">
            <v>700</v>
          </cell>
          <cell r="M107">
            <v>1.3268799313733808</v>
          </cell>
        </row>
        <row r="108">
          <cell r="C108">
            <v>800</v>
          </cell>
          <cell r="M108">
            <v>1.5172999529346272</v>
          </cell>
        </row>
        <row r="109">
          <cell r="C109">
            <v>900</v>
          </cell>
          <cell r="M109">
            <v>1.7658155878493342</v>
          </cell>
        </row>
        <row r="110">
          <cell r="C110">
            <v>1000</v>
          </cell>
          <cell r="M110">
            <v>2.083444256061747</v>
          </cell>
        </row>
        <row r="111">
          <cell r="C111">
            <v>1100</v>
          </cell>
          <cell r="M111">
            <v>2.4842545094398427</v>
          </cell>
        </row>
        <row r="112">
          <cell r="C112">
            <v>1200</v>
          </cell>
          <cell r="M112">
            <v>2.9857565618685236</v>
          </cell>
        </row>
        <row r="113">
          <cell r="C113">
            <v>1300</v>
          </cell>
          <cell r="M113">
            <v>3.6093920325554492</v>
          </cell>
        </row>
        <row r="114">
          <cell r="C114">
            <v>1400</v>
          </cell>
          <cell r="M114">
            <v>4.3811318605683862</v>
          </cell>
        </row>
        <row r="115">
          <cell r="C115">
            <v>1500</v>
          </cell>
          <cell r="M115">
            <v>5.3321853042623237</v>
          </cell>
        </row>
        <row r="116">
          <cell r="C116">
            <v>1600</v>
          </cell>
          <cell r="M116">
            <v>6.4998240803617646</v>
          </cell>
        </row>
        <row r="117">
          <cell r="C117">
            <v>1700</v>
          </cell>
          <cell r="M117">
            <v>7.9283280281990791</v>
          </cell>
        </row>
        <row r="118">
          <cell r="C118">
            <v>1800</v>
          </cell>
          <cell r="M118">
            <v>9.6700607949388342</v>
          </cell>
        </row>
        <row r="119">
          <cell r="C119">
            <v>1900</v>
          </cell>
          <cell r="M119">
            <v>11.786685747364226</v>
          </cell>
        </row>
        <row r="120">
          <cell r="C120">
            <v>2000</v>
          </cell>
          <cell r="M120">
            <v>14.350533713209794</v>
          </cell>
        </row>
        <row r="136">
          <cell r="D136" t="str">
            <v>Qrot(1) and 𝜎=12</v>
          </cell>
          <cell r="E136" t="str">
            <v>Qrot(2) and 𝜎=3</v>
          </cell>
        </row>
        <row r="138">
          <cell r="C138">
            <v>300</v>
          </cell>
          <cell r="D138">
            <v>249.17524638314001</v>
          </cell>
          <cell r="E138">
            <v>147.76790334428063</v>
          </cell>
        </row>
        <row r="139">
          <cell r="C139">
            <v>400</v>
          </cell>
          <cell r="D139">
            <v>383.63038819919609</v>
          </cell>
          <cell r="E139">
            <v>227.50357006241873</v>
          </cell>
        </row>
        <row r="140">
          <cell r="C140">
            <v>500</v>
          </cell>
          <cell r="D140">
            <v>536.13976640501767</v>
          </cell>
          <cell r="E140">
            <v>317.9459048646591</v>
          </cell>
        </row>
        <row r="141">
          <cell r="C141">
            <v>600</v>
          </cell>
          <cell r="D141">
            <v>704.77402568539014</v>
          </cell>
          <cell r="E141">
            <v>417.95074598583614</v>
          </cell>
        </row>
        <row r="142">
          <cell r="C142">
            <v>700</v>
          </cell>
          <cell r="D142">
            <v>888.11677722445518</v>
          </cell>
          <cell r="E142">
            <v>526.67813516895399</v>
          </cell>
        </row>
        <row r="143">
          <cell r="C143">
            <v>800</v>
          </cell>
          <cell r="D143">
            <v>1085.0705958595045</v>
          </cell>
          <cell r="E143">
            <v>643.47726854113989</v>
          </cell>
        </row>
        <row r="144">
          <cell r="C144">
            <v>900</v>
          </cell>
          <cell r="D144">
            <v>1294.7525601722703</v>
          </cell>
          <cell r="E144">
            <v>767.82454896066304</v>
          </cell>
        </row>
        <row r="145">
          <cell r="C145">
            <v>1000</v>
          </cell>
          <cell r="D145">
            <v>1516.4322579550208</v>
          </cell>
          <cell r="E145">
            <v>899.28682152117278</v>
          </cell>
        </row>
        <row r="146">
          <cell r="C146">
            <v>1100</v>
          </cell>
          <cell r="D146">
            <v>1749.4923267732656</v>
          </cell>
          <cell r="E146">
            <v>1037.4979729996389</v>
          </cell>
        </row>
        <row r="147">
          <cell r="C147">
            <v>1200</v>
          </cell>
          <cell r="D147">
            <v>1993.4019710651312</v>
          </cell>
          <cell r="E147">
            <v>1182.143226754245</v>
          </cell>
        </row>
        <row r="148">
          <cell r="C148">
            <v>1300</v>
          </cell>
          <cell r="D148">
            <v>2247.6984326522916</v>
          </cell>
          <cell r="E148">
            <v>1332.9481542181418</v>
          </cell>
        </row>
        <row r="149">
          <cell r="C149">
            <v>1400</v>
          </cell>
          <cell r="D149">
            <v>2511.9735826438255</v>
          </cell>
          <cell r="E149">
            <v>1489.6707235226113</v>
          </cell>
        </row>
        <row r="150">
          <cell r="C150">
            <v>1500</v>
          </cell>
          <cell r="D150">
            <v>2785.86394611479</v>
          </cell>
          <cell r="E150">
            <v>1652.0953838521509</v>
          </cell>
        </row>
        <row r="151">
          <cell r="C151">
            <v>1600</v>
          </cell>
          <cell r="D151">
            <v>3069.0431055935424</v>
          </cell>
          <cell r="E151">
            <v>1820.0285604993505</v>
          </cell>
        </row>
        <row r="152">
          <cell r="C152">
            <v>1700</v>
          </cell>
          <cell r="D152">
            <v>3361.2157999517285</v>
          </cell>
          <cell r="E152">
            <v>1993.2951553414787</v>
          </cell>
        </row>
        <row r="153">
          <cell r="C153">
            <v>1800</v>
          </cell>
          <cell r="D153">
            <v>3662.1132610258333</v>
          </cell>
          <cell r="E153">
            <v>2171.7357813263507</v>
          </cell>
        </row>
        <row r="154">
          <cell r="C154">
            <v>1900</v>
          </cell>
          <cell r="D154">
            <v>3971.4894728499617</v>
          </cell>
          <cell r="E154">
            <v>2355.2045440924217</v>
          </cell>
        </row>
        <row r="155">
          <cell r="C155">
            <v>2000</v>
          </cell>
          <cell r="D155">
            <v>4289.118131240105</v>
          </cell>
          <cell r="E155">
            <v>2543.5672389172692</v>
          </cell>
        </row>
        <row r="174">
          <cell r="D174" t="str">
            <v>Qel</v>
          </cell>
        </row>
        <row r="176">
          <cell r="C176">
            <v>300</v>
          </cell>
          <cell r="D176">
            <v>1</v>
          </cell>
        </row>
        <row r="177">
          <cell r="C177">
            <v>400</v>
          </cell>
          <cell r="D177">
            <v>1</v>
          </cell>
        </row>
        <row r="178">
          <cell r="C178">
            <v>500</v>
          </cell>
          <cell r="D178">
            <v>1</v>
          </cell>
        </row>
        <row r="179">
          <cell r="C179">
            <v>600</v>
          </cell>
          <cell r="D179">
            <v>1</v>
          </cell>
        </row>
        <row r="180">
          <cell r="C180">
            <v>700</v>
          </cell>
          <cell r="D180">
            <v>1</v>
          </cell>
        </row>
        <row r="181">
          <cell r="C181">
            <v>800</v>
          </cell>
          <cell r="D181">
            <v>1</v>
          </cell>
        </row>
        <row r="182">
          <cell r="C182">
            <v>900</v>
          </cell>
          <cell r="D182">
            <v>1</v>
          </cell>
        </row>
        <row r="183">
          <cell r="C183">
            <v>1000</v>
          </cell>
          <cell r="D183">
            <v>1</v>
          </cell>
        </row>
        <row r="184">
          <cell r="C184">
            <v>1100</v>
          </cell>
          <cell r="D184">
            <v>1</v>
          </cell>
        </row>
        <row r="185">
          <cell r="C185">
            <v>1200</v>
          </cell>
          <cell r="D185">
            <v>1</v>
          </cell>
        </row>
        <row r="186">
          <cell r="C186">
            <v>1300</v>
          </cell>
          <cell r="D186">
            <v>1</v>
          </cell>
        </row>
        <row r="187">
          <cell r="C187">
            <v>1400</v>
          </cell>
          <cell r="D187">
            <v>1</v>
          </cell>
        </row>
        <row r="188">
          <cell r="C188">
            <v>1500</v>
          </cell>
          <cell r="D188">
            <v>1</v>
          </cell>
        </row>
        <row r="189">
          <cell r="C189">
            <v>1600</v>
          </cell>
          <cell r="D189">
            <v>1</v>
          </cell>
        </row>
        <row r="190">
          <cell r="C190">
            <v>1700</v>
          </cell>
          <cell r="D190">
            <v>1</v>
          </cell>
        </row>
        <row r="191">
          <cell r="C191">
            <v>1800</v>
          </cell>
          <cell r="D191">
            <v>1</v>
          </cell>
        </row>
        <row r="192">
          <cell r="C192">
            <v>1900</v>
          </cell>
          <cell r="D192">
            <v>1</v>
          </cell>
        </row>
        <row r="193">
          <cell r="C193">
            <v>2000</v>
          </cell>
          <cell r="D193">
            <v>1</v>
          </cell>
        </row>
        <row r="215">
          <cell r="C215">
            <v>300</v>
          </cell>
          <cell r="H215">
            <v>27.0948541465064</v>
          </cell>
        </row>
        <row r="216">
          <cell r="C216">
            <v>400</v>
          </cell>
          <cell r="H216">
            <v>31.586053313565774</v>
          </cell>
        </row>
        <row r="217">
          <cell r="C217">
            <v>500</v>
          </cell>
          <cell r="H217">
            <v>37.203725057213674</v>
          </cell>
        </row>
        <row r="218">
          <cell r="C218">
            <v>600</v>
          </cell>
          <cell r="H218">
            <v>42.914798735219449</v>
          </cell>
        </row>
        <row r="219">
          <cell r="C219">
            <v>700</v>
          </cell>
          <cell r="H219">
            <v>48.339760524406756</v>
          </cell>
        </row>
        <row r="220">
          <cell r="C220">
            <v>800</v>
          </cell>
          <cell r="H220">
            <v>53.368415171871533</v>
          </cell>
        </row>
        <row r="221">
          <cell r="C221">
            <v>900</v>
          </cell>
          <cell r="H221">
            <v>57.967221363696353</v>
          </cell>
        </row>
        <row r="222">
          <cell r="C222">
            <v>1000</v>
          </cell>
          <cell r="H222">
            <v>62.128709445501073</v>
          </cell>
        </row>
        <row r="223">
          <cell r="C223">
            <v>1100</v>
          </cell>
          <cell r="H223">
            <v>65.862106989071492</v>
          </cell>
        </row>
        <row r="224">
          <cell r="C224">
            <v>1200</v>
          </cell>
          <cell r="H224">
            <v>69.189645768537744</v>
          </cell>
        </row>
        <row r="225">
          <cell r="C225">
            <v>1300</v>
          </cell>
          <cell r="H225">
            <v>72.142295197128732</v>
          </cell>
        </row>
        <row r="226">
          <cell r="C226">
            <v>1400</v>
          </cell>
          <cell r="H226">
            <v>74.755492331867757</v>
          </cell>
        </row>
        <row r="227">
          <cell r="C227">
            <v>1500</v>
          </cell>
          <cell r="H227">
            <v>77.065741541593255</v>
          </cell>
        </row>
        <row r="228">
          <cell r="C228">
            <v>1600</v>
          </cell>
          <cell r="H228">
            <v>79.10832420744434</v>
          </cell>
        </row>
        <row r="229">
          <cell r="C229">
            <v>1700</v>
          </cell>
          <cell r="H229">
            <v>80.915972610273613</v>
          </cell>
        </row>
        <row r="230">
          <cell r="C230">
            <v>1800</v>
          </cell>
          <cell r="H230">
            <v>82.518245721202746</v>
          </cell>
        </row>
        <row r="231">
          <cell r="C231">
            <v>1900</v>
          </cell>
          <cell r="H231">
            <v>83.9413615857286</v>
          </cell>
        </row>
        <row r="232">
          <cell r="C232">
            <v>2000</v>
          </cell>
          <cell r="H232">
            <v>85.208299710683761</v>
          </cell>
        </row>
        <row r="263">
          <cell r="C263">
            <v>300</v>
          </cell>
          <cell r="J263">
            <v>197.84929525810085</v>
          </cell>
        </row>
        <row r="264">
          <cell r="C264">
            <v>400</v>
          </cell>
          <cell r="J264">
            <v>208.60534217558455</v>
          </cell>
        </row>
        <row r="265">
          <cell r="C265">
            <v>500</v>
          </cell>
          <cell r="J265">
            <v>218.10385360393238</v>
          </cell>
        </row>
        <row r="266">
          <cell r="C266">
            <v>600</v>
          </cell>
          <cell r="J266">
            <v>226.91026174615203</v>
          </cell>
        </row>
        <row r="267">
          <cell r="C267">
            <v>700</v>
          </cell>
          <cell r="J267">
            <v>235.21934932023964</v>
          </cell>
        </row>
        <row r="268">
          <cell r="C268">
            <v>800</v>
          </cell>
          <cell r="J268">
            <v>243.11739676932339</v>
          </cell>
        </row>
        <row r="269">
          <cell r="C269">
            <v>900</v>
          </cell>
          <cell r="J269">
            <v>250.65238854601637</v>
          </cell>
        </row>
        <row r="270">
          <cell r="C270">
            <v>1000</v>
          </cell>
          <cell r="J270">
            <v>257.85505554918967</v>
          </cell>
        </row>
        <row r="271">
          <cell r="C271">
            <v>1100</v>
          </cell>
          <cell r="J271">
            <v>264.7474177289389</v>
          </cell>
        </row>
        <row r="272">
          <cell r="C272">
            <v>1200</v>
          </cell>
          <cell r="J272">
            <v>271.34712429272554</v>
          </cell>
        </row>
        <row r="273">
          <cell r="C273">
            <v>1300</v>
          </cell>
          <cell r="J273">
            <v>277.66973606173349</v>
          </cell>
        </row>
        <row r="274">
          <cell r="C274">
            <v>1400</v>
          </cell>
          <cell r="J274">
            <v>283.72983529656932</v>
          </cell>
        </row>
        <row r="275">
          <cell r="C275">
            <v>1500</v>
          </cell>
          <cell r="J275">
            <v>289.54148288755317</v>
          </cell>
        </row>
        <row r="276">
          <cell r="C276">
            <v>1600</v>
          </cell>
          <cell r="J276">
            <v>295.1183432665955</v>
          </cell>
        </row>
        <row r="277">
          <cell r="C277">
            <v>1700</v>
          </cell>
          <cell r="J277">
            <v>300.47366241465187</v>
          </cell>
        </row>
        <row r="278">
          <cell r="C278">
            <v>1800</v>
          </cell>
          <cell r="J278">
            <v>305.6201973823413</v>
          </cell>
        </row>
        <row r="279">
          <cell r="C279">
            <v>1900</v>
          </cell>
          <cell r="J279">
            <v>310.5701443083758</v>
          </cell>
        </row>
        <row r="280">
          <cell r="C280">
            <v>2000</v>
          </cell>
          <cell r="J280">
            <v>315.33508384279168</v>
          </cell>
        </row>
      </sheetData>
      <sheetData sheetId="1">
        <row r="64">
          <cell r="E64" t="str">
            <v>Qtransl</v>
          </cell>
        </row>
        <row r="66">
          <cell r="C66">
            <v>300</v>
          </cell>
          <cell r="E66">
            <v>40368.323106654447</v>
          </cell>
        </row>
        <row r="67">
          <cell r="C67">
            <v>400</v>
          </cell>
          <cell r="E67">
            <v>82868.132310616726</v>
          </cell>
        </row>
        <row r="68">
          <cell r="C68">
            <v>500</v>
          </cell>
          <cell r="E68">
            <v>144764.66954295631</v>
          </cell>
        </row>
        <row r="69">
          <cell r="C69">
            <v>600</v>
          </cell>
          <cell r="E69">
            <v>228357.72011076027</v>
          </cell>
        </row>
        <row r="70">
          <cell r="C70">
            <v>700</v>
          </cell>
          <cell r="E70">
            <v>335724.21923775156</v>
          </cell>
        </row>
        <row r="71">
          <cell r="C71">
            <v>800</v>
          </cell>
          <cell r="E71">
            <v>468772.94640881027</v>
          </cell>
        </row>
        <row r="72">
          <cell r="C72">
            <v>900</v>
          </cell>
          <cell r="E72">
            <v>629279.87973373779</v>
          </cell>
        </row>
        <row r="73">
          <cell r="C73">
            <v>1000</v>
          </cell>
          <cell r="E73">
            <v>818912.6360804349</v>
          </cell>
        </row>
        <row r="74">
          <cell r="C74">
            <v>1100</v>
          </cell>
          <cell r="E74">
            <v>1039248.2105053912</v>
          </cell>
        </row>
        <row r="75">
          <cell r="C75">
            <v>1200</v>
          </cell>
          <cell r="E75">
            <v>1291786.3394129495</v>
          </cell>
        </row>
        <row r="76">
          <cell r="C76">
            <v>1300</v>
          </cell>
          <cell r="E76">
            <v>1577959.8664058954</v>
          </cell>
        </row>
        <row r="77">
          <cell r="C77">
            <v>1400</v>
          </cell>
          <cell r="E77">
            <v>1899142.9762525919</v>
          </cell>
        </row>
        <row r="78">
          <cell r="C78">
            <v>1500</v>
          </cell>
          <cell r="E78">
            <v>2256657.865103865</v>
          </cell>
        </row>
        <row r="79">
          <cell r="C79">
            <v>1600</v>
          </cell>
          <cell r="E79">
            <v>2651780.2339397119</v>
          </cell>
        </row>
        <row r="80">
          <cell r="C80">
            <v>1700</v>
          </cell>
          <cell r="E80">
            <v>3085743.8770825602</v>
          </cell>
        </row>
        <row r="81">
          <cell r="C81">
            <v>1800</v>
          </cell>
          <cell r="E81">
            <v>3559744.5617918582</v>
          </cell>
        </row>
        <row r="82">
          <cell r="C82">
            <v>1900</v>
          </cell>
          <cell r="E82">
            <v>4074943.3434961871</v>
          </cell>
        </row>
        <row r="83">
          <cell r="C83">
            <v>2000</v>
          </cell>
          <cell r="E83">
            <v>4632469.425374628</v>
          </cell>
        </row>
        <row r="102">
          <cell r="C102">
            <v>298.14999999999998</v>
          </cell>
          <cell r="E102">
            <v>1</v>
          </cell>
          <cell r="U102">
            <v>298.14999999999998</v>
          </cell>
          <cell r="Z102">
            <v>79497.707020761445</v>
          </cell>
        </row>
        <row r="103">
          <cell r="C103">
            <v>300</v>
          </cell>
          <cell r="E103">
            <v>1</v>
          </cell>
          <cell r="U103">
            <v>300</v>
          </cell>
          <cell r="Z103">
            <v>80736.646213308893</v>
          </cell>
        </row>
        <row r="104">
          <cell r="C104">
            <v>400</v>
          </cell>
          <cell r="E104">
            <v>1</v>
          </cell>
          <cell r="U104">
            <v>400</v>
          </cell>
          <cell r="Z104">
            <v>165736.26462123345</v>
          </cell>
        </row>
        <row r="105">
          <cell r="C105">
            <v>500</v>
          </cell>
          <cell r="E105">
            <v>1</v>
          </cell>
          <cell r="U105">
            <v>500</v>
          </cell>
          <cell r="Z105">
            <v>289529.33908591262</v>
          </cell>
        </row>
        <row r="106">
          <cell r="C106">
            <v>600</v>
          </cell>
          <cell r="E106">
            <v>1</v>
          </cell>
          <cell r="U106">
            <v>600</v>
          </cell>
          <cell r="Z106">
            <v>456715.44022152055</v>
          </cell>
        </row>
        <row r="107">
          <cell r="C107">
            <v>700</v>
          </cell>
          <cell r="E107">
            <v>1</v>
          </cell>
          <cell r="U107">
            <v>700</v>
          </cell>
          <cell r="Z107">
            <v>671448.43847550312</v>
          </cell>
        </row>
        <row r="108">
          <cell r="C108">
            <v>800</v>
          </cell>
          <cell r="E108">
            <v>1</v>
          </cell>
          <cell r="U108">
            <v>800</v>
          </cell>
          <cell r="Z108">
            <v>937545.89281762054</v>
          </cell>
        </row>
        <row r="109">
          <cell r="C109">
            <v>900</v>
          </cell>
          <cell r="E109">
            <v>1</v>
          </cell>
          <cell r="U109">
            <v>900</v>
          </cell>
          <cell r="Z109">
            <v>1258559.7594674756</v>
          </cell>
        </row>
        <row r="110">
          <cell r="C110">
            <v>1000</v>
          </cell>
          <cell r="E110">
            <v>1</v>
          </cell>
          <cell r="U110">
            <v>1000</v>
          </cell>
          <cell r="Z110">
            <v>1637825.2721608698</v>
          </cell>
        </row>
        <row r="111">
          <cell r="C111">
            <v>1100</v>
          </cell>
          <cell r="E111">
            <v>1</v>
          </cell>
          <cell r="U111">
            <v>1100</v>
          </cell>
          <cell r="Z111">
            <v>2078496.4210107825</v>
          </cell>
        </row>
        <row r="112">
          <cell r="C112">
            <v>1200</v>
          </cell>
          <cell r="E112">
            <v>1</v>
          </cell>
          <cell r="U112">
            <v>1200</v>
          </cell>
          <cell r="Z112">
            <v>2583572.678825899</v>
          </cell>
        </row>
        <row r="113">
          <cell r="C113">
            <v>1300</v>
          </cell>
          <cell r="E113">
            <v>1</v>
          </cell>
          <cell r="U113">
            <v>1300</v>
          </cell>
          <cell r="Z113">
            <v>3155919.7328117909</v>
          </cell>
        </row>
        <row r="114">
          <cell r="C114">
            <v>1400</v>
          </cell>
          <cell r="E114">
            <v>1</v>
          </cell>
          <cell r="U114">
            <v>1400</v>
          </cell>
          <cell r="Z114">
            <v>3798285.9525051839</v>
          </cell>
        </row>
        <row r="115">
          <cell r="C115">
            <v>1500</v>
          </cell>
          <cell r="E115">
            <v>1</v>
          </cell>
          <cell r="U115">
            <v>1500</v>
          </cell>
          <cell r="Z115">
            <v>4513315.7302077301</v>
          </cell>
        </row>
        <row r="116">
          <cell r="C116">
            <v>1600</v>
          </cell>
          <cell r="E116">
            <v>1</v>
          </cell>
          <cell r="U116">
            <v>1600</v>
          </cell>
          <cell r="Z116">
            <v>5303560.4678794239</v>
          </cell>
        </row>
        <row r="117">
          <cell r="C117">
            <v>1700</v>
          </cell>
          <cell r="E117">
            <v>1</v>
          </cell>
          <cell r="U117">
            <v>1700</v>
          </cell>
          <cell r="Z117">
            <v>6171487.7541651204</v>
          </cell>
        </row>
        <row r="118">
          <cell r="C118">
            <v>1800</v>
          </cell>
          <cell r="E118">
            <v>1</v>
          </cell>
          <cell r="U118">
            <v>1800</v>
          </cell>
          <cell r="Z118">
            <v>7119489.1235837163</v>
          </cell>
        </row>
        <row r="119">
          <cell r="C119">
            <v>1900</v>
          </cell>
          <cell r="E119">
            <v>1</v>
          </cell>
          <cell r="U119">
            <v>1900</v>
          </cell>
          <cell r="Z119">
            <v>8149886.6869923742</v>
          </cell>
        </row>
        <row r="120">
          <cell r="C120">
            <v>2000</v>
          </cell>
          <cell r="E120">
            <v>1</v>
          </cell>
          <cell r="U120">
            <v>2000</v>
          </cell>
          <cell r="Z120">
            <v>9264938.8507492561</v>
          </cell>
        </row>
        <row r="136">
          <cell r="D136" t="str">
            <v>Qrot</v>
          </cell>
        </row>
        <row r="138">
          <cell r="C138">
            <v>300</v>
          </cell>
          <cell r="D138">
            <v>1</v>
          </cell>
        </row>
        <row r="139">
          <cell r="C139">
            <v>400</v>
          </cell>
          <cell r="D139">
            <v>1</v>
          </cell>
        </row>
        <row r="140">
          <cell r="C140">
            <v>500</v>
          </cell>
          <cell r="D140">
            <v>1</v>
          </cell>
        </row>
        <row r="141">
          <cell r="C141">
            <v>600</v>
          </cell>
          <cell r="D141">
            <v>1</v>
          </cell>
        </row>
        <row r="142">
          <cell r="C142">
            <v>700</v>
          </cell>
          <cell r="D142">
            <v>1</v>
          </cell>
        </row>
        <row r="143">
          <cell r="C143">
            <v>800</v>
          </cell>
          <cell r="D143">
            <v>1</v>
          </cell>
        </row>
        <row r="144">
          <cell r="C144">
            <v>900</v>
          </cell>
          <cell r="D144">
            <v>1</v>
          </cell>
        </row>
        <row r="145">
          <cell r="C145">
            <v>1000</v>
          </cell>
          <cell r="D145">
            <v>1</v>
          </cell>
        </row>
        <row r="146">
          <cell r="C146">
            <v>1100</v>
          </cell>
          <cell r="D146">
            <v>1</v>
          </cell>
        </row>
        <row r="147">
          <cell r="C147">
            <v>1200</v>
          </cell>
          <cell r="D147">
            <v>1</v>
          </cell>
        </row>
        <row r="148">
          <cell r="C148">
            <v>1300</v>
          </cell>
          <cell r="D148">
            <v>1</v>
          </cell>
        </row>
        <row r="149">
          <cell r="C149">
            <v>1400</v>
          </cell>
          <cell r="D149">
            <v>1</v>
          </cell>
        </row>
        <row r="150">
          <cell r="C150">
            <v>1500</v>
          </cell>
          <cell r="D150">
            <v>1</v>
          </cell>
        </row>
        <row r="151">
          <cell r="C151">
            <v>1600</v>
          </cell>
          <cell r="D151">
            <v>1</v>
          </cell>
        </row>
        <row r="152">
          <cell r="C152">
            <v>1700</v>
          </cell>
          <cell r="D152">
            <v>1</v>
          </cell>
        </row>
        <row r="153">
          <cell r="C153">
            <v>1800</v>
          </cell>
          <cell r="D153">
            <v>1</v>
          </cell>
        </row>
        <row r="154">
          <cell r="C154">
            <v>1900</v>
          </cell>
          <cell r="D154">
            <v>1</v>
          </cell>
        </row>
        <row r="155">
          <cell r="C155">
            <v>2000</v>
          </cell>
          <cell r="D155">
            <v>1</v>
          </cell>
        </row>
        <row r="174">
          <cell r="D174" t="str">
            <v>Qel</v>
          </cell>
        </row>
        <row r="176">
          <cell r="C176">
            <v>300</v>
          </cell>
          <cell r="D176">
            <v>2</v>
          </cell>
        </row>
        <row r="177">
          <cell r="C177">
            <v>400</v>
          </cell>
          <cell r="D177">
            <v>2</v>
          </cell>
        </row>
        <row r="178">
          <cell r="C178">
            <v>500</v>
          </cell>
          <cell r="D178">
            <v>2</v>
          </cell>
        </row>
        <row r="179">
          <cell r="C179">
            <v>600</v>
          </cell>
          <cell r="D179">
            <v>2</v>
          </cell>
        </row>
        <row r="180">
          <cell r="C180">
            <v>700</v>
          </cell>
          <cell r="D180">
            <v>2</v>
          </cell>
        </row>
        <row r="181">
          <cell r="C181">
            <v>800</v>
          </cell>
          <cell r="D181">
            <v>2</v>
          </cell>
        </row>
        <row r="182">
          <cell r="C182">
            <v>900</v>
          </cell>
          <cell r="D182">
            <v>2</v>
          </cell>
        </row>
        <row r="183">
          <cell r="C183">
            <v>1000</v>
          </cell>
          <cell r="D183">
            <v>2</v>
          </cell>
        </row>
        <row r="184">
          <cell r="C184">
            <v>1100</v>
          </cell>
          <cell r="D184">
            <v>2</v>
          </cell>
        </row>
        <row r="185">
          <cell r="C185">
            <v>1200</v>
          </cell>
          <cell r="D185">
            <v>2</v>
          </cell>
        </row>
        <row r="186">
          <cell r="C186">
            <v>1300</v>
          </cell>
          <cell r="D186">
            <v>2</v>
          </cell>
        </row>
        <row r="187">
          <cell r="C187">
            <v>1400</v>
          </cell>
          <cell r="D187">
            <v>2</v>
          </cell>
        </row>
        <row r="188">
          <cell r="C188">
            <v>1500</v>
          </cell>
          <cell r="D188">
            <v>2</v>
          </cell>
        </row>
        <row r="189">
          <cell r="C189">
            <v>1600</v>
          </cell>
          <cell r="D189">
            <v>2</v>
          </cell>
        </row>
        <row r="190">
          <cell r="C190">
            <v>1700</v>
          </cell>
          <cell r="D190">
            <v>2</v>
          </cell>
        </row>
        <row r="191">
          <cell r="C191">
            <v>1800</v>
          </cell>
          <cell r="D191">
            <v>2</v>
          </cell>
        </row>
        <row r="192">
          <cell r="C192">
            <v>1900</v>
          </cell>
          <cell r="D192">
            <v>2</v>
          </cell>
        </row>
        <row r="193">
          <cell r="C193">
            <v>2000</v>
          </cell>
          <cell r="D193">
            <v>2</v>
          </cell>
        </row>
        <row r="215">
          <cell r="C215">
            <v>300</v>
          </cell>
          <cell r="H215">
            <v>12.471599999999999</v>
          </cell>
        </row>
        <row r="216">
          <cell r="C216">
            <v>400</v>
          </cell>
          <cell r="H216">
            <v>12.471599999999999</v>
          </cell>
        </row>
        <row r="217">
          <cell r="C217">
            <v>500</v>
          </cell>
          <cell r="H217">
            <v>12.471599999999999</v>
          </cell>
        </row>
        <row r="218">
          <cell r="C218">
            <v>600</v>
          </cell>
          <cell r="H218">
            <v>12.471599999999999</v>
          </cell>
        </row>
        <row r="219">
          <cell r="C219">
            <v>700</v>
          </cell>
          <cell r="H219">
            <v>12.471599999999999</v>
          </cell>
        </row>
        <row r="220">
          <cell r="C220">
            <v>800</v>
          </cell>
          <cell r="H220">
            <v>12.471599999999999</v>
          </cell>
        </row>
        <row r="221">
          <cell r="C221">
            <v>900</v>
          </cell>
          <cell r="H221">
            <v>12.471599999999999</v>
          </cell>
        </row>
        <row r="222">
          <cell r="C222">
            <v>1000</v>
          </cell>
          <cell r="H222">
            <v>12.471599999999999</v>
          </cell>
        </row>
        <row r="223">
          <cell r="C223">
            <v>1100</v>
          </cell>
          <cell r="H223">
            <v>12.471599999999999</v>
          </cell>
        </row>
        <row r="224">
          <cell r="C224">
            <v>1200</v>
          </cell>
          <cell r="H224">
            <v>12.471599999999999</v>
          </cell>
        </row>
        <row r="225">
          <cell r="C225">
            <v>1300</v>
          </cell>
          <cell r="H225">
            <v>12.471599999999999</v>
          </cell>
        </row>
        <row r="226">
          <cell r="C226">
            <v>1400</v>
          </cell>
          <cell r="H226">
            <v>12.471599999999999</v>
          </cell>
        </row>
        <row r="227">
          <cell r="C227">
            <v>1500</v>
          </cell>
          <cell r="H227">
            <v>12.471599999999999</v>
          </cell>
        </row>
        <row r="228">
          <cell r="C228">
            <v>1600</v>
          </cell>
          <cell r="H228">
            <v>12.471599999999999</v>
          </cell>
        </row>
        <row r="229">
          <cell r="C229">
            <v>1700</v>
          </cell>
          <cell r="H229">
            <v>12.471599999999999</v>
          </cell>
        </row>
        <row r="230">
          <cell r="C230">
            <v>1800</v>
          </cell>
          <cell r="H230">
            <v>12.471599999999999</v>
          </cell>
        </row>
        <row r="231">
          <cell r="C231">
            <v>1900</v>
          </cell>
          <cell r="H231">
            <v>12.471599999999999</v>
          </cell>
        </row>
        <row r="232">
          <cell r="C232">
            <v>2000</v>
          </cell>
          <cell r="H232">
            <v>12.471599999999999</v>
          </cell>
        </row>
        <row r="263">
          <cell r="C263">
            <v>300</v>
          </cell>
          <cell r="J263">
            <v>114.72990445852881</v>
          </cell>
        </row>
        <row r="264">
          <cell r="C264">
            <v>400</v>
          </cell>
          <cell r="J264">
            <v>120.70966401651158</v>
          </cell>
        </row>
        <row r="265">
          <cell r="C265">
            <v>500</v>
          </cell>
          <cell r="J265">
            <v>125.34792587412869</v>
          </cell>
        </row>
        <row r="266">
          <cell r="C266">
            <v>600</v>
          </cell>
          <cell r="J266">
            <v>129.13766175364785</v>
          </cell>
        </row>
        <row r="267">
          <cell r="C267">
            <v>700</v>
          </cell>
          <cell r="J267">
            <v>132.34183778453723</v>
          </cell>
        </row>
        <row r="268">
          <cell r="C268">
            <v>800</v>
          </cell>
          <cell r="J268">
            <v>135.11742131163064</v>
          </cell>
        </row>
        <row r="269">
          <cell r="C269">
            <v>900</v>
          </cell>
          <cell r="J269">
            <v>137.5656594907841</v>
          </cell>
        </row>
        <row r="270">
          <cell r="C270">
            <v>1000</v>
          </cell>
          <cell r="J270">
            <v>139.75568316924776</v>
          </cell>
        </row>
        <row r="271">
          <cell r="C271">
            <v>1100</v>
          </cell>
          <cell r="J271">
            <v>141.73680056666038</v>
          </cell>
        </row>
        <row r="272">
          <cell r="C272">
            <v>1200</v>
          </cell>
          <cell r="J272">
            <v>143.54541904876692</v>
          </cell>
        </row>
        <row r="273">
          <cell r="C273">
            <v>1300</v>
          </cell>
          <cell r="J273">
            <v>145.20918677046902</v>
          </cell>
        </row>
        <row r="274">
          <cell r="C274">
            <v>1400</v>
          </cell>
          <cell r="J274">
            <v>146.7495950796563</v>
          </cell>
        </row>
        <row r="275">
          <cell r="C275">
            <v>1500</v>
          </cell>
          <cell r="J275">
            <v>148.18368090638398</v>
          </cell>
        </row>
        <row r="276">
          <cell r="C276">
            <v>1600</v>
          </cell>
          <cell r="J276">
            <v>149.52517860674956</v>
          </cell>
        </row>
        <row r="277">
          <cell r="C277">
            <v>1700</v>
          </cell>
          <cell r="J277">
            <v>150.78532199582605</v>
          </cell>
        </row>
        <row r="278">
          <cell r="C278">
            <v>1800</v>
          </cell>
          <cell r="J278">
            <v>151.97341678590314</v>
          </cell>
        </row>
        <row r="279">
          <cell r="C279">
            <v>1900</v>
          </cell>
          <cell r="J279">
            <v>153.09725804722714</v>
          </cell>
        </row>
        <row r="280">
          <cell r="C280">
            <v>2000</v>
          </cell>
          <cell r="J280">
            <v>154.16344046436677</v>
          </cell>
        </row>
      </sheetData>
      <sheetData sheetId="2">
        <row r="64">
          <cell r="E64" t="str">
            <v>Qtransl</v>
          </cell>
        </row>
        <row r="66">
          <cell r="C66">
            <v>300</v>
          </cell>
          <cell r="E66">
            <v>2323355.1489047599</v>
          </cell>
        </row>
        <row r="67">
          <cell r="C67">
            <v>400</v>
          </cell>
          <cell r="E67">
            <v>4769385.6733982554</v>
          </cell>
        </row>
        <row r="68">
          <cell r="C68">
            <v>500</v>
          </cell>
          <cell r="E68">
            <v>8331773.8879938824</v>
          </cell>
        </row>
        <row r="69">
          <cell r="C69">
            <v>600</v>
          </cell>
          <cell r="E69">
            <v>13142881.447161743</v>
          </cell>
        </row>
        <row r="70">
          <cell r="C70">
            <v>700</v>
          </cell>
          <cell r="E70">
            <v>19322244.10999826</v>
          </cell>
        </row>
        <row r="71">
          <cell r="C71">
            <v>800</v>
          </cell>
          <cell r="E71">
            <v>26979719.61403108</v>
          </cell>
        </row>
        <row r="72">
          <cell r="C72">
            <v>900</v>
          </cell>
          <cell r="E72">
            <v>36217522.457368061</v>
          </cell>
        </row>
        <row r="73">
          <cell r="C73">
            <v>1000</v>
          </cell>
          <cell r="E73">
            <v>47131630.524107978</v>
          </cell>
        </row>
        <row r="74">
          <cell r="C74">
            <v>1100</v>
          </cell>
          <cell r="E74">
            <v>59812806.058068268</v>
          </cell>
        </row>
        <row r="75">
          <cell r="C75">
            <v>1200</v>
          </cell>
          <cell r="E75">
            <v>74347364.764951676</v>
          </cell>
        </row>
        <row r="76">
          <cell r="C76">
            <v>1300</v>
          </cell>
          <cell r="E76">
            <v>90817772.407663122</v>
          </cell>
        </row>
        <row r="77">
          <cell r="C77">
            <v>1400</v>
          </cell>
          <cell r="E77">
            <v>109303118.70337307</v>
          </cell>
        </row>
        <row r="78">
          <cell r="C78">
            <v>1500</v>
          </cell>
          <cell r="E78">
            <v>129879501.22062938</v>
          </cell>
        </row>
        <row r="79">
          <cell r="C79">
            <v>1600</v>
          </cell>
          <cell r="E79">
            <v>152620341.54874289</v>
          </cell>
        </row>
        <row r="80">
          <cell r="C80">
            <v>1700</v>
          </cell>
          <cell r="E80">
            <v>177596649.38470513</v>
          </cell>
        </row>
        <row r="81">
          <cell r="C81">
            <v>1800</v>
          </cell>
          <cell r="E81">
            <v>204877245.81904879</v>
          </cell>
        </row>
        <row r="82">
          <cell r="C82">
            <v>1900</v>
          </cell>
          <cell r="E82">
            <v>234528954.14044046</v>
          </cell>
        </row>
        <row r="83">
          <cell r="C83">
            <v>2000</v>
          </cell>
          <cell r="E83">
            <v>266616764.41580194</v>
          </cell>
        </row>
        <row r="102">
          <cell r="C102">
            <v>298.14999999999998</v>
          </cell>
          <cell r="J102">
            <v>1.0894223030783743</v>
          </cell>
          <cell r="U102">
            <v>298.14999999999998</v>
          </cell>
          <cell r="Z102">
            <v>4.0102420045868308E-6</v>
          </cell>
        </row>
        <row r="103">
          <cell r="C103">
            <v>300</v>
          </cell>
          <cell r="J103">
            <v>1.0910151884207482</v>
          </cell>
          <cell r="U103">
            <v>300</v>
          </cell>
          <cell r="Z103">
            <v>5.0023103638718323E-6</v>
          </cell>
        </row>
        <row r="104">
          <cell r="C104">
            <v>400</v>
          </cell>
          <cell r="J104">
            <v>1.1944943993277499</v>
          </cell>
          <cell r="U104">
            <v>400</v>
          </cell>
          <cell r="Z104">
            <v>4.4427768877759413E-2</v>
          </cell>
        </row>
        <row r="105">
          <cell r="C105">
            <v>500</v>
          </cell>
          <cell r="J105">
            <v>1.3308656368723202</v>
          </cell>
          <cell r="U105">
            <v>500</v>
          </cell>
          <cell r="Z105">
            <v>13.423631185476241</v>
          </cell>
        </row>
        <row r="106">
          <cell r="C106">
            <v>600</v>
          </cell>
          <cell r="J106">
            <v>1.500550364303576</v>
          </cell>
          <cell r="U106">
            <v>600</v>
          </cell>
          <cell r="Z106">
            <v>725.20635571074808</v>
          </cell>
        </row>
        <row r="107">
          <cell r="C107">
            <v>700</v>
          </cell>
          <cell r="J107">
            <v>1.7057682976912358</v>
          </cell>
          <cell r="U107">
            <v>700</v>
          </cell>
          <cell r="Z107">
            <v>14388.831842912245</v>
          </cell>
        </row>
        <row r="108">
          <cell r="C108">
            <v>800</v>
          </cell>
          <cell r="J108">
            <v>1.9500985383323988</v>
          </cell>
          <cell r="U108">
            <v>800</v>
          </cell>
          <cell r="Z108">
            <v>150907.32802266433</v>
          </cell>
        </row>
        <row r="109">
          <cell r="C109">
            <v>900</v>
          </cell>
          <cell r="J109">
            <v>2.2382947843736782</v>
          </cell>
          <cell r="U109">
            <v>900</v>
          </cell>
          <cell r="Z109">
            <v>1026621.6350634171</v>
          </cell>
        </row>
        <row r="110">
          <cell r="C110">
            <v>1000</v>
          </cell>
          <cell r="J110">
            <v>2.5761415703458113</v>
          </cell>
          <cell r="U110">
            <v>1000</v>
          </cell>
          <cell r="Z110">
            <v>5129514.1396994386</v>
          </cell>
        </row>
        <row r="111">
          <cell r="C111">
            <v>1100</v>
          </cell>
          <cell r="J111">
            <v>2.9703629051025491</v>
          </cell>
          <cell r="U111">
            <v>1100</v>
          </cell>
          <cell r="Z111">
            <v>20390066.526725184</v>
          </cell>
        </row>
        <row r="112">
          <cell r="C112">
            <v>1200</v>
          </cell>
          <cell r="J112">
            <v>3.4285849770816701</v>
          </cell>
          <cell r="U112">
            <v>1200</v>
          </cell>
          <cell r="Z112">
            <v>68048965.630663425</v>
          </cell>
        </row>
        <row r="113">
          <cell r="C113">
            <v>1300</v>
          </cell>
          <cell r="J113">
            <v>3.9593400320115713</v>
          </cell>
          <cell r="U113">
            <v>1300</v>
          </cell>
          <cell r="Z113">
            <v>197987375.19490969</v>
          </cell>
        </row>
        <row r="114">
          <cell r="C114">
            <v>1400</v>
          </cell>
          <cell r="J114">
            <v>4.5720973402735599</v>
          </cell>
          <cell r="U114">
            <v>1400</v>
          </cell>
          <cell r="Z114">
            <v>516015674.90561867</v>
          </cell>
        </row>
        <row r="115">
          <cell r="C115">
            <v>1500</v>
          </cell>
          <cell r="J115">
            <v>5.2773108994272615</v>
          </cell>
          <cell r="U115">
            <v>1500</v>
          </cell>
          <cell r="Z115">
            <v>1229233714.166389</v>
          </cell>
        </row>
        <row r="116">
          <cell r="C116">
            <v>1600</v>
          </cell>
          <cell r="J116">
            <v>6.0864773810570156</v>
          </cell>
          <cell r="U116">
            <v>1600</v>
          </cell>
          <cell r="Z116">
            <v>2717511995.3463597</v>
          </cell>
        </row>
        <row r="117">
          <cell r="C117">
            <v>1700</v>
          </cell>
          <cell r="J117">
            <v>7.0122005764425035</v>
          </cell>
          <cell r="U117">
            <v>1700</v>
          </cell>
          <cell r="Z117">
            <v>5641429587.1678038</v>
          </cell>
        </row>
        <row r="118">
          <cell r="C118">
            <v>1800</v>
          </cell>
          <cell r="J118">
            <v>8.0682602836374517</v>
          </cell>
          <cell r="U118">
            <v>1800</v>
          </cell>
          <cell r="Z118">
            <v>11099670351.951281</v>
          </cell>
        </row>
        <row r="119">
          <cell r="C119">
            <v>1900</v>
          </cell>
          <cell r="J119">
            <v>9.2696845429718664</v>
          </cell>
          <cell r="U119">
            <v>1900</v>
          </cell>
          <cell r="Z119">
            <v>20851952797.502457</v>
          </cell>
        </row>
        <row r="120">
          <cell r="C120">
            <v>2000</v>
          </cell>
          <cell r="J120">
            <v>10.632824655857579</v>
          </cell>
          <cell r="U120">
            <v>2000</v>
          </cell>
          <cell r="Z120">
            <v>37627078707.740967</v>
          </cell>
        </row>
        <row r="136">
          <cell r="D136" t="str">
            <v>Qrot(1) and 𝜎=6</v>
          </cell>
          <cell r="E136" t="str">
            <v>Qrot(2) and 𝜎=6</v>
          </cell>
        </row>
        <row r="138">
          <cell r="C138">
            <v>300</v>
          </cell>
          <cell r="D138">
            <v>288.85634699480477</v>
          </cell>
          <cell r="E138">
            <v>42.824928905896343</v>
          </cell>
        </row>
        <row r="139">
          <cell r="C139">
            <v>400</v>
          </cell>
          <cell r="D139">
            <v>444.72343918555737</v>
          </cell>
          <cell r="E139">
            <v>65.933291284922248</v>
          </cell>
        </row>
        <row r="140">
          <cell r="C140">
            <v>500</v>
          </cell>
          <cell r="D140">
            <v>621.51990075399465</v>
          </cell>
          <cell r="E140">
            <v>92.144575808362916</v>
          </cell>
        </row>
        <row r="141">
          <cell r="C141">
            <v>600</v>
          </cell>
          <cell r="D141">
            <v>817.00912699520575</v>
          </cell>
          <cell r="E141">
            <v>121.1271905327643</v>
          </cell>
        </row>
        <row r="142">
          <cell r="C142">
            <v>700</v>
          </cell>
          <cell r="D142">
            <v>1029.549169500543</v>
          </cell>
          <cell r="E142">
            <v>152.63770537740064</v>
          </cell>
        </row>
        <row r="143">
          <cell r="C143">
            <v>800</v>
          </cell>
          <cell r="D143">
            <v>1257.867838402829</v>
          </cell>
          <cell r="E143">
            <v>186.48750949406551</v>
          </cell>
        </row>
        <row r="144">
          <cell r="C144">
            <v>900</v>
          </cell>
          <cell r="D144">
            <v>1500.941607251237</v>
          </cell>
          <cell r="E144">
            <v>222.52485808661254</v>
          </cell>
        </row>
        <row r="145">
          <cell r="C145">
            <v>1000</v>
          </cell>
          <cell r="D145">
            <v>1757.9237458621387</v>
          </cell>
          <cell r="E145">
            <v>260.62421761460507</v>
          </cell>
        </row>
        <row r="146">
          <cell r="C146">
            <v>1100</v>
          </cell>
          <cell r="D146">
            <v>2028.0985769755036</v>
          </cell>
          <cell r="E146">
            <v>300.67948402978277</v>
          </cell>
        </row>
        <row r="147">
          <cell r="C147">
            <v>1200</v>
          </cell>
          <cell r="D147">
            <v>2310.8507759584513</v>
          </cell>
          <cell r="E147">
            <v>342.5994312471708</v>
          </cell>
        </row>
        <row r="148">
          <cell r="C148">
            <v>1300</v>
          </cell>
          <cell r="D148">
            <v>2605.6438904993106</v>
          </cell>
          <cell r="E148">
            <v>386.30452654282112</v>
          </cell>
        </row>
        <row r="149">
          <cell r="C149">
            <v>1400</v>
          </cell>
          <cell r="D149">
            <v>2912.0047972752568</v>
          </cell>
          <cell r="E149">
            <v>431.72462614845784</v>
          </cell>
        </row>
        <row r="150">
          <cell r="C150">
            <v>1500</v>
          </cell>
          <cell r="D150">
            <v>3229.5121380632436</v>
          </cell>
          <cell r="E150">
            <v>478.79726082589985</v>
          </cell>
        </row>
        <row r="151">
          <cell r="C151">
            <v>1600</v>
          </cell>
          <cell r="D151">
            <v>3557.7875134844289</v>
          </cell>
          <cell r="E151">
            <v>527.4663302793781</v>
          </cell>
        </row>
        <row r="152">
          <cell r="C152">
            <v>1700</v>
          </cell>
          <cell r="D152">
            <v>3896.4886421437554</v>
          </cell>
          <cell r="E152">
            <v>577.68108895124567</v>
          </cell>
        </row>
        <row r="153">
          <cell r="C153">
            <v>1800</v>
          </cell>
          <cell r="D153">
            <v>4245.3039546095542</v>
          </cell>
          <cell r="E153">
            <v>629.39534454247212</v>
          </cell>
        </row>
        <row r="154">
          <cell r="C154">
            <v>1900</v>
          </cell>
          <cell r="D154">
            <v>4603.9482569300089</v>
          </cell>
          <cell r="E154">
            <v>682.56681509926716</v>
          </cell>
        </row>
        <row r="155">
          <cell r="C155">
            <v>2000</v>
          </cell>
          <cell r="D155">
            <v>4972.1592060319144</v>
          </cell>
          <cell r="E155">
            <v>737.1566064669023</v>
          </cell>
        </row>
        <row r="174">
          <cell r="D174" t="str">
            <v>Qel</v>
          </cell>
        </row>
        <row r="176">
          <cell r="C176">
            <v>300</v>
          </cell>
          <cell r="D176">
            <v>2</v>
          </cell>
        </row>
        <row r="177">
          <cell r="C177">
            <v>400</v>
          </cell>
          <cell r="D177">
            <v>2</v>
          </cell>
        </row>
        <row r="178">
          <cell r="C178">
            <v>500</v>
          </cell>
          <cell r="D178">
            <v>2</v>
          </cell>
        </row>
        <row r="179">
          <cell r="C179">
            <v>600</v>
          </cell>
          <cell r="D179">
            <v>2</v>
          </cell>
        </row>
        <row r="180">
          <cell r="C180">
            <v>700</v>
          </cell>
          <cell r="D180">
            <v>2</v>
          </cell>
        </row>
        <row r="181">
          <cell r="C181">
            <v>800</v>
          </cell>
          <cell r="D181">
            <v>2</v>
          </cell>
        </row>
        <row r="182">
          <cell r="C182">
            <v>900</v>
          </cell>
          <cell r="D182">
            <v>2</v>
          </cell>
        </row>
        <row r="183">
          <cell r="C183">
            <v>1000</v>
          </cell>
          <cell r="D183">
            <v>2</v>
          </cell>
        </row>
        <row r="184">
          <cell r="C184">
            <v>1100</v>
          </cell>
          <cell r="D184">
            <v>2</v>
          </cell>
        </row>
        <row r="185">
          <cell r="C185">
            <v>1200</v>
          </cell>
          <cell r="D185">
            <v>2</v>
          </cell>
        </row>
        <row r="186">
          <cell r="C186">
            <v>1300</v>
          </cell>
          <cell r="D186">
            <v>2</v>
          </cell>
        </row>
        <row r="187">
          <cell r="C187">
            <v>1400</v>
          </cell>
          <cell r="D187">
            <v>2</v>
          </cell>
        </row>
        <row r="188">
          <cell r="C188">
            <v>1500</v>
          </cell>
          <cell r="D188">
            <v>2</v>
          </cell>
        </row>
        <row r="189">
          <cell r="C189">
            <v>1600</v>
          </cell>
          <cell r="D189">
            <v>2</v>
          </cell>
        </row>
        <row r="190">
          <cell r="C190">
            <v>1700</v>
          </cell>
          <cell r="D190">
            <v>2</v>
          </cell>
        </row>
        <row r="191">
          <cell r="C191">
            <v>1800</v>
          </cell>
          <cell r="D191">
            <v>2</v>
          </cell>
        </row>
        <row r="192">
          <cell r="C192">
            <v>1900</v>
          </cell>
          <cell r="D192">
            <v>2</v>
          </cell>
        </row>
        <row r="193">
          <cell r="C193">
            <v>2000</v>
          </cell>
          <cell r="D193">
            <v>2</v>
          </cell>
        </row>
        <row r="215">
          <cell r="C215">
            <v>300</v>
          </cell>
          <cell r="H215">
            <v>30.864446169484037</v>
          </cell>
        </row>
        <row r="216">
          <cell r="C216">
            <v>400</v>
          </cell>
          <cell r="H216">
            <v>33.917829914321302</v>
          </cell>
        </row>
        <row r="217">
          <cell r="C217">
            <v>500</v>
          </cell>
          <cell r="H217">
            <v>36.930484931018128</v>
          </cell>
        </row>
        <row r="218">
          <cell r="C218">
            <v>600</v>
          </cell>
          <cell r="H218">
            <v>39.793335700001975</v>
          </cell>
        </row>
        <row r="219">
          <cell r="C219">
            <v>700</v>
          </cell>
          <cell r="H219">
            <v>42.522088936840873</v>
          </cell>
        </row>
        <row r="220">
          <cell r="C220">
            <v>800</v>
          </cell>
          <cell r="H220">
            <v>45.138658449762744</v>
          </cell>
        </row>
        <row r="221">
          <cell r="C221">
            <v>900</v>
          </cell>
          <cell r="H221">
            <v>47.635070935757128</v>
          </cell>
        </row>
        <row r="222">
          <cell r="C222">
            <v>1000</v>
          </cell>
          <cell r="H222">
            <v>49.987843355397843</v>
          </cell>
        </row>
        <row r="223">
          <cell r="C223">
            <v>1100</v>
          </cell>
          <cell r="H223">
            <v>52.17492763314587</v>
          </cell>
        </row>
        <row r="224">
          <cell r="C224">
            <v>1200</v>
          </cell>
          <cell r="H224">
            <v>54.183439792916744</v>
          </cell>
        </row>
        <row r="225">
          <cell r="C225">
            <v>1300</v>
          </cell>
          <cell r="H225">
            <v>56.010532350943549</v>
          </cell>
        </row>
        <row r="226">
          <cell r="C226">
            <v>1400</v>
          </cell>
          <cell r="H226">
            <v>57.661282452799739</v>
          </cell>
        </row>
        <row r="227">
          <cell r="C227">
            <v>1500</v>
          </cell>
          <cell r="H227">
            <v>59.145956194056453</v>
          </cell>
        </row>
        <row r="228">
          <cell r="C228">
            <v>1600</v>
          </cell>
          <cell r="H228">
            <v>60.477651128864593</v>
          </cell>
        </row>
        <row r="229">
          <cell r="C229">
            <v>1700</v>
          </cell>
          <cell r="H229">
            <v>61.670579065008127</v>
          </cell>
        </row>
        <row r="230">
          <cell r="C230">
            <v>1800</v>
          </cell>
          <cell r="H230">
            <v>62.738941847181238</v>
          </cell>
        </row>
        <row r="231">
          <cell r="C231">
            <v>1900</v>
          </cell>
          <cell r="H231">
            <v>63.696261839720677</v>
          </cell>
        </row>
        <row r="232">
          <cell r="C232">
            <v>2000</v>
          </cell>
          <cell r="H232">
            <v>64.555028312260788</v>
          </cell>
        </row>
        <row r="263">
          <cell r="C263">
            <v>300</v>
          </cell>
          <cell r="J263">
            <v>194.83597038619993</v>
          </cell>
        </row>
        <row r="264">
          <cell r="C264">
            <v>400</v>
          </cell>
          <cell r="J264">
            <v>206.52361590297943</v>
          </cell>
        </row>
        <row r="265">
          <cell r="C265">
            <v>500</v>
          </cell>
          <cell r="J265">
            <v>216.27349867178495</v>
          </cell>
        </row>
        <row r="266">
          <cell r="C266">
            <v>600</v>
          </cell>
          <cell r="J266">
            <v>224.77797485162503</v>
          </cell>
        </row>
        <row r="267">
          <cell r="C267">
            <v>700</v>
          </cell>
          <cell r="J267">
            <v>232.40024430215013</v>
          </cell>
        </row>
        <row r="268">
          <cell r="C268">
            <v>800</v>
          </cell>
          <cell r="J268">
            <v>239.36056028394992</v>
          </cell>
        </row>
        <row r="269">
          <cell r="C269">
            <v>900</v>
          </cell>
          <cell r="J269">
            <v>245.80184002656293</v>
          </cell>
        </row>
        <row r="270">
          <cell r="C270">
            <v>1000</v>
          </cell>
          <cell r="J270">
            <v>251.81984236181628</v>
          </cell>
        </row>
        <row r="271">
          <cell r="C271">
            <v>1100</v>
          </cell>
          <cell r="J271">
            <v>257.48059192406737</v>
          </cell>
        </row>
        <row r="272">
          <cell r="C272">
            <v>1200</v>
          </cell>
          <cell r="J272">
            <v>262.83128339247185</v>
          </cell>
        </row>
        <row r="273">
          <cell r="C273">
            <v>1300</v>
          </cell>
          <cell r="J273">
            <v>267.90712800596941</v>
          </cell>
        </row>
        <row r="274">
          <cell r="C274">
            <v>1400</v>
          </cell>
          <cell r="J274">
            <v>272.73559136476024</v>
          </cell>
        </row>
        <row r="275">
          <cell r="C275">
            <v>1500</v>
          </cell>
          <cell r="J275">
            <v>277.33898929016596</v>
          </cell>
        </row>
        <row r="276">
          <cell r="C276">
            <v>1600</v>
          </cell>
          <cell r="J276">
            <v>281.7360764691789</v>
          </cell>
        </row>
        <row r="277">
          <cell r="C277">
            <v>1700</v>
          </cell>
          <cell r="J277">
            <v>285.94302839237946</v>
          </cell>
        </row>
        <row r="278">
          <cell r="C278">
            <v>1800</v>
          </cell>
          <cell r="J278">
            <v>289.97406122695605</v>
          </cell>
        </row>
        <row r="279">
          <cell r="C279">
            <v>1900</v>
          </cell>
          <cell r="J279">
            <v>293.84183584338365</v>
          </cell>
        </row>
        <row r="280">
          <cell r="C280">
            <v>2000</v>
          </cell>
          <cell r="J280">
            <v>297.55773227508979</v>
          </cell>
        </row>
      </sheetData>
      <sheetData sheetId="3">
        <row r="64">
          <cell r="E64" t="str">
            <v>Qtransl</v>
          </cell>
        </row>
        <row r="66">
          <cell r="C66">
            <v>300</v>
          </cell>
          <cell r="E66">
            <v>114178.01036804235</v>
          </cell>
        </row>
        <row r="67">
          <cell r="C67">
            <v>400</v>
          </cell>
          <cell r="E67">
            <v>234384.72896542485</v>
          </cell>
        </row>
        <row r="68">
          <cell r="C68">
            <v>500</v>
          </cell>
          <cell r="E68">
            <v>409453.27098012256</v>
          </cell>
        </row>
        <row r="69">
          <cell r="C69">
            <v>600</v>
          </cell>
          <cell r="E69">
            <v>645888.36314904713</v>
          </cell>
        </row>
        <row r="70">
          <cell r="C70">
            <v>700</v>
          </cell>
          <cell r="E70">
            <v>949564.42167925066</v>
          </cell>
        </row>
        <row r="71">
          <cell r="C71">
            <v>800</v>
          </cell>
          <cell r="E71">
            <v>1325880.2500641872</v>
          </cell>
        </row>
        <row r="72">
          <cell r="C72">
            <v>900</v>
          </cell>
          <cell r="E72">
            <v>1779859.0355811976</v>
          </cell>
        </row>
        <row r="73">
          <cell r="C73">
            <v>1000</v>
          </cell>
          <cell r="E73">
            <v>2316217.475912435</v>
          </cell>
        </row>
        <row r="74">
          <cell r="C74">
            <v>1100</v>
          </cell>
          <cell r="E74">
            <v>2939415.9534582081</v>
          </cell>
        </row>
        <row r="75">
          <cell r="C75">
            <v>1200</v>
          </cell>
          <cell r="E75">
            <v>3653696.3317773752</v>
          </cell>
        </row>
        <row r="76">
          <cell r="C76">
            <v>1300</v>
          </cell>
          <cell r="E76">
            <v>4463111.27442268</v>
          </cell>
        </row>
        <row r="77">
          <cell r="C77">
            <v>1400</v>
          </cell>
          <cell r="E77">
            <v>5371547.5339429826</v>
          </cell>
        </row>
        <row r="78">
          <cell r="C78">
            <v>1500</v>
          </cell>
          <cell r="E78">
            <v>6382744.8179655354</v>
          </cell>
        </row>
        <row r="79">
          <cell r="C79">
            <v>1600</v>
          </cell>
          <cell r="E79">
            <v>7500311.326893637</v>
          </cell>
        </row>
        <row r="80">
          <cell r="C80">
            <v>1700</v>
          </cell>
          <cell r="E80">
            <v>8727736.7320857942</v>
          </cell>
        </row>
        <row r="81">
          <cell r="C81">
            <v>1800</v>
          </cell>
          <cell r="E81">
            <v>10068403.148924792</v>
          </cell>
        </row>
        <row r="82">
          <cell r="C82">
            <v>1900</v>
          </cell>
          <cell r="E82">
            <v>11525594.513639903</v>
          </cell>
        </row>
        <row r="83">
          <cell r="C83">
            <v>2000</v>
          </cell>
          <cell r="E83">
            <v>13102504.671363808</v>
          </cell>
        </row>
        <row r="102">
          <cell r="C102">
            <v>298.14999999999998</v>
          </cell>
          <cell r="E102">
            <v>1.0000000004626304</v>
          </cell>
          <cell r="U102">
            <v>298.14999999999998</v>
          </cell>
          <cell r="Z102">
            <v>4.1299026196586448</v>
          </cell>
        </row>
        <row r="103">
          <cell r="C103">
            <v>300</v>
          </cell>
          <cell r="E103">
            <v>1.0000000005282002</v>
          </cell>
          <cell r="U103">
            <v>300</v>
          </cell>
          <cell r="Z103">
            <v>4.5094601164949211</v>
          </cell>
        </row>
        <row r="104">
          <cell r="C104">
            <v>400</v>
          </cell>
          <cell r="E104">
            <v>1.0000001101790055</v>
          </cell>
          <cell r="U104">
            <v>400</v>
          </cell>
          <cell r="Z104">
            <v>178.26265722761028</v>
          </cell>
        </row>
        <row r="105">
          <cell r="C105">
            <v>500</v>
          </cell>
          <cell r="E105">
            <v>1.000002714439828</v>
          </cell>
          <cell r="U105">
            <v>500</v>
          </cell>
          <cell r="Z105">
            <v>1932.1314621827198</v>
          </cell>
        </row>
        <row r="106">
          <cell r="C106">
            <v>600</v>
          </cell>
          <cell r="E106">
            <v>1.0000229831304135</v>
          </cell>
          <cell r="U106">
            <v>600</v>
          </cell>
          <cell r="Z106">
            <v>10642.408283359193</v>
          </cell>
        </row>
        <row r="107">
          <cell r="C107">
            <v>700</v>
          </cell>
          <cell r="E107">
            <v>1.0001057066628936</v>
          </cell>
          <cell r="U107">
            <v>700</v>
          </cell>
          <cell r="Z107">
            <v>39148.779984165492</v>
          </cell>
        </row>
        <row r="108">
          <cell r="C108">
            <v>800</v>
          </cell>
          <cell r="E108">
            <v>1.0003320424275408</v>
          </cell>
          <cell r="U108">
            <v>800</v>
          </cell>
          <cell r="Z108">
            <v>110734.97020871988</v>
          </cell>
        </row>
        <row r="109">
          <cell r="C109">
            <v>900</v>
          </cell>
          <cell r="E109">
            <v>1.0008090040031887</v>
          </cell>
          <cell r="U109">
            <v>900</v>
          </cell>
          <cell r="Z109">
            <v>261096.2767013952</v>
          </cell>
        </row>
        <row r="110">
          <cell r="C110">
            <v>1000</v>
          </cell>
          <cell r="E110">
            <v>1.001650272389091</v>
          </cell>
          <cell r="U110">
            <v>1000</v>
          </cell>
          <cell r="Z110">
            <v>539432.1564149647</v>
          </cell>
        </row>
        <row r="111">
          <cell r="C111">
            <v>1100</v>
          </cell>
          <cell r="E111">
            <v>1.0029589475450924</v>
          </cell>
          <cell r="U111">
            <v>1100</v>
          </cell>
          <cell r="Z111">
            <v>1008986.9939812304</v>
          </cell>
        </row>
        <row r="112">
          <cell r="C112">
            <v>1200</v>
          </cell>
          <cell r="E112">
            <v>1.0048171106461996</v>
          </cell>
          <cell r="U112">
            <v>1200</v>
          </cell>
          <cell r="Z112">
            <v>1747318.7670495431</v>
          </cell>
        </row>
        <row r="113">
          <cell r="C113">
            <v>1300</v>
          </cell>
          <cell r="E113">
            <v>1.0072821304176591</v>
          </cell>
          <cell r="U113">
            <v>1300</v>
          </cell>
          <cell r="Z113">
            <v>2846475.7120627295</v>
          </cell>
        </row>
        <row r="114">
          <cell r="C114">
            <v>1400</v>
          </cell>
          <cell r="E114">
            <v>1.0103876246158896</v>
          </cell>
          <cell r="U114">
            <v>1400</v>
          </cell>
          <cell r="Z114">
            <v>4413175.6762165241</v>
          </cell>
        </row>
        <row r="115">
          <cell r="C115">
            <v>1500</v>
          </cell>
          <cell r="E115">
            <v>1.0141468756805898</v>
          </cell>
          <cell r="U115">
            <v>1500</v>
          </cell>
          <cell r="Z115">
            <v>6569027.2305707633</v>
          </cell>
        </row>
        <row r="116">
          <cell r="C116">
            <v>1600</v>
          </cell>
          <cell r="E116">
            <v>1.0185570987982238</v>
          </cell>
          <cell r="U116">
            <v>1600</v>
          </cell>
          <cell r="Z116">
            <v>9450801.1969385799</v>
          </cell>
        </row>
        <row r="117">
          <cell r="C117">
            <v>1700</v>
          </cell>
          <cell r="E117">
            <v>1.0236036186304809</v>
          </cell>
          <cell r="U117">
            <v>1700</v>
          </cell>
          <cell r="Z117">
            <v>13210747.260469295</v>
          </cell>
        </row>
        <row r="118">
          <cell r="C118">
            <v>1800</v>
          </cell>
          <cell r="E118">
            <v>1.0292635026047445</v>
          </cell>
          <cell r="U118">
            <v>1800</v>
          </cell>
          <cell r="Z118">
            <v>18016945.549229447</v>
          </cell>
        </row>
        <row r="119">
          <cell r="C119">
            <v>1900</v>
          </cell>
          <cell r="E119">
            <v>1.0355085030737978</v>
          </cell>
          <cell r="U119">
            <v>1900</v>
          </cell>
          <cell r="Z119">
            <v>24053682.744893592</v>
          </cell>
        </row>
        <row r="120">
          <cell r="C120">
            <v>2000</v>
          </cell>
          <cell r="E120">
            <v>1.0423073232911084</v>
          </cell>
          <cell r="U120">
            <v>2000</v>
          </cell>
          <cell r="Z120">
            <v>31521843.780337002</v>
          </cell>
        </row>
        <row r="136">
          <cell r="D136" t="str">
            <v>Qrot and 𝜎=2</v>
          </cell>
        </row>
        <row r="138">
          <cell r="C138">
            <v>300</v>
          </cell>
          <cell r="D138">
            <v>1.7184736568947652</v>
          </cell>
        </row>
        <row r="139">
          <cell r="C139">
            <v>400</v>
          </cell>
          <cell r="D139">
            <v>2.2912982091930205</v>
          </cell>
        </row>
        <row r="140">
          <cell r="C140">
            <v>500</v>
          </cell>
          <cell r="D140">
            <v>2.8641227614912754</v>
          </cell>
        </row>
        <row r="141">
          <cell r="C141">
            <v>600</v>
          </cell>
          <cell r="D141">
            <v>3.4369473137895303</v>
          </cell>
        </row>
        <row r="142">
          <cell r="C142">
            <v>700</v>
          </cell>
          <cell r="D142">
            <v>4.0097718660877852</v>
          </cell>
        </row>
        <row r="143">
          <cell r="C143">
            <v>800</v>
          </cell>
          <cell r="D143">
            <v>4.582596418386041</v>
          </cell>
        </row>
        <row r="144">
          <cell r="C144">
            <v>900</v>
          </cell>
          <cell r="D144">
            <v>5.1554209706842959</v>
          </cell>
        </row>
        <row r="145">
          <cell r="C145">
            <v>1000</v>
          </cell>
          <cell r="D145">
            <v>5.7282455229825509</v>
          </cell>
        </row>
        <row r="146">
          <cell r="C146">
            <v>1100</v>
          </cell>
          <cell r="D146">
            <v>6.3010700752808058</v>
          </cell>
        </row>
        <row r="147">
          <cell r="C147">
            <v>1200</v>
          </cell>
          <cell r="D147">
            <v>6.8738946275790607</v>
          </cell>
        </row>
        <row r="148">
          <cell r="C148">
            <v>1300</v>
          </cell>
          <cell r="D148">
            <v>7.4467191798773165</v>
          </cell>
        </row>
        <row r="149">
          <cell r="C149">
            <v>1400</v>
          </cell>
          <cell r="D149">
            <v>8.0195437321755705</v>
          </cell>
        </row>
        <row r="150">
          <cell r="C150">
            <v>1500</v>
          </cell>
          <cell r="D150">
            <v>8.5923682844738263</v>
          </cell>
        </row>
        <row r="151">
          <cell r="C151">
            <v>1600</v>
          </cell>
          <cell r="D151">
            <v>9.1651928367720821</v>
          </cell>
        </row>
        <row r="152">
          <cell r="C152">
            <v>1700</v>
          </cell>
          <cell r="D152">
            <v>9.7380173890703361</v>
          </cell>
        </row>
        <row r="153">
          <cell r="C153">
            <v>1800</v>
          </cell>
          <cell r="D153">
            <v>10.310841941368592</v>
          </cell>
        </row>
        <row r="154">
          <cell r="C154">
            <v>1900</v>
          </cell>
          <cell r="D154">
            <v>10.883666493666846</v>
          </cell>
        </row>
        <row r="155">
          <cell r="C155">
            <v>2000</v>
          </cell>
          <cell r="D155">
            <v>11.456491045965102</v>
          </cell>
        </row>
        <row r="174">
          <cell r="D174" t="str">
            <v>Qel</v>
          </cell>
        </row>
        <row r="176">
          <cell r="C176">
            <v>300</v>
          </cell>
          <cell r="D176">
            <v>1</v>
          </cell>
        </row>
        <row r="177">
          <cell r="C177">
            <v>400</v>
          </cell>
          <cell r="D177">
            <v>1</v>
          </cell>
        </row>
        <row r="178">
          <cell r="C178">
            <v>500</v>
          </cell>
          <cell r="D178">
            <v>1</v>
          </cell>
        </row>
        <row r="179">
          <cell r="C179">
            <v>600</v>
          </cell>
          <cell r="D179">
            <v>1</v>
          </cell>
        </row>
        <row r="180">
          <cell r="C180">
            <v>700</v>
          </cell>
          <cell r="D180">
            <v>1</v>
          </cell>
        </row>
        <row r="181">
          <cell r="C181">
            <v>800</v>
          </cell>
          <cell r="D181">
            <v>1</v>
          </cell>
        </row>
        <row r="182">
          <cell r="C182">
            <v>900</v>
          </cell>
          <cell r="D182">
            <v>1</v>
          </cell>
        </row>
        <row r="183">
          <cell r="C183">
            <v>1000</v>
          </cell>
          <cell r="D183">
            <v>1</v>
          </cell>
        </row>
        <row r="184">
          <cell r="C184">
            <v>1100</v>
          </cell>
          <cell r="D184">
            <v>1</v>
          </cell>
        </row>
        <row r="185">
          <cell r="C185">
            <v>1200</v>
          </cell>
          <cell r="D185">
            <v>1</v>
          </cell>
        </row>
        <row r="186">
          <cell r="C186">
            <v>1300</v>
          </cell>
          <cell r="D186">
            <v>1</v>
          </cell>
        </row>
        <row r="187">
          <cell r="C187">
            <v>1400</v>
          </cell>
          <cell r="D187">
            <v>1</v>
          </cell>
        </row>
        <row r="188">
          <cell r="C188">
            <v>1500</v>
          </cell>
          <cell r="D188">
            <v>1</v>
          </cell>
        </row>
        <row r="189">
          <cell r="C189">
            <v>1600</v>
          </cell>
          <cell r="D189">
            <v>1</v>
          </cell>
        </row>
        <row r="190">
          <cell r="C190">
            <v>1700</v>
          </cell>
          <cell r="D190">
            <v>1</v>
          </cell>
        </row>
        <row r="191">
          <cell r="C191">
            <v>1800</v>
          </cell>
          <cell r="D191">
            <v>1</v>
          </cell>
        </row>
        <row r="192">
          <cell r="C192">
            <v>1900</v>
          </cell>
          <cell r="D192">
            <v>1</v>
          </cell>
        </row>
        <row r="193">
          <cell r="C193">
            <v>2000</v>
          </cell>
          <cell r="D193">
            <v>1</v>
          </cell>
        </row>
        <row r="215">
          <cell r="C215">
            <v>300</v>
          </cell>
          <cell r="H215">
            <v>20.786002004069736</v>
          </cell>
        </row>
        <row r="216">
          <cell r="C216">
            <v>400</v>
          </cell>
          <cell r="H216">
            <v>20.78623514234576</v>
          </cell>
        </row>
        <row r="217">
          <cell r="C217">
            <v>500</v>
          </cell>
          <cell r="H217">
            <v>20.789707578189869</v>
          </cell>
        </row>
        <row r="218">
          <cell r="C218">
            <v>600</v>
          </cell>
          <cell r="H218">
            <v>20.807800356189674</v>
          </cell>
        </row>
        <row r="219">
          <cell r="C219">
            <v>700</v>
          </cell>
          <cell r="H219">
            <v>20.85967119025144</v>
          </cell>
        </row>
        <row r="220">
          <cell r="C220">
            <v>800</v>
          </cell>
          <cell r="H220">
            <v>20.963215708569074</v>
          </cell>
        </row>
        <row r="221">
          <cell r="C221">
            <v>900</v>
          </cell>
          <cell r="H221">
            <v>21.127318993346549</v>
          </cell>
        </row>
        <row r="222">
          <cell r="C222">
            <v>1000</v>
          </cell>
          <cell r="H222">
            <v>21.350435978464454</v>
          </cell>
        </row>
        <row r="223">
          <cell r="C223">
            <v>1100</v>
          </cell>
          <cell r="H223">
            <v>21.623485817905699</v>
          </cell>
        </row>
        <row r="224">
          <cell r="C224">
            <v>1200</v>
          </cell>
          <cell r="H224">
            <v>21.933765379540183</v>
          </cell>
        </row>
        <row r="225">
          <cell r="C225">
            <v>1300</v>
          </cell>
          <cell r="H225">
            <v>22.268055544733876</v>
          </cell>
        </row>
        <row r="226">
          <cell r="C226">
            <v>1400</v>
          </cell>
          <cell r="H226">
            <v>22.614476944561044</v>
          </cell>
        </row>
        <row r="227">
          <cell r="C227">
            <v>1500</v>
          </cell>
          <cell r="H227">
            <v>22.963308203948081</v>
          </cell>
        </row>
        <row r="228">
          <cell r="C228">
            <v>1600</v>
          </cell>
          <cell r="H228">
            <v>23.307136170558366</v>
          </cell>
        </row>
        <row r="229">
          <cell r="C229">
            <v>1700</v>
          </cell>
          <cell r="H229">
            <v>23.640652009907356</v>
          </cell>
        </row>
        <row r="230">
          <cell r="C230">
            <v>1800</v>
          </cell>
          <cell r="H230">
            <v>23.960302541402214</v>
          </cell>
        </row>
        <row r="231">
          <cell r="C231">
            <v>1900</v>
          </cell>
          <cell r="H231">
            <v>24.263916354393952</v>
          </cell>
        </row>
        <row r="232">
          <cell r="C232">
            <v>2000</v>
          </cell>
          <cell r="H232">
            <v>24.550363203480437</v>
          </cell>
        </row>
        <row r="263">
          <cell r="C263">
            <v>300</v>
          </cell>
          <cell r="J263">
            <v>130.42751367842837</v>
          </cell>
        </row>
        <row r="264">
          <cell r="C264">
            <v>400</v>
          </cell>
          <cell r="J264">
            <v>138.79919255451617</v>
          </cell>
        </row>
        <row r="265">
          <cell r="C265">
            <v>500</v>
          </cell>
          <cell r="J265">
            <v>145.29305540342239</v>
          </cell>
        </row>
        <row r="266">
          <cell r="C266">
            <v>600</v>
          </cell>
          <cell r="J266">
            <v>150.60060592814287</v>
          </cell>
        </row>
        <row r="267">
          <cell r="C267">
            <v>700</v>
          </cell>
          <cell r="J267">
            <v>155.09314540612846</v>
          </cell>
        </row>
        <row r="268">
          <cell r="C268">
            <v>800</v>
          </cell>
          <cell r="J268">
            <v>158.99491290885814</v>
          </cell>
        </row>
        <row r="269">
          <cell r="C269">
            <v>900</v>
          </cell>
          <cell r="J269">
            <v>162.45219033832933</v>
          </cell>
        </row>
        <row r="270">
          <cell r="C270">
            <v>1000</v>
          </cell>
          <cell r="J270">
            <v>165.56524539989556</v>
          </cell>
        </row>
        <row r="271">
          <cell r="C271">
            <v>1100</v>
          </cell>
          <cell r="J271">
            <v>168.40506295598249</v>
          </cell>
        </row>
        <row r="272">
          <cell r="C272">
            <v>1200</v>
          </cell>
          <cell r="J272">
            <v>171.02308158698884</v>
          </cell>
        </row>
        <row r="273">
          <cell r="C273">
            <v>1300</v>
          </cell>
          <cell r="J273">
            <v>173.45730866754866</v>
          </cell>
        </row>
        <row r="274">
          <cell r="C274">
            <v>1400</v>
          </cell>
          <cell r="J274">
            <v>175.73634787016499</v>
          </cell>
        </row>
        <row r="275">
          <cell r="C275">
            <v>1500</v>
          </cell>
          <cell r="J275">
            <v>177.88212475823929</v>
          </cell>
        </row>
        <row r="276">
          <cell r="C276">
            <v>1600</v>
          </cell>
          <cell r="J276">
            <v>179.91176059479022</v>
          </cell>
        </row>
        <row r="277">
          <cell r="C277">
            <v>1700</v>
          </cell>
          <cell r="J277">
            <v>181.83887425711393</v>
          </cell>
        </row>
        <row r="278">
          <cell r="C278">
            <v>1800</v>
          </cell>
          <cell r="J278">
            <v>183.6744949264951</v>
          </cell>
        </row>
        <row r="279">
          <cell r="C279">
            <v>1900</v>
          </cell>
          <cell r="J279">
            <v>185.427707751025</v>
          </cell>
        </row>
        <row r="280">
          <cell r="C280">
            <v>2000</v>
          </cell>
          <cell r="J280">
            <v>187.1061151884889</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Keq"/>
    </sheetNames>
    <sheetDataSet>
      <sheetData sheetId="0">
        <row r="64">
          <cell r="E64" t="str">
            <v>Qtransl</v>
          </cell>
        </row>
      </sheetData>
      <sheetData sheetId="1">
        <row r="64">
          <cell r="E64" t="str">
            <v>Qtransl</v>
          </cell>
        </row>
      </sheetData>
      <sheetData sheetId="2">
        <row r="64">
          <cell r="E64" t="str">
            <v>Qtransl</v>
          </cell>
        </row>
        <row r="102">
          <cell r="U102">
            <v>298.14999999999998</v>
          </cell>
          <cell r="Z102">
            <v>4.0102420045868308E-6</v>
          </cell>
        </row>
        <row r="103">
          <cell r="U103">
            <v>300</v>
          </cell>
          <cell r="Z103">
            <v>5.0023103638718323E-6</v>
          </cell>
        </row>
        <row r="104">
          <cell r="U104">
            <v>400</v>
          </cell>
          <cell r="Z104">
            <v>4.4427768877759413E-2</v>
          </cell>
        </row>
        <row r="105">
          <cell r="U105">
            <v>500</v>
          </cell>
          <cell r="Z105">
            <v>13.423631185476241</v>
          </cell>
        </row>
        <row r="106">
          <cell r="U106">
            <v>600</v>
          </cell>
          <cell r="Z106">
            <v>725.20635571074808</v>
          </cell>
        </row>
        <row r="107">
          <cell r="U107">
            <v>700</v>
          </cell>
          <cell r="Z107">
            <v>14388.831842912245</v>
          </cell>
        </row>
        <row r="108">
          <cell r="U108">
            <v>800</v>
          </cell>
          <cell r="Z108">
            <v>150907.32802266433</v>
          </cell>
        </row>
        <row r="109">
          <cell r="U109">
            <v>900</v>
          </cell>
          <cell r="Z109">
            <v>1026621.6350634171</v>
          </cell>
        </row>
        <row r="110">
          <cell r="U110">
            <v>1000</v>
          </cell>
          <cell r="Z110">
            <v>5129514.1396994386</v>
          </cell>
        </row>
        <row r="111">
          <cell r="U111">
            <v>1100</v>
          </cell>
          <cell r="Z111">
            <v>20390066.526725184</v>
          </cell>
        </row>
        <row r="112">
          <cell r="U112">
            <v>1200</v>
          </cell>
          <cell r="Z112">
            <v>68048965.630663425</v>
          </cell>
        </row>
        <row r="113">
          <cell r="U113">
            <v>1300</v>
          </cell>
          <cell r="Z113">
            <v>197987375.19490969</v>
          </cell>
        </row>
        <row r="114">
          <cell r="U114">
            <v>1400</v>
          </cell>
          <cell r="Z114">
            <v>516015674.90561867</v>
          </cell>
        </row>
        <row r="115">
          <cell r="U115">
            <v>1500</v>
          </cell>
          <cell r="Z115">
            <v>1229233714.166389</v>
          </cell>
        </row>
        <row r="116">
          <cell r="U116">
            <v>1600</v>
          </cell>
          <cell r="Z116">
            <v>2717511995.3463597</v>
          </cell>
        </row>
        <row r="117">
          <cell r="U117">
            <v>1700</v>
          </cell>
          <cell r="Z117">
            <v>5641429587.1678038</v>
          </cell>
        </row>
        <row r="118">
          <cell r="U118">
            <v>1800</v>
          </cell>
          <cell r="Z118">
            <v>11099670351.951281</v>
          </cell>
        </row>
        <row r="119">
          <cell r="U119">
            <v>1900</v>
          </cell>
          <cell r="Z119">
            <v>20851952797.502457</v>
          </cell>
        </row>
        <row r="120">
          <cell r="U120">
            <v>2000</v>
          </cell>
          <cell r="Z120">
            <v>37627078707.740967</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0336D-0D99-0C4D-BCFA-4062ED217043}">
  <dimension ref="A3:AM280"/>
  <sheetViews>
    <sheetView topLeftCell="A25" zoomScale="144" zoomScaleNormal="144" workbookViewId="0">
      <selection activeCell="G69" sqref="G69"/>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7.5" customWidth="1"/>
    <col min="15" max="15" width="14.1640625" customWidth="1"/>
    <col min="16" max="16" width="24" customWidth="1"/>
    <col min="17" max="17" width="21" customWidth="1"/>
    <col min="18" max="18" width="20" customWidth="1"/>
    <col min="19" max="19" width="14.6640625"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65" t="s">
        <v>147</v>
      </c>
      <c r="B18" s="65"/>
      <c r="C18" s="65"/>
      <c r="D18" s="65"/>
      <c r="E18" s="65"/>
      <c r="F18" s="65"/>
      <c r="G18" s="65"/>
      <c r="H18" s="65"/>
      <c r="I18" s="65"/>
      <c r="J18" s="65"/>
      <c r="K18" s="65"/>
      <c r="L18" s="65"/>
      <c r="M18" s="65"/>
      <c r="N18" s="65"/>
      <c r="O18" s="65"/>
      <c r="P18" s="65"/>
      <c r="Q18" s="65"/>
      <c r="R18" s="65"/>
      <c r="S18" s="65"/>
      <c r="T18" s="65"/>
      <c r="U18" s="65"/>
      <c r="V18" s="65"/>
    </row>
    <row r="19" spans="1:27" ht="17" thickTop="1"/>
    <row r="20" spans="1:27" ht="17" thickBot="1"/>
    <row r="21" spans="1:27" ht="20" thickBot="1">
      <c r="A21" s="66" t="s">
        <v>33</v>
      </c>
      <c r="B21" s="67"/>
      <c r="C21" s="68" t="s">
        <v>34</v>
      </c>
      <c r="D21" s="69"/>
      <c r="E21" s="69"/>
      <c r="F21" s="70"/>
      <c r="G21" s="67"/>
      <c r="H21" s="66" t="s">
        <v>35</v>
      </c>
      <c r="I21" s="67"/>
      <c r="J21" s="67"/>
      <c r="M21" s="67"/>
      <c r="N21" s="67"/>
      <c r="O21" s="71" t="s">
        <v>36</v>
      </c>
      <c r="P21" s="69"/>
      <c r="Q21" s="69"/>
      <c r="R21" s="70"/>
      <c r="S21" s="67"/>
      <c r="T21" s="67"/>
      <c r="U21" s="67"/>
      <c r="V21" s="67"/>
      <c r="W21" s="67"/>
      <c r="X21" s="67"/>
      <c r="Y21" s="67"/>
      <c r="Z21" s="67"/>
      <c r="AA21" s="67"/>
    </row>
    <row r="22" spans="1:27" ht="20" thickBot="1">
      <c r="A22" s="72">
        <v>298.14999999999998</v>
      </c>
      <c r="B22" s="67"/>
      <c r="C22" s="73"/>
      <c r="D22" s="74" t="s">
        <v>37</v>
      </c>
      <c r="E22" s="75" t="s">
        <v>38</v>
      </c>
      <c r="F22" s="76" t="s">
        <v>39</v>
      </c>
      <c r="G22" s="67"/>
      <c r="H22" s="77" t="s">
        <v>40</v>
      </c>
      <c r="I22" s="78" t="s">
        <v>9</v>
      </c>
      <c r="J22" s="78" t="s">
        <v>10</v>
      </c>
      <c r="K22" s="79" t="s">
        <v>7</v>
      </c>
      <c r="L22" s="80" t="s">
        <v>12</v>
      </c>
      <c r="M22" s="67"/>
      <c r="N22" s="67"/>
      <c r="O22" s="81"/>
      <c r="P22" s="82" t="s">
        <v>41</v>
      </c>
      <c r="Q22" s="83" t="s">
        <v>42</v>
      </c>
      <c r="R22" s="84" t="s">
        <v>43</v>
      </c>
      <c r="S22" s="67"/>
      <c r="T22" s="67"/>
      <c r="U22" s="67"/>
      <c r="V22" s="67"/>
      <c r="W22" s="67"/>
      <c r="X22" s="67"/>
      <c r="Y22" s="67"/>
      <c r="Z22" s="67"/>
      <c r="AA22" s="67"/>
    </row>
    <row r="23" spans="1:27" ht="22" thickBot="1">
      <c r="A23" s="67"/>
      <c r="B23" s="67"/>
      <c r="C23" s="85" t="s">
        <v>44</v>
      </c>
      <c r="D23" s="86">
        <v>11.460050000000001</v>
      </c>
      <c r="E23" s="87">
        <v>11.46124</v>
      </c>
      <c r="F23" s="88">
        <v>11.46124</v>
      </c>
      <c r="G23" s="67"/>
      <c r="H23" s="89">
        <v>4.4782000000000002E-2</v>
      </c>
      <c r="I23" s="90">
        <f>H23*$H$7</f>
        <v>28.100839346000004</v>
      </c>
      <c r="J23" s="90">
        <f>H23*$I$7</f>
        <v>117.575141</v>
      </c>
      <c r="K23" s="91">
        <f>H23*$F$7</f>
        <v>1.2185495674</v>
      </c>
      <c r="L23" s="92">
        <f>H23*$K$7</f>
        <v>1.9524952E-19</v>
      </c>
      <c r="M23" s="67"/>
      <c r="N23" s="67"/>
      <c r="O23" s="93" t="s">
        <v>45</v>
      </c>
      <c r="P23" s="94">
        <v>29.901</v>
      </c>
      <c r="Q23" s="95">
        <v>6.4610000000000003</v>
      </c>
      <c r="R23" s="96">
        <v>47.235999999999997</v>
      </c>
      <c r="S23" s="67"/>
      <c r="T23" s="67"/>
      <c r="U23" s="67"/>
      <c r="V23" s="67"/>
      <c r="W23" s="67"/>
      <c r="X23" s="67"/>
      <c r="Y23" s="67"/>
      <c r="Z23" s="67"/>
      <c r="AA23" s="67"/>
    </row>
    <row r="24" spans="1:27" ht="22" thickBot="1">
      <c r="A24" s="66" t="s">
        <v>46</v>
      </c>
      <c r="B24" s="67"/>
      <c r="C24" s="97" t="s">
        <v>47</v>
      </c>
      <c r="D24" s="98">
        <f>D23*$U$9</f>
        <v>1.9023682999999999E-26</v>
      </c>
      <c r="E24" s="99">
        <f t="shared" ref="E24:F24" si="0">E23*$U$9</f>
        <v>1.9025658399999998E-26</v>
      </c>
      <c r="F24" s="100">
        <f t="shared" si="0"/>
        <v>1.9025658399999998E-26</v>
      </c>
      <c r="G24" s="67"/>
      <c r="M24" s="67"/>
      <c r="N24" s="67"/>
      <c r="O24" s="101" t="s">
        <v>48</v>
      </c>
      <c r="P24" s="94">
        <v>0</v>
      </c>
      <c r="Q24" s="95">
        <v>0</v>
      </c>
      <c r="R24" s="96">
        <v>0</v>
      </c>
      <c r="S24" s="67"/>
      <c r="T24" s="67"/>
      <c r="U24" s="67"/>
      <c r="V24" s="67"/>
      <c r="W24" s="67"/>
      <c r="X24" s="67"/>
      <c r="Y24" s="67"/>
      <c r="Z24" s="67"/>
      <c r="AA24" s="67"/>
    </row>
    <row r="25" spans="1:27" ht="22" thickBot="1">
      <c r="A25" s="72">
        <v>1</v>
      </c>
      <c r="B25" s="67"/>
      <c r="C25" s="102" t="s">
        <v>49</v>
      </c>
      <c r="D25" s="103">
        <f>D24*($Q$8)^2</f>
        <v>1.9023682999999999E-46</v>
      </c>
      <c r="E25" s="104">
        <f>E24*($Q$8)^2</f>
        <v>1.9025658400000001E-46</v>
      </c>
      <c r="F25" s="105">
        <f t="shared" ref="F25" si="1">F24*($Q$8)^2</f>
        <v>1.9025658400000001E-46</v>
      </c>
      <c r="G25" s="67"/>
      <c r="M25" s="67"/>
      <c r="N25" s="67"/>
      <c r="O25" s="101" t="s">
        <v>50</v>
      </c>
      <c r="P25" s="94">
        <v>0.88900000000000001</v>
      </c>
      <c r="Q25" s="95">
        <v>2.9809999999999999</v>
      </c>
      <c r="R25" s="96">
        <v>34.261000000000003</v>
      </c>
      <c r="S25" s="67"/>
      <c r="T25" s="67"/>
      <c r="U25" s="67"/>
      <c r="V25" s="67"/>
      <c r="W25" s="67"/>
      <c r="X25" s="67"/>
      <c r="Y25" s="67"/>
      <c r="Z25" s="67"/>
      <c r="AA25" s="67"/>
    </row>
    <row r="26" spans="1:27" ht="20" thickBot="1">
      <c r="A26" s="67"/>
      <c r="B26" s="67"/>
      <c r="C26" s="67"/>
      <c r="D26" s="67"/>
      <c r="E26" s="67"/>
      <c r="F26" s="67"/>
      <c r="G26" s="67"/>
      <c r="H26" s="66" t="s">
        <v>51</v>
      </c>
      <c r="I26" s="67"/>
      <c r="J26" s="67"/>
      <c r="K26" s="67"/>
      <c r="M26" s="67"/>
      <c r="N26" s="67"/>
      <c r="O26" s="101" t="s">
        <v>52</v>
      </c>
      <c r="P26" s="94">
        <v>0.88900000000000001</v>
      </c>
      <c r="Q26" s="95">
        <v>2.9809999999999999</v>
      </c>
      <c r="R26" s="96">
        <v>12.89</v>
      </c>
      <c r="S26" s="67"/>
      <c r="T26" s="67"/>
      <c r="U26" s="67"/>
      <c r="V26" s="67"/>
      <c r="W26" s="67"/>
      <c r="X26" s="67"/>
      <c r="Y26" s="67"/>
      <c r="Z26" s="67"/>
      <c r="AA26" s="67"/>
    </row>
    <row r="27" spans="1:27" ht="20" thickBot="1">
      <c r="A27" s="66" t="s">
        <v>53</v>
      </c>
      <c r="B27" s="67"/>
      <c r="C27" s="66" t="s">
        <v>54</v>
      </c>
      <c r="D27" s="67"/>
      <c r="E27" s="67"/>
      <c r="F27" s="67"/>
      <c r="G27" s="67"/>
      <c r="H27" s="77" t="s">
        <v>40</v>
      </c>
      <c r="I27" s="78" t="s">
        <v>9</v>
      </c>
      <c r="J27" s="78" t="s">
        <v>10</v>
      </c>
      <c r="K27" s="79" t="s">
        <v>7</v>
      </c>
      <c r="L27" s="80" t="s">
        <v>12</v>
      </c>
      <c r="M27" s="67"/>
      <c r="N27" s="67"/>
      <c r="O27" s="106" t="s">
        <v>55</v>
      </c>
      <c r="P27" s="107">
        <v>28.123000000000001</v>
      </c>
      <c r="Q27" s="108">
        <v>0.499</v>
      </c>
      <c r="R27" s="109">
        <v>8.5000000000000006E-2</v>
      </c>
      <c r="S27" s="67"/>
      <c r="T27" s="67"/>
      <c r="U27" s="67"/>
      <c r="V27" s="67"/>
      <c r="W27" s="67"/>
      <c r="X27" s="67"/>
      <c r="Y27" s="67"/>
      <c r="Z27" s="67"/>
      <c r="AA27" s="67"/>
    </row>
    <row r="28" spans="1:27" ht="20" thickBot="1">
      <c r="A28" s="72">
        <v>16.031300000000002</v>
      </c>
      <c r="B28" s="67"/>
      <c r="C28" s="110" t="s">
        <v>37</v>
      </c>
      <c r="D28" s="111" t="s">
        <v>38</v>
      </c>
      <c r="E28" s="112" t="s">
        <v>39</v>
      </c>
      <c r="F28" s="67"/>
      <c r="G28" s="67"/>
      <c r="H28" s="113">
        <v>4.7649999999999998E-2</v>
      </c>
      <c r="I28" s="90">
        <f>H28*$H$7</f>
        <v>29.900517950000001</v>
      </c>
      <c r="J28" s="90">
        <f>H28*$I$7</f>
        <v>125.105075</v>
      </c>
      <c r="K28" s="114">
        <f>H28*$F$7</f>
        <v>1.2965898549999999</v>
      </c>
      <c r="L28" s="92">
        <f>H28*$K$7</f>
        <v>2.0775399999999998E-19</v>
      </c>
      <c r="M28" s="67"/>
      <c r="N28" s="67"/>
      <c r="O28" s="67"/>
      <c r="P28" s="67"/>
      <c r="Q28" s="67"/>
      <c r="R28" s="67"/>
      <c r="S28" s="67"/>
      <c r="T28" s="67"/>
      <c r="U28" s="67"/>
      <c r="V28" s="67"/>
      <c r="W28" s="67"/>
      <c r="X28" s="67"/>
      <c r="Y28" s="67"/>
      <c r="Z28" s="67"/>
      <c r="AA28" s="67"/>
    </row>
    <row r="29" spans="1:27" ht="20" thickBot="1">
      <c r="A29" s="67"/>
      <c r="B29" s="67"/>
      <c r="C29" s="113">
        <v>7.5578900000000004</v>
      </c>
      <c r="D29" s="343">
        <v>7.5571000000000002</v>
      </c>
      <c r="E29" s="327">
        <v>7.5571000000000002</v>
      </c>
      <c r="F29" s="67"/>
      <c r="G29" s="67"/>
      <c r="L29" s="67"/>
      <c r="M29" s="67"/>
      <c r="N29" s="67"/>
      <c r="O29" s="67"/>
      <c r="P29" s="67"/>
      <c r="Q29" s="67"/>
      <c r="R29" s="67"/>
      <c r="S29" s="67"/>
      <c r="T29" s="67"/>
      <c r="U29" s="67"/>
      <c r="V29" s="67"/>
      <c r="W29" s="67"/>
      <c r="X29" s="67"/>
      <c r="Y29" s="67"/>
      <c r="Z29" s="67"/>
      <c r="AA29" s="67"/>
    </row>
    <row r="30" spans="1:27" ht="20" thickBot="1">
      <c r="A30" s="66" t="s">
        <v>57</v>
      </c>
      <c r="B30" s="67"/>
      <c r="F30" s="67"/>
      <c r="G30" s="67"/>
      <c r="M30" s="67"/>
      <c r="O30" s="117" t="s">
        <v>58</v>
      </c>
      <c r="P30" s="118"/>
      <c r="Q30" s="118"/>
      <c r="R30" s="119"/>
      <c r="S30" s="67"/>
      <c r="T30" s="67"/>
      <c r="U30" s="67"/>
      <c r="V30" s="67"/>
      <c r="W30" s="67"/>
      <c r="X30" s="67"/>
      <c r="Y30" s="67"/>
      <c r="Z30" s="67"/>
      <c r="AA30" s="67"/>
    </row>
    <row r="31" spans="1:27" ht="20" thickBot="1">
      <c r="A31" s="72">
        <v>3</v>
      </c>
      <c r="B31" s="67"/>
      <c r="C31" s="66" t="s">
        <v>59</v>
      </c>
      <c r="D31" s="67"/>
      <c r="E31" s="67"/>
      <c r="F31" s="67"/>
      <c r="G31" s="67"/>
      <c r="H31" s="66" t="s">
        <v>60</v>
      </c>
      <c r="I31" s="67"/>
      <c r="J31" s="67"/>
      <c r="K31" s="67"/>
      <c r="L31" s="67"/>
      <c r="M31" s="67"/>
      <c r="N31" s="67"/>
      <c r="O31" s="120"/>
      <c r="P31" s="121" t="s">
        <v>61</v>
      </c>
      <c r="Q31" s="122" t="s">
        <v>62</v>
      </c>
      <c r="R31" s="123" t="s">
        <v>63</v>
      </c>
      <c r="S31" s="67"/>
      <c r="T31" s="67"/>
      <c r="U31" s="67"/>
      <c r="V31" s="67"/>
      <c r="W31" s="67"/>
      <c r="X31" s="67"/>
      <c r="Y31" s="67"/>
      <c r="Z31" s="67"/>
      <c r="AA31" s="67"/>
    </row>
    <row r="32" spans="1:27" ht="20" thickBot="1">
      <c r="A32" s="67"/>
      <c r="B32" s="67"/>
      <c r="C32" s="124" t="s">
        <v>37</v>
      </c>
      <c r="D32" s="124" t="s">
        <v>38</v>
      </c>
      <c r="E32" s="124" t="s">
        <v>39</v>
      </c>
      <c r="F32" s="67"/>
      <c r="G32" s="67"/>
      <c r="H32" s="77" t="s">
        <v>40</v>
      </c>
      <c r="I32" s="78" t="s">
        <v>9</v>
      </c>
      <c r="J32" s="78" t="s">
        <v>10</v>
      </c>
      <c r="K32" s="79" t="s">
        <v>7</v>
      </c>
      <c r="L32" s="80" t="s">
        <v>12</v>
      </c>
      <c r="M32" s="67"/>
      <c r="N32" s="67"/>
      <c r="O32" s="93" t="s">
        <v>48</v>
      </c>
      <c r="P32" s="125">
        <v>1</v>
      </c>
      <c r="Q32" s="126">
        <v>0</v>
      </c>
      <c r="R32" s="126">
        <v>0</v>
      </c>
      <c r="S32" s="67"/>
      <c r="T32" s="67"/>
      <c r="U32" s="67"/>
      <c r="V32" s="67"/>
      <c r="W32" s="67"/>
      <c r="X32" s="67"/>
      <c r="Y32" s="67"/>
      <c r="Z32" s="67"/>
      <c r="AA32" s="67"/>
    </row>
    <row r="33" spans="1:27" ht="20" thickBot="1">
      <c r="A33" s="67"/>
      <c r="B33" s="67"/>
      <c r="C33" s="296">
        <v>157.48105000000001</v>
      </c>
      <c r="D33" s="297">
        <v>157.46467000000001</v>
      </c>
      <c r="E33" s="298">
        <v>157.46467000000001</v>
      </c>
      <c r="F33" s="67"/>
      <c r="G33" s="67"/>
      <c r="H33" s="113">
        <v>4.8593999999999998E-2</v>
      </c>
      <c r="I33" s="90">
        <f>H33*$H$7</f>
        <v>30.492880782</v>
      </c>
      <c r="J33" s="90">
        <f>H33*$I$7</f>
        <v>127.583547</v>
      </c>
      <c r="K33" s="114">
        <f>H33*$F$7</f>
        <v>1.3222767557999999</v>
      </c>
      <c r="L33" s="92">
        <f>H33*$K$7</f>
        <v>2.1186983999999999E-19</v>
      </c>
      <c r="M33" s="67"/>
      <c r="N33" s="67"/>
      <c r="O33" s="101" t="s">
        <v>50</v>
      </c>
      <c r="P33" s="94">
        <v>2522950</v>
      </c>
      <c r="Q33" s="95">
        <v>6.4019079999999997</v>
      </c>
      <c r="R33" s="95">
        <v>14.740938999999999</v>
      </c>
      <c r="S33" s="67"/>
      <c r="T33" s="67"/>
      <c r="U33" s="67"/>
      <c r="V33" s="67"/>
      <c r="W33" s="67"/>
      <c r="X33" s="67"/>
      <c r="Y33" s="67"/>
      <c r="Z33" s="67"/>
      <c r="AA33" s="67"/>
    </row>
    <row r="34" spans="1:27" ht="19">
      <c r="A34" s="67"/>
      <c r="B34" s="67"/>
      <c r="E34" s="67"/>
      <c r="F34" s="67"/>
      <c r="G34" s="67"/>
      <c r="M34" s="67"/>
      <c r="N34" s="67"/>
      <c r="O34" s="101" t="s">
        <v>52</v>
      </c>
      <c r="P34" s="94">
        <v>146.40299999999999</v>
      </c>
      <c r="Q34" s="95">
        <v>2.1655500000000001</v>
      </c>
      <c r="R34" s="95">
        <v>4.986364</v>
      </c>
      <c r="S34" s="67"/>
      <c r="T34" s="67"/>
      <c r="U34" s="67"/>
      <c r="V34" s="67"/>
      <c r="W34" s="67"/>
      <c r="X34" s="67"/>
      <c r="Y34" s="67"/>
      <c r="Z34" s="67"/>
      <c r="AA34" s="67"/>
    </row>
    <row r="35" spans="1:27" ht="19">
      <c r="A35" s="67"/>
      <c r="B35" s="67"/>
      <c r="E35" s="67"/>
      <c r="F35" s="67"/>
      <c r="H35" s="67"/>
      <c r="I35" s="67"/>
      <c r="J35" s="67"/>
      <c r="K35" s="67"/>
      <c r="L35" s="67"/>
      <c r="M35" s="67"/>
      <c r="N35" s="67"/>
      <c r="O35" s="101" t="s">
        <v>64</v>
      </c>
      <c r="P35" s="94">
        <v>9.3664799999999991E-13</v>
      </c>
      <c r="Q35" s="95">
        <v>-12.028423999999999</v>
      </c>
      <c r="R35" s="95">
        <v>-27.696469</v>
      </c>
      <c r="S35" s="67"/>
      <c r="T35" s="67"/>
      <c r="U35" s="67"/>
      <c r="V35" s="67"/>
      <c r="W35" s="67"/>
      <c r="X35" s="67"/>
      <c r="Y35" s="67"/>
      <c r="Z35" s="67"/>
      <c r="AA35" s="67"/>
    </row>
    <row r="36" spans="1:27" ht="20" thickBot="1">
      <c r="A36" s="67"/>
      <c r="B36" s="67"/>
      <c r="C36" s="66" t="s">
        <v>65</v>
      </c>
      <c r="D36" s="67"/>
      <c r="E36" s="67"/>
      <c r="F36" s="67"/>
      <c r="H36" s="66" t="s">
        <v>66</v>
      </c>
      <c r="I36" s="67"/>
      <c r="J36" s="67"/>
      <c r="K36" s="67"/>
      <c r="L36" s="67"/>
      <c r="M36" s="67"/>
      <c r="N36" s="67"/>
      <c r="O36" s="101" t="s">
        <v>67</v>
      </c>
      <c r="P36" s="94">
        <v>371427000</v>
      </c>
      <c r="Q36" s="95">
        <v>8.5698729999999994</v>
      </c>
      <c r="R36" s="95">
        <v>19.732862999999998</v>
      </c>
      <c r="S36" s="67"/>
      <c r="T36" s="67"/>
      <c r="U36" s="67"/>
      <c r="V36" s="67"/>
      <c r="W36" s="67"/>
      <c r="X36" s="67"/>
      <c r="Y36" s="67"/>
      <c r="Z36" s="67"/>
      <c r="AA36" s="67"/>
    </row>
    <row r="37" spans="1:27" ht="20" thickBot="1">
      <c r="A37" s="67"/>
      <c r="B37" s="67"/>
      <c r="C37" s="129" t="s">
        <v>68</v>
      </c>
      <c r="D37" s="130">
        <v>117575.4</v>
      </c>
      <c r="E37" s="67"/>
      <c r="F37" s="67"/>
      <c r="H37" s="77" t="s">
        <v>40</v>
      </c>
      <c r="I37" s="78" t="s">
        <v>9</v>
      </c>
      <c r="J37" s="78" t="s">
        <v>10</v>
      </c>
      <c r="K37" s="80" t="s">
        <v>7</v>
      </c>
      <c r="L37" s="80" t="s">
        <v>12</v>
      </c>
      <c r="M37" s="67"/>
      <c r="N37" s="67"/>
      <c r="O37" s="101" t="s">
        <v>69</v>
      </c>
      <c r="P37" s="94">
        <v>2.5358200000000001E-21</v>
      </c>
      <c r="Q37" s="95">
        <v>-20.595882</v>
      </c>
      <c r="R37" s="95">
        <v>-47.423771000000002</v>
      </c>
      <c r="S37" s="67"/>
      <c r="T37" s="67"/>
      <c r="U37" s="67"/>
      <c r="V37" s="67"/>
      <c r="W37" s="67"/>
      <c r="X37" s="67"/>
      <c r="Y37" s="67"/>
      <c r="Z37" s="67"/>
      <c r="AA37" s="67"/>
    </row>
    <row r="38" spans="1:27" ht="20" thickBot="1">
      <c r="A38" s="67"/>
      <c r="B38" s="67"/>
      <c r="C38" s="131" t="s">
        <v>70</v>
      </c>
      <c r="D38" s="132">
        <v>28.101199999999999</v>
      </c>
      <c r="E38" s="67"/>
      <c r="F38" s="67"/>
      <c r="H38" s="113">
        <v>2.6151000000000001E-2</v>
      </c>
      <c r="I38" s="90">
        <f>H38*$H$7</f>
        <v>16.409830953</v>
      </c>
      <c r="J38" s="90">
        <f>H38*$I$7</f>
        <v>68.659450500000005</v>
      </c>
      <c r="K38" s="114">
        <f>H38*$F$7</f>
        <v>0.71158701570000005</v>
      </c>
      <c r="L38" s="92">
        <f>H38*$K$7</f>
        <v>1.1401835999999999E-19</v>
      </c>
      <c r="M38" s="67"/>
      <c r="N38" s="67"/>
      <c r="O38" s="106" t="s">
        <v>71</v>
      </c>
      <c r="P38" s="94">
        <v>1.0055799999999999</v>
      </c>
      <c r="Q38" s="95">
        <v>2.415E-3</v>
      </c>
      <c r="R38" s="95">
        <v>5.5599999999999998E-3</v>
      </c>
      <c r="S38" s="67"/>
      <c r="T38" s="67"/>
      <c r="U38" s="67"/>
      <c r="V38" s="67"/>
      <c r="W38" s="67"/>
      <c r="X38" s="67"/>
      <c r="Y38" s="67"/>
      <c r="Z38" s="67"/>
      <c r="AA38" s="67"/>
    </row>
    <row r="39" spans="1:27" ht="19">
      <c r="A39" s="67"/>
      <c r="B39" s="67"/>
      <c r="C39" s="67"/>
      <c r="D39" s="67"/>
      <c r="E39" s="67"/>
      <c r="F39" s="67"/>
      <c r="J39" s="67"/>
      <c r="K39" s="67"/>
      <c r="L39" s="67"/>
      <c r="M39" s="67"/>
      <c r="N39" s="67"/>
      <c r="O39" s="133"/>
      <c r="P39" s="67"/>
      <c r="Q39" s="67"/>
      <c r="R39" s="67"/>
      <c r="S39" s="67"/>
      <c r="T39" s="67"/>
      <c r="U39" s="67"/>
      <c r="V39" s="67"/>
      <c r="W39" s="67"/>
      <c r="X39" s="67"/>
      <c r="Y39" s="67"/>
      <c r="Z39" s="67"/>
      <c r="AA39" s="67"/>
    </row>
    <row r="40" spans="1:27" ht="20" thickBot="1">
      <c r="A40" s="67"/>
      <c r="B40" s="67"/>
      <c r="C40" s="67"/>
      <c r="D40" s="67"/>
      <c r="E40" s="67"/>
      <c r="F40" s="67"/>
      <c r="J40" s="67"/>
      <c r="K40" s="67"/>
      <c r="L40" s="67"/>
      <c r="M40" s="67"/>
      <c r="N40" s="67"/>
      <c r="O40" s="133"/>
      <c r="P40" s="67"/>
      <c r="Q40" s="67"/>
      <c r="R40" s="67"/>
      <c r="S40" s="67"/>
      <c r="T40" s="67"/>
      <c r="U40" s="67"/>
      <c r="V40" s="67"/>
      <c r="W40" s="67"/>
      <c r="X40" s="67"/>
      <c r="Y40" s="67"/>
      <c r="Z40" s="67"/>
      <c r="AA40" s="67"/>
    </row>
    <row r="41" spans="1:27" ht="64" customHeight="1" thickBot="1">
      <c r="A41" s="67"/>
      <c r="B41" s="67"/>
      <c r="D41" s="134" t="s">
        <v>72</v>
      </c>
      <c r="E41" s="135" t="s">
        <v>73</v>
      </c>
      <c r="F41" s="136" t="s">
        <v>74</v>
      </c>
      <c r="G41" s="137" t="s">
        <v>75</v>
      </c>
      <c r="I41" s="67"/>
      <c r="J41" s="67"/>
      <c r="K41" s="67"/>
      <c r="L41" s="67"/>
      <c r="M41" s="67"/>
      <c r="N41" s="67"/>
      <c r="O41" s="67"/>
      <c r="P41" s="67"/>
      <c r="Q41" s="67"/>
      <c r="R41" s="67"/>
      <c r="S41" s="67"/>
      <c r="T41" s="67"/>
      <c r="U41" s="67"/>
      <c r="V41" s="67"/>
      <c r="W41" s="67"/>
      <c r="X41" s="67"/>
      <c r="Y41" s="67"/>
      <c r="Z41" s="67"/>
      <c r="AA41" s="67"/>
    </row>
    <row r="42" spans="1:27" ht="19">
      <c r="A42" s="67"/>
      <c r="B42" s="67"/>
      <c r="C42" s="344">
        <v>1</v>
      </c>
      <c r="D42" s="345">
        <v>1938.56</v>
      </c>
      <c r="E42" s="346">
        <v>1347.3658</v>
      </c>
      <c r="F42" s="161">
        <f>E42*$L$9</f>
        <v>40393083527940</v>
      </c>
      <c r="G42" s="347">
        <v>1.1793</v>
      </c>
      <c r="H42" s="140"/>
      <c r="K42" s="67"/>
      <c r="L42" s="67"/>
      <c r="M42" s="67"/>
      <c r="N42" s="67"/>
      <c r="O42" s="67"/>
      <c r="P42" s="67"/>
      <c r="Q42" s="67"/>
      <c r="R42" s="67"/>
      <c r="S42" s="67"/>
      <c r="T42" s="67"/>
      <c r="U42" s="67"/>
      <c r="V42" s="67"/>
      <c r="W42" s="67"/>
      <c r="X42" s="67"/>
      <c r="Y42" s="67"/>
      <c r="Z42" s="67"/>
      <c r="AA42" s="67"/>
    </row>
    <row r="43" spans="1:27" ht="19">
      <c r="A43" s="67"/>
      <c r="B43" s="67"/>
      <c r="C43" s="348">
        <f>C42+1</f>
        <v>2</v>
      </c>
      <c r="D43" s="349">
        <v>1938.56</v>
      </c>
      <c r="E43" s="350">
        <v>1347.367</v>
      </c>
      <c r="F43" s="245">
        <f t="shared" ref="F43:F50" si="2">E43*$L$9</f>
        <v>40393119503100</v>
      </c>
      <c r="G43" s="351">
        <v>1.1793</v>
      </c>
      <c r="H43" s="140"/>
      <c r="K43" s="67"/>
      <c r="L43" s="67"/>
      <c r="M43" s="67"/>
      <c r="N43" s="67"/>
      <c r="O43" s="67"/>
      <c r="P43" s="67"/>
      <c r="Q43" s="67"/>
      <c r="R43" s="67"/>
      <c r="S43" s="67"/>
      <c r="T43" s="67"/>
      <c r="U43" s="67"/>
      <c r="V43" s="67"/>
      <c r="W43" s="67"/>
      <c r="X43" s="67"/>
      <c r="Y43" s="67"/>
      <c r="Z43" s="67"/>
      <c r="AA43" s="67"/>
    </row>
    <row r="44" spans="1:27" ht="20" thickBot="1">
      <c r="A44" s="67"/>
      <c r="B44" s="67"/>
      <c r="C44" s="348">
        <f t="shared" ref="C44:C50" si="3">C43+1</f>
        <v>3</v>
      </c>
      <c r="D44" s="349">
        <v>1939.03</v>
      </c>
      <c r="E44" s="350">
        <v>1347.6918000000001</v>
      </c>
      <c r="F44" s="245">
        <f t="shared" si="2"/>
        <v>40402856779740</v>
      </c>
      <c r="G44" s="351">
        <v>1.1793</v>
      </c>
      <c r="H44" s="140"/>
      <c r="J44" s="142" t="s">
        <v>76</v>
      </c>
      <c r="M44" s="67"/>
      <c r="N44" s="67"/>
      <c r="O44" s="67"/>
      <c r="P44" s="67"/>
      <c r="Q44" s="67"/>
      <c r="R44" s="67"/>
      <c r="S44" s="67"/>
      <c r="T44" s="67"/>
      <c r="U44" s="67"/>
      <c r="V44" s="67"/>
      <c r="W44" s="67"/>
      <c r="X44" s="67"/>
      <c r="Y44" s="67"/>
      <c r="Z44" s="67"/>
      <c r="AA44" s="67"/>
    </row>
    <row r="45" spans="1:27" ht="20" thickBot="1">
      <c r="A45" s="67"/>
      <c r="B45" s="67"/>
      <c r="C45" s="348">
        <f t="shared" si="3"/>
        <v>4</v>
      </c>
      <c r="D45" s="349">
        <v>2249.91</v>
      </c>
      <c r="E45" s="350">
        <v>1563.7654</v>
      </c>
      <c r="F45" s="245">
        <f t="shared" si="2"/>
        <v>46880592056220</v>
      </c>
      <c r="G45" s="351">
        <v>1.0078</v>
      </c>
      <c r="H45" s="140"/>
      <c r="J45" s="143">
        <v>1</v>
      </c>
      <c r="K45" s="305">
        <f>J45+1</f>
        <v>2</v>
      </c>
      <c r="L45" s="144">
        <f>K45+1</f>
        <v>3</v>
      </c>
      <c r="M45" s="67"/>
      <c r="N45" s="67"/>
      <c r="O45" s="67"/>
      <c r="P45" s="67"/>
      <c r="Q45" s="67"/>
      <c r="R45" s="67"/>
      <c r="S45" s="67"/>
      <c r="T45" s="67"/>
      <c r="U45" s="67"/>
      <c r="V45" s="67"/>
      <c r="W45" s="67"/>
      <c r="X45" s="67"/>
      <c r="Y45" s="67"/>
      <c r="Z45" s="67"/>
      <c r="AA45" s="67"/>
    </row>
    <row r="46" spans="1:27" ht="20" thickBot="1">
      <c r="A46" s="67"/>
      <c r="B46" s="67"/>
      <c r="C46" s="348">
        <f t="shared" si="3"/>
        <v>5</v>
      </c>
      <c r="D46" s="349">
        <v>2249.91</v>
      </c>
      <c r="E46" s="350">
        <v>1563.7666999999999</v>
      </c>
      <c r="F46" s="245">
        <f t="shared" si="2"/>
        <v>46880631029310</v>
      </c>
      <c r="G46" s="351">
        <v>1.0078</v>
      </c>
      <c r="H46" s="140"/>
      <c r="J46" s="145">
        <v>-40.5261</v>
      </c>
      <c r="K46" s="306">
        <v>-40.5261</v>
      </c>
      <c r="L46" s="146">
        <v>-40.5261</v>
      </c>
      <c r="M46" s="67"/>
      <c r="N46" s="67"/>
      <c r="O46" s="67"/>
      <c r="P46" s="67"/>
      <c r="Q46" s="67"/>
      <c r="R46" s="67"/>
      <c r="S46" s="67"/>
      <c r="T46" s="67"/>
      <c r="U46" s="67"/>
      <c r="V46" s="67"/>
      <c r="W46" s="67"/>
      <c r="X46" s="67"/>
      <c r="Y46" s="67"/>
      <c r="Z46" s="67"/>
      <c r="AA46" s="67"/>
    </row>
    <row r="47" spans="1:27" ht="19">
      <c r="A47" s="67"/>
      <c r="B47" s="67"/>
      <c r="C47" s="348">
        <f t="shared" si="3"/>
        <v>6</v>
      </c>
      <c r="D47" s="349">
        <v>4369.79</v>
      </c>
      <c r="E47" s="350">
        <v>3037.1588999999999</v>
      </c>
      <c r="F47" s="245">
        <f t="shared" si="2"/>
        <v>91051897810770</v>
      </c>
      <c r="G47" s="351">
        <v>1.0078</v>
      </c>
      <c r="H47" s="140"/>
      <c r="K47" s="67"/>
      <c r="L47" s="67"/>
      <c r="M47" s="67"/>
      <c r="N47" s="67"/>
      <c r="O47" s="67"/>
      <c r="P47" s="67"/>
      <c r="Q47" s="67"/>
      <c r="R47" s="67"/>
      <c r="S47" s="67"/>
      <c r="T47" s="67"/>
      <c r="U47" s="67"/>
      <c r="V47" s="67"/>
      <c r="W47" s="67"/>
      <c r="X47" s="67"/>
      <c r="Y47" s="67"/>
      <c r="Z47" s="67"/>
      <c r="AA47" s="67"/>
    </row>
    <row r="48" spans="1:27" ht="19">
      <c r="A48" s="67"/>
      <c r="B48" s="67"/>
      <c r="C48" s="348">
        <f t="shared" si="3"/>
        <v>7</v>
      </c>
      <c r="D48" s="349">
        <v>4531.91</v>
      </c>
      <c r="E48" s="350">
        <v>3149.8386</v>
      </c>
      <c r="F48" s="245">
        <f t="shared" si="2"/>
        <v>94429956340980</v>
      </c>
      <c r="G48" s="351">
        <v>1.1013999999999999</v>
      </c>
      <c r="H48" s="140"/>
      <c r="K48" s="67"/>
      <c r="L48" s="67"/>
      <c r="M48" s="67"/>
      <c r="N48" s="67"/>
      <c r="O48" s="67"/>
      <c r="P48" s="67"/>
      <c r="Q48" s="67"/>
      <c r="R48" s="67"/>
      <c r="S48" s="67"/>
      <c r="T48" s="67"/>
      <c r="U48" s="67"/>
      <c r="V48" s="67"/>
      <c r="W48" s="67"/>
      <c r="X48" s="67"/>
      <c r="Y48" s="67"/>
      <c r="Z48" s="67"/>
      <c r="AA48" s="67"/>
    </row>
    <row r="49" spans="1:32" ht="19">
      <c r="A49" s="67"/>
      <c r="B49" s="67"/>
      <c r="C49" s="348">
        <f t="shared" si="3"/>
        <v>8</v>
      </c>
      <c r="D49" s="349">
        <v>4531.91</v>
      </c>
      <c r="E49" s="350">
        <v>3149.8388</v>
      </c>
      <c r="F49" s="245">
        <f t="shared" si="2"/>
        <v>94429962336840</v>
      </c>
      <c r="G49" s="351">
        <v>1.1013999999999999</v>
      </c>
      <c r="H49" s="140"/>
      <c r="K49" s="67"/>
      <c r="L49" s="67"/>
      <c r="M49" s="67"/>
      <c r="N49" s="67"/>
      <c r="O49" s="67"/>
      <c r="P49" s="67"/>
      <c r="Q49" s="67"/>
      <c r="R49" s="67"/>
      <c r="S49" s="67"/>
      <c r="T49" s="67"/>
      <c r="U49" s="67"/>
      <c r="V49" s="67"/>
      <c r="W49" s="67"/>
      <c r="X49" s="67"/>
      <c r="Y49" s="67"/>
      <c r="Z49" s="67"/>
      <c r="AA49" s="67"/>
    </row>
    <row r="50" spans="1:32" ht="20" thickBot="1">
      <c r="A50" s="67"/>
      <c r="B50" s="67"/>
      <c r="C50" s="352">
        <f t="shared" si="3"/>
        <v>9</v>
      </c>
      <c r="D50" s="353">
        <v>4532.55</v>
      </c>
      <c r="E50" s="354">
        <v>3150.2815000000001</v>
      </c>
      <c r="F50" s="163">
        <f t="shared" si="2"/>
        <v>94443234172950</v>
      </c>
      <c r="G50" s="355">
        <v>1.1013999999999999</v>
      </c>
      <c r="H50" s="140"/>
      <c r="K50" s="67"/>
      <c r="L50" s="67"/>
      <c r="M50" s="67"/>
      <c r="N50" s="67"/>
      <c r="O50" s="67"/>
      <c r="P50" s="67"/>
      <c r="Q50" s="67"/>
      <c r="R50" s="67"/>
      <c r="S50" s="67"/>
      <c r="T50" s="67"/>
      <c r="U50" s="67"/>
      <c r="V50" s="67"/>
      <c r="W50" s="67"/>
      <c r="X50" s="67"/>
      <c r="Y50" s="67"/>
      <c r="Z50" s="67"/>
      <c r="AA50" s="67"/>
    </row>
    <row r="51" spans="1:32" ht="19">
      <c r="A51" s="67"/>
      <c r="B51" s="67"/>
      <c r="C51" s="67"/>
      <c r="D51" s="67"/>
      <c r="E51" s="67"/>
      <c r="F51" s="67"/>
      <c r="G51" s="67"/>
      <c r="H51" s="67"/>
      <c r="K51" s="67"/>
      <c r="L51" s="67"/>
      <c r="M51" s="67"/>
      <c r="N51" s="67"/>
      <c r="O51" s="67"/>
      <c r="P51" s="67"/>
      <c r="Q51" s="67"/>
      <c r="R51" s="67"/>
      <c r="S51" s="67"/>
      <c r="T51" s="67"/>
      <c r="U51" s="67"/>
      <c r="V51" s="67"/>
      <c r="W51" s="67"/>
      <c r="X51" s="67"/>
      <c r="Y51" s="67"/>
      <c r="Z51" s="67"/>
      <c r="AA51" s="67"/>
    </row>
    <row r="52" spans="1:32" ht="19">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spans="1:32" ht="34" thickBot="1">
      <c r="A53" s="65" t="s">
        <v>148</v>
      </c>
      <c r="B53" s="65"/>
      <c r="C53" s="65"/>
      <c r="D53" s="65"/>
      <c r="E53" s="65"/>
      <c r="F53" s="65"/>
      <c r="G53" s="65"/>
      <c r="H53" s="65"/>
      <c r="I53" s="65"/>
      <c r="J53" s="65"/>
      <c r="K53" s="65"/>
      <c r="L53" s="65"/>
      <c r="M53" s="65"/>
      <c r="N53" s="65"/>
      <c r="O53" s="65"/>
      <c r="P53" s="65"/>
      <c r="Q53" s="65"/>
      <c r="R53" s="65"/>
      <c r="S53" s="65"/>
      <c r="T53" s="65"/>
      <c r="U53" s="65"/>
      <c r="V53" s="65"/>
      <c r="W53" s="67"/>
      <c r="X53" s="67"/>
      <c r="Y53" s="67"/>
      <c r="Z53" s="67"/>
      <c r="AA53" s="67"/>
    </row>
    <row r="54" spans="1:32" ht="20" thickTop="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spans="1:32" ht="19">
      <c r="A55" s="67"/>
      <c r="B55" s="67"/>
      <c r="C55" s="67"/>
      <c r="D55" s="67"/>
      <c r="E55" s="67"/>
      <c r="F55" s="67" t="s">
        <v>78</v>
      </c>
      <c r="G55" s="67"/>
      <c r="H55" s="67"/>
      <c r="I55" s="67"/>
      <c r="J55" s="67"/>
      <c r="K55" s="67"/>
      <c r="L55" s="67"/>
      <c r="M55" s="67"/>
      <c r="N55" s="67"/>
      <c r="O55" s="67"/>
      <c r="Q55" s="67"/>
      <c r="R55" s="67"/>
      <c r="S55" s="67"/>
      <c r="T55" s="67"/>
      <c r="U55" s="67"/>
      <c r="V55" s="67"/>
      <c r="W55" s="67"/>
      <c r="X55" s="67"/>
      <c r="Y55" s="67"/>
      <c r="Z55" s="67"/>
      <c r="AA55" s="67"/>
      <c r="AB55" s="67"/>
      <c r="AC55" s="67"/>
      <c r="AD55" s="67"/>
      <c r="AE55" s="67"/>
      <c r="AF55" s="67"/>
    </row>
    <row r="56" spans="1:32" ht="27">
      <c r="B56" s="67"/>
      <c r="C56" s="148" t="s">
        <v>79</v>
      </c>
      <c r="D56" s="149"/>
      <c r="E56" s="67"/>
      <c r="F56" s="67"/>
      <c r="G56" s="67"/>
      <c r="H56" s="67"/>
      <c r="I56" s="67"/>
      <c r="J56" s="67"/>
      <c r="K56" s="67"/>
      <c r="L56" s="67"/>
      <c r="M56" s="67"/>
      <c r="N56" s="67"/>
      <c r="O56" s="67"/>
      <c r="Q56" s="67"/>
      <c r="R56" s="67"/>
      <c r="S56" s="67"/>
      <c r="T56" s="67"/>
      <c r="U56" s="67"/>
      <c r="V56" s="67"/>
      <c r="W56" s="67"/>
      <c r="X56" s="67"/>
      <c r="Y56" s="67"/>
      <c r="Z56" s="67"/>
      <c r="AA56" s="67"/>
      <c r="AB56" s="67"/>
      <c r="AC56" s="67"/>
      <c r="AD56" s="67"/>
      <c r="AE56" s="67"/>
      <c r="AF56" s="67"/>
    </row>
    <row r="57" spans="1:32" ht="19">
      <c r="B57" s="67"/>
      <c r="C57" s="67"/>
      <c r="D57" s="67"/>
      <c r="E57" s="67"/>
      <c r="F57" s="67"/>
      <c r="G57" s="67"/>
      <c r="H57" s="67"/>
      <c r="I57" s="67"/>
      <c r="J57" s="67"/>
      <c r="K57" s="67"/>
      <c r="L57" s="67"/>
      <c r="M57" s="67"/>
      <c r="N57" s="67"/>
      <c r="O57" s="67"/>
      <c r="Q57" s="67"/>
      <c r="R57" s="67"/>
      <c r="S57" s="67"/>
      <c r="T57" s="67"/>
      <c r="U57" s="67"/>
      <c r="V57" s="67"/>
      <c r="W57" s="67"/>
      <c r="X57" s="67"/>
      <c r="Y57" s="67"/>
      <c r="Z57" s="67"/>
      <c r="AA57" s="67"/>
      <c r="AB57" s="67"/>
      <c r="AC57" s="67"/>
      <c r="AD57" s="67"/>
      <c r="AE57" s="67"/>
      <c r="AF57" s="67"/>
    </row>
    <row r="58" spans="1:32" ht="19">
      <c r="B58" s="67"/>
      <c r="C58" s="67"/>
      <c r="D58" s="67"/>
      <c r="E58" s="67"/>
      <c r="F58" s="67"/>
      <c r="G58" s="67"/>
      <c r="H58" s="67"/>
      <c r="I58" s="67"/>
      <c r="J58" s="67"/>
      <c r="K58" s="67"/>
      <c r="L58" s="67"/>
      <c r="M58" s="67"/>
      <c r="N58" s="67"/>
      <c r="O58" s="67"/>
      <c r="Q58" s="67"/>
      <c r="R58" s="67"/>
      <c r="S58" s="67"/>
      <c r="T58" s="67"/>
      <c r="U58" s="67"/>
      <c r="V58" s="67"/>
      <c r="W58" s="67"/>
      <c r="X58" s="67"/>
      <c r="Y58" s="67"/>
      <c r="Z58" s="67"/>
      <c r="AA58" s="67"/>
      <c r="AB58" s="67"/>
      <c r="AC58" s="67"/>
      <c r="AD58" s="67"/>
      <c r="AE58" s="67"/>
      <c r="AF58" s="67"/>
    </row>
    <row r="59" spans="1:32" ht="19">
      <c r="B59" s="67"/>
      <c r="D59" s="67"/>
      <c r="E59" s="67"/>
      <c r="F59" s="67"/>
      <c r="G59" s="67"/>
      <c r="H59" s="67"/>
      <c r="I59" s="67"/>
      <c r="J59" s="67"/>
      <c r="K59" s="67"/>
      <c r="L59" s="67"/>
      <c r="M59" s="67"/>
      <c r="N59" s="67"/>
      <c r="O59" s="67"/>
      <c r="Q59" s="67"/>
      <c r="R59" s="67"/>
      <c r="S59" s="67"/>
      <c r="T59" s="67"/>
      <c r="U59" s="67"/>
      <c r="V59" s="67"/>
      <c r="W59" s="67"/>
      <c r="X59" s="67"/>
      <c r="Y59" s="67"/>
      <c r="Z59" s="67"/>
      <c r="AA59" s="67"/>
      <c r="AB59" s="67"/>
      <c r="AC59" s="67"/>
      <c r="AD59" s="67"/>
      <c r="AE59" s="67"/>
      <c r="AF59" s="67"/>
    </row>
    <row r="60" spans="1:32" ht="19">
      <c r="B60" s="67"/>
      <c r="C60" s="67"/>
      <c r="D60" s="67"/>
      <c r="E60" s="67"/>
      <c r="F60" s="67"/>
      <c r="G60" s="67"/>
      <c r="H60" s="67"/>
      <c r="I60" s="67"/>
      <c r="J60" s="67"/>
      <c r="K60" s="67"/>
      <c r="L60" s="67"/>
      <c r="M60" s="67"/>
      <c r="N60" s="67"/>
      <c r="O60" s="67"/>
      <c r="Q60" s="67"/>
      <c r="R60" s="67"/>
      <c r="S60" s="67"/>
      <c r="T60" s="67"/>
      <c r="U60" s="67"/>
      <c r="V60" s="67"/>
      <c r="W60" s="67"/>
      <c r="X60" s="67"/>
      <c r="Y60" s="67"/>
      <c r="Z60" s="67"/>
      <c r="AA60" s="67"/>
      <c r="AB60" s="67"/>
      <c r="AC60" s="67"/>
      <c r="AD60" s="67"/>
      <c r="AE60" s="67"/>
      <c r="AF60" s="67"/>
    </row>
    <row r="61" spans="1:32" ht="19">
      <c r="B61" s="67"/>
      <c r="C61" s="67"/>
      <c r="D61" s="67"/>
      <c r="E61" s="67"/>
      <c r="F61" s="67"/>
      <c r="G61" s="67"/>
      <c r="H61" s="67"/>
      <c r="I61" s="67"/>
      <c r="J61" s="67"/>
      <c r="K61" s="67"/>
      <c r="L61" s="67"/>
      <c r="M61" s="67"/>
      <c r="N61" s="67"/>
      <c r="O61" s="67"/>
      <c r="Q61" s="67"/>
      <c r="R61" s="67"/>
      <c r="S61" s="67"/>
      <c r="T61" s="67"/>
      <c r="U61" s="67"/>
      <c r="V61" s="67"/>
      <c r="W61" s="67"/>
      <c r="X61" s="67"/>
      <c r="Y61" s="67"/>
      <c r="Z61" s="67"/>
      <c r="AA61" s="67"/>
      <c r="AB61" s="67"/>
      <c r="AC61" s="67"/>
      <c r="AD61" s="67"/>
      <c r="AE61" s="67"/>
      <c r="AF61" s="67"/>
    </row>
    <row r="62" spans="1:32" ht="19">
      <c r="B62" s="67"/>
      <c r="C62" s="67"/>
      <c r="D62" s="67"/>
      <c r="E62" s="67"/>
      <c r="F62" s="67"/>
      <c r="G62" s="67"/>
      <c r="H62" s="67"/>
      <c r="I62" s="67"/>
      <c r="J62" s="67"/>
      <c r="K62" s="67"/>
      <c r="L62" s="67"/>
      <c r="M62" s="67"/>
      <c r="N62" s="67"/>
      <c r="O62" s="67"/>
      <c r="Q62" s="67"/>
      <c r="R62" s="67"/>
      <c r="S62" s="67"/>
      <c r="T62" s="67"/>
      <c r="U62" s="67"/>
      <c r="V62" s="67"/>
      <c r="W62" s="67"/>
      <c r="X62" s="67"/>
      <c r="Y62" s="67"/>
      <c r="Z62" s="67"/>
      <c r="AA62" s="67"/>
      <c r="AB62" s="67"/>
      <c r="AC62" s="67"/>
      <c r="AD62" s="67"/>
      <c r="AE62" s="67"/>
      <c r="AF62" s="67"/>
    </row>
    <row r="63" spans="1:32" ht="20" thickBot="1">
      <c r="B63" s="67"/>
      <c r="C63" s="67"/>
      <c r="D63" s="67"/>
      <c r="E63" s="67"/>
      <c r="F63" s="67"/>
      <c r="G63" s="67"/>
      <c r="H63" s="67"/>
      <c r="I63" s="67"/>
      <c r="J63" s="67"/>
      <c r="K63" s="67"/>
      <c r="L63" s="67"/>
      <c r="M63" s="67"/>
      <c r="N63" s="67"/>
      <c r="O63" s="67"/>
      <c r="Q63" s="67"/>
      <c r="R63" s="67"/>
      <c r="S63" s="67"/>
      <c r="T63" s="67"/>
      <c r="U63" s="67"/>
      <c r="V63" s="67"/>
      <c r="W63" s="67"/>
      <c r="X63" s="67"/>
      <c r="Y63" s="67"/>
      <c r="Z63" s="67"/>
      <c r="AA63" s="67"/>
      <c r="AB63" s="67"/>
      <c r="AC63" s="67"/>
      <c r="AD63" s="67"/>
      <c r="AE63" s="67"/>
      <c r="AF63" s="67"/>
    </row>
    <row r="64" spans="1:32" ht="30" customHeight="1" thickBot="1">
      <c r="B64" s="67"/>
      <c r="C64" s="150" t="s">
        <v>80</v>
      </c>
      <c r="D64" s="151" t="s">
        <v>81</v>
      </c>
      <c r="E64" s="150" t="s">
        <v>82</v>
      </c>
      <c r="F64" s="67"/>
      <c r="G64" s="67"/>
      <c r="H64" s="152" t="s">
        <v>83</v>
      </c>
      <c r="I64" s="153"/>
      <c r="J64" s="153"/>
      <c r="K64" s="153"/>
      <c r="L64" s="153"/>
      <c r="M64" s="153"/>
      <c r="N64" s="153"/>
      <c r="O64" s="67"/>
      <c r="Q64" s="67"/>
      <c r="R64" s="67"/>
      <c r="S64" s="67"/>
      <c r="T64" s="67"/>
      <c r="U64" s="67"/>
      <c r="V64" s="67"/>
      <c r="W64" s="67"/>
      <c r="X64" s="67"/>
      <c r="Y64" s="67"/>
      <c r="Z64" s="67"/>
      <c r="AA64" s="67"/>
      <c r="AB64" s="67"/>
      <c r="AC64" s="67"/>
      <c r="AD64" s="67"/>
      <c r="AE64" s="67"/>
      <c r="AF64" s="67"/>
    </row>
    <row r="65" spans="2:32" ht="20" thickBot="1">
      <c r="B65" s="67"/>
      <c r="C65" s="154">
        <v>298.14999999999998</v>
      </c>
      <c r="D65" s="155">
        <f t="shared" ref="D65:D83" si="4">C65*$B$8/$B$16</f>
        <v>4.0625788058228471E-26</v>
      </c>
      <c r="E65" s="156">
        <f xml:space="preserve"> (2*PI()*$A$28*$U$9*$B$8*C65/($B$14^2))^(3/2)*D65</f>
        <v>2521719.6110947789</v>
      </c>
      <c r="F65" s="141"/>
      <c r="G65" s="67"/>
      <c r="H65" s="67"/>
      <c r="I65" s="67"/>
      <c r="J65" s="67"/>
      <c r="K65" s="67"/>
      <c r="L65" s="67"/>
      <c r="M65" s="67"/>
      <c r="N65" s="67"/>
      <c r="O65" s="67"/>
      <c r="Q65" s="67"/>
      <c r="R65" s="67"/>
      <c r="S65" s="67"/>
      <c r="T65" s="67"/>
      <c r="U65" s="67"/>
      <c r="V65" s="67"/>
      <c r="W65" s="67"/>
      <c r="X65" s="67"/>
      <c r="Y65" s="67"/>
      <c r="Z65" s="67"/>
      <c r="AA65" s="67"/>
      <c r="AB65" s="67"/>
      <c r="AC65" s="67"/>
      <c r="AD65" s="67"/>
      <c r="AE65" s="67"/>
      <c r="AF65" s="67"/>
    </row>
    <row r="66" spans="2:32" ht="20" thickBot="1">
      <c r="B66" s="67"/>
      <c r="C66" s="154">
        <v>300</v>
      </c>
      <c r="D66" s="155">
        <f t="shared" si="4"/>
        <v>4.0877868245743891E-26</v>
      </c>
      <c r="E66" s="156">
        <f xml:space="preserve"> (2*PI()*$A$28*$U$9*$B$8*C66/($B$14^2))^(3/2)*D66</f>
        <v>2561019.5780483168</v>
      </c>
      <c r="F66" s="67"/>
      <c r="G66" s="67"/>
      <c r="L66" s="150" t="s">
        <v>84</v>
      </c>
      <c r="M66" s="67"/>
      <c r="N66" s="67"/>
      <c r="O66" s="67"/>
      <c r="Q66" s="67"/>
      <c r="R66" s="67"/>
      <c r="S66" s="67"/>
      <c r="T66" s="67"/>
      <c r="U66" s="67"/>
      <c r="V66" s="67"/>
      <c r="W66" s="67"/>
      <c r="X66" s="67"/>
      <c r="Y66" s="67"/>
      <c r="Z66" s="67"/>
      <c r="AA66" s="67"/>
      <c r="AB66" s="67"/>
      <c r="AC66" s="67"/>
      <c r="AD66" s="67"/>
      <c r="AE66" s="67"/>
      <c r="AF66" s="67"/>
    </row>
    <row r="67" spans="2:32" ht="19">
      <c r="B67" s="67"/>
      <c r="C67" s="157">
        <f>C66+100</f>
        <v>400</v>
      </c>
      <c r="D67" s="158">
        <f t="shared" si="4"/>
        <v>5.4503824327658529E-26</v>
      </c>
      <c r="E67" s="159">
        <f t="shared" ref="E67:E83" si="5" xml:space="preserve"> (2*PI()*$A$28*$U$9*$B$8*C67/($B$14^2))^(3/2)*D67</f>
        <v>5257263.4410172841</v>
      </c>
      <c r="F67" s="67"/>
      <c r="G67" s="67"/>
      <c r="K67" s="160" t="s">
        <v>85</v>
      </c>
      <c r="L67" s="161">
        <f>$E$65</f>
        <v>2521719.6110947789</v>
      </c>
      <c r="M67" s="67"/>
      <c r="N67" s="67"/>
      <c r="O67" s="67"/>
      <c r="Q67" s="67"/>
      <c r="R67" s="67"/>
      <c r="S67" s="67"/>
      <c r="T67" s="67"/>
      <c r="U67" s="67"/>
      <c r="V67" s="67"/>
      <c r="W67" s="67"/>
      <c r="X67" s="67"/>
      <c r="Y67" s="67"/>
      <c r="Z67" s="67"/>
      <c r="AA67" s="67"/>
      <c r="AB67" s="67"/>
      <c r="AC67" s="67"/>
      <c r="AD67" s="67"/>
      <c r="AE67" s="67"/>
      <c r="AF67" s="67"/>
    </row>
    <row r="68" spans="2:32" ht="20" thickBot="1">
      <c r="B68" s="67"/>
      <c r="C68" s="157">
        <f t="shared" ref="C68:C83" si="6">C67+100</f>
        <v>500</v>
      </c>
      <c r="D68" s="158">
        <f t="shared" si="4"/>
        <v>6.812978040957315E-26</v>
      </c>
      <c r="E68" s="159">
        <f t="shared" si="5"/>
        <v>9184061.2732337248</v>
      </c>
      <c r="F68" s="67"/>
      <c r="G68" s="67"/>
      <c r="K68" s="162" t="s">
        <v>86</v>
      </c>
      <c r="L68" s="163">
        <f>P33</f>
        <v>2522950</v>
      </c>
      <c r="M68" s="67"/>
      <c r="N68" s="67"/>
      <c r="O68" s="67"/>
      <c r="Q68" s="67"/>
      <c r="R68" s="67"/>
      <c r="S68" s="67"/>
      <c r="T68" s="67"/>
      <c r="U68" s="67"/>
      <c r="V68" s="67"/>
      <c r="W68" s="67"/>
      <c r="X68" s="67"/>
      <c r="Y68" s="67"/>
      <c r="Z68" s="67"/>
      <c r="AA68" s="67"/>
      <c r="AB68" s="67"/>
      <c r="AC68" s="67"/>
      <c r="AD68" s="67"/>
      <c r="AE68" s="67"/>
      <c r="AF68" s="67"/>
    </row>
    <row r="69" spans="2:32" ht="22">
      <c r="B69" s="67"/>
      <c r="C69" s="157">
        <f t="shared" si="6"/>
        <v>600</v>
      </c>
      <c r="D69" s="158">
        <f t="shared" si="4"/>
        <v>8.1755736491487783E-26</v>
      </c>
      <c r="E69" s="159">
        <f t="shared" si="5"/>
        <v>14487314.483115843</v>
      </c>
      <c r="F69" s="67"/>
      <c r="G69" s="67"/>
      <c r="H69" s="67"/>
      <c r="I69" s="67"/>
      <c r="K69" s="164" t="s">
        <v>87</v>
      </c>
      <c r="L69" s="165">
        <f>ABS(L67-L68)/L67</f>
        <v>4.8791661840904269E-4</v>
      </c>
      <c r="M69" s="67"/>
      <c r="N69" s="67"/>
      <c r="O69" s="67"/>
      <c r="Q69" s="67"/>
      <c r="R69" s="67"/>
      <c r="S69" s="67"/>
      <c r="T69" s="67"/>
      <c r="U69" s="67"/>
      <c r="V69" s="67"/>
      <c r="W69" s="67"/>
      <c r="X69" s="67"/>
      <c r="Y69" s="67"/>
      <c r="Z69" s="67"/>
      <c r="AA69" s="67"/>
      <c r="AB69" s="67"/>
      <c r="AC69" s="67"/>
      <c r="AD69" s="67"/>
      <c r="AE69" s="67"/>
      <c r="AF69" s="67"/>
    </row>
    <row r="70" spans="2:32" ht="19">
      <c r="B70" s="67"/>
      <c r="C70" s="157">
        <f t="shared" si="6"/>
        <v>700</v>
      </c>
      <c r="D70" s="158">
        <f t="shared" si="4"/>
        <v>9.5381692573402415E-26</v>
      </c>
      <c r="E70" s="159">
        <f t="shared" si="5"/>
        <v>21298786.576327905</v>
      </c>
      <c r="F70" s="67"/>
      <c r="G70" s="67"/>
      <c r="Q70" s="67"/>
      <c r="R70" s="67"/>
      <c r="S70" s="67"/>
      <c r="T70" s="67"/>
      <c r="U70" s="67"/>
      <c r="V70" s="67"/>
      <c r="W70" s="67"/>
      <c r="X70" s="67"/>
      <c r="Y70" s="67"/>
      <c r="Z70" s="67"/>
      <c r="AA70" s="67"/>
      <c r="AB70" s="67"/>
      <c r="AC70" s="67"/>
      <c r="AD70" s="67"/>
      <c r="AE70" s="67"/>
      <c r="AF70" s="67"/>
    </row>
    <row r="71" spans="2:32" ht="19">
      <c r="B71" s="67"/>
      <c r="C71" s="157">
        <f t="shared" si="6"/>
        <v>800</v>
      </c>
      <c r="D71" s="158">
        <f t="shared" si="4"/>
        <v>1.0900764865531706E-25</v>
      </c>
      <c r="E71" s="159">
        <f t="shared" si="5"/>
        <v>29739573.03701964</v>
      </c>
      <c r="F71" s="67"/>
      <c r="G71" s="67"/>
      <c r="Q71" s="67"/>
      <c r="R71" s="67"/>
      <c r="S71" s="67"/>
      <c r="T71" s="67"/>
      <c r="U71" s="67"/>
      <c r="V71" s="67"/>
      <c r="W71" s="67"/>
      <c r="X71" s="67"/>
      <c r="Y71" s="67"/>
      <c r="Z71" s="67"/>
      <c r="AA71" s="67"/>
      <c r="AB71" s="67"/>
      <c r="AC71" s="67"/>
      <c r="AD71" s="67"/>
      <c r="AE71" s="67"/>
      <c r="AF71" s="67"/>
    </row>
    <row r="72" spans="2:32" ht="19">
      <c r="B72" s="67"/>
      <c r="C72" s="157">
        <f t="shared" si="6"/>
        <v>900</v>
      </c>
      <c r="D72" s="158">
        <f t="shared" si="4"/>
        <v>1.2263360473723168E-25</v>
      </c>
      <c r="E72" s="159">
        <f t="shared" si="5"/>
        <v>39922344.255225062</v>
      </c>
      <c r="F72" s="67"/>
      <c r="G72" s="67"/>
      <c r="Q72" s="67"/>
      <c r="R72" s="67"/>
      <c r="S72" s="67"/>
      <c r="T72" s="67"/>
      <c r="U72" s="67"/>
      <c r="V72" s="67"/>
      <c r="W72" s="67"/>
      <c r="X72" s="67"/>
      <c r="Y72" s="67"/>
      <c r="Z72" s="67"/>
      <c r="AA72" s="67"/>
      <c r="AB72" s="67"/>
      <c r="AC72" s="67"/>
      <c r="AD72" s="67"/>
      <c r="AE72" s="67"/>
      <c r="AF72" s="67"/>
    </row>
    <row r="73" spans="2:32" ht="19">
      <c r="C73" s="157">
        <f t="shared" si="6"/>
        <v>1000</v>
      </c>
      <c r="D73" s="158">
        <f t="shared" si="4"/>
        <v>1.362595608191463E-25</v>
      </c>
      <c r="E73" s="159">
        <f t="shared" si="5"/>
        <v>51952896.041090004</v>
      </c>
    </row>
    <row r="74" spans="2:32" ht="19">
      <c r="C74" s="157">
        <f t="shared" si="6"/>
        <v>1100</v>
      </c>
      <c r="D74" s="158">
        <f t="shared" si="4"/>
        <v>1.4988551690106094E-25</v>
      </c>
      <c r="E74" s="159">
        <f t="shared" si="5"/>
        <v>65931275.037711106</v>
      </c>
    </row>
    <row r="75" spans="2:32" ht="19">
      <c r="C75" s="157">
        <f t="shared" si="6"/>
        <v>1200</v>
      </c>
      <c r="D75" s="158">
        <f t="shared" si="4"/>
        <v>1.6351147298297557E-25</v>
      </c>
      <c r="E75" s="159">
        <f t="shared" si="5"/>
        <v>81952626.497546583</v>
      </c>
    </row>
    <row r="76" spans="2:32" ht="19">
      <c r="C76" s="157">
        <f t="shared" si="6"/>
        <v>1300</v>
      </c>
      <c r="D76" s="158">
        <f t="shared" si="4"/>
        <v>1.7713742906489019E-25</v>
      </c>
      <c r="E76" s="159">
        <f t="shared" si="5"/>
        <v>100107851.90564039</v>
      </c>
    </row>
    <row r="77" spans="2:32" ht="19">
      <c r="C77" s="157">
        <f t="shared" si="6"/>
        <v>1400</v>
      </c>
      <c r="D77" s="158">
        <f t="shared" si="4"/>
        <v>1.9076338514680483E-25</v>
      </c>
      <c r="E77" s="159">
        <f t="shared" si="5"/>
        <v>120484131.35333039</v>
      </c>
    </row>
    <row r="78" spans="2:32" ht="19">
      <c r="C78" s="157">
        <f t="shared" si="6"/>
        <v>1500</v>
      </c>
      <c r="D78" s="158">
        <f t="shared" si="4"/>
        <v>2.043893412287195E-25</v>
      </c>
      <c r="E78" s="159">
        <f t="shared" si="5"/>
        <v>143165346.70559824</v>
      </c>
    </row>
    <row r="79" spans="2:32" ht="19">
      <c r="C79" s="157">
        <f t="shared" si="6"/>
        <v>1600</v>
      </c>
      <c r="D79" s="158">
        <f t="shared" si="4"/>
        <v>2.1801529731063412E-25</v>
      </c>
      <c r="E79" s="159">
        <f t="shared" si="5"/>
        <v>168232430.11255404</v>
      </c>
    </row>
    <row r="80" spans="2:32" ht="19">
      <c r="C80" s="157">
        <f t="shared" si="6"/>
        <v>1700</v>
      </c>
      <c r="D80" s="158">
        <f t="shared" si="4"/>
        <v>2.3164125339254876E-25</v>
      </c>
      <c r="E80" s="159">
        <f t="shared" si="5"/>
        <v>195763655.11076817</v>
      </c>
    </row>
    <row r="81" spans="3:31" ht="19">
      <c r="C81" s="157">
        <f t="shared" si="6"/>
        <v>1800</v>
      </c>
      <c r="D81" s="158">
        <f t="shared" si="4"/>
        <v>2.4526720947446336E-25</v>
      </c>
      <c r="E81" s="159">
        <f t="shared" si="5"/>
        <v>225834882.74986503</v>
      </c>
    </row>
    <row r="82" spans="3:31" ht="19">
      <c r="C82" s="157">
        <f t="shared" si="6"/>
        <v>1900</v>
      </c>
      <c r="D82" s="158">
        <f t="shared" si="4"/>
        <v>2.58893165556378E-25</v>
      </c>
      <c r="E82" s="159">
        <f t="shared" si="5"/>
        <v>258519771.9152036</v>
      </c>
    </row>
    <row r="83" spans="3:31" ht="20" thickBot="1">
      <c r="C83" s="166">
        <f t="shared" si="6"/>
        <v>2000</v>
      </c>
      <c r="D83" s="167">
        <f t="shared" si="4"/>
        <v>2.725191216382926E-25</v>
      </c>
      <c r="E83" s="168">
        <f t="shared" si="5"/>
        <v>293889960.74347669</v>
      </c>
    </row>
    <row r="92" spans="3:31" ht="22" customHeight="1">
      <c r="F92" s="67" t="s">
        <v>78</v>
      </c>
      <c r="AD92" s="67" t="s">
        <v>78</v>
      </c>
    </row>
    <row r="93" spans="3:31" ht="27">
      <c r="C93" s="148" t="s">
        <v>88</v>
      </c>
      <c r="D93" s="169"/>
      <c r="E93" s="67"/>
      <c r="F93" s="67"/>
      <c r="G93" s="67"/>
      <c r="Z93" s="170" t="s">
        <v>89</v>
      </c>
      <c r="AA93" s="170"/>
      <c r="AB93" s="170"/>
      <c r="AC93" s="67"/>
      <c r="AD93" s="67"/>
      <c r="AE93" s="67"/>
    </row>
    <row r="94" spans="3:31" ht="19">
      <c r="E94" s="67"/>
      <c r="G94" s="67"/>
      <c r="AC94" s="67"/>
      <c r="AE94" s="67"/>
    </row>
    <row r="95" spans="3:31" ht="20" thickBot="1">
      <c r="E95" s="67"/>
      <c r="F95" s="67"/>
      <c r="G95" s="67"/>
    </row>
    <row r="96" spans="3:31" ht="20" thickBot="1">
      <c r="C96" s="171" t="s">
        <v>90</v>
      </c>
      <c r="E96" s="67"/>
      <c r="F96" s="67"/>
      <c r="G96" s="67"/>
    </row>
    <row r="97" spans="3:39" ht="22" thickBot="1">
      <c r="C97" s="172" t="s">
        <v>91</v>
      </c>
      <c r="D97" s="356" cm="1">
        <f t="array" ref="D97">INDEX($E:$E,(COLUMN(D97)-4)*1+42)</f>
        <v>1347.3658</v>
      </c>
      <c r="E97" s="356" cm="1">
        <f t="array" ref="E97">INDEX($E:$E,(COLUMN(E97)-4)*1+42)</f>
        <v>1347.367</v>
      </c>
      <c r="F97" s="356" cm="1">
        <f t="array" ref="F97">INDEX($E:$E,(COLUMN(F97)-4)*1+42)</f>
        <v>1347.6918000000001</v>
      </c>
      <c r="G97" s="356" cm="1">
        <f t="array" ref="G97">INDEX($E:$E,(COLUMN(G97)-4)*1+42)</f>
        <v>1563.7654</v>
      </c>
      <c r="H97" s="356" cm="1">
        <f t="array" ref="H97">INDEX($E:$E,(COLUMN(H97)-4)*1+42)</f>
        <v>1563.7666999999999</v>
      </c>
      <c r="I97" s="356" cm="1">
        <f t="array" ref="I97">INDEX($E:$E,(COLUMN(I97)-4)*1+42)</f>
        <v>3037.1588999999999</v>
      </c>
      <c r="J97" s="356" cm="1">
        <f t="array" ref="J97">INDEX($E:$E,(COLUMN(J97)-4)*1+42)</f>
        <v>3149.8386</v>
      </c>
      <c r="K97" s="356" cm="1">
        <f t="array" ref="K97">INDEX($E:$E,(COLUMN(K97)-4)*1+42)</f>
        <v>3149.8388</v>
      </c>
      <c r="L97" s="132" cm="1">
        <f t="array" ref="L97">INDEX($E:$E,(COLUMN(L97)-4)*1+42)</f>
        <v>3150.2815000000001</v>
      </c>
      <c r="Q97" s="176" t="s">
        <v>93</v>
      </c>
      <c r="R97" s="177" cm="1">
        <f t="array" ref="R97">SUM(($B$14*$D$98:$L$98)/2)*$H$13</f>
        <v>28.114395933002374</v>
      </c>
    </row>
    <row r="98" spans="3:39" ht="20" thickBot="1">
      <c r="C98" s="174" t="s">
        <v>92</v>
      </c>
      <c r="D98" s="290">
        <f>D97*$L$9</f>
        <v>40393083527940</v>
      </c>
      <c r="E98" s="290">
        <f t="shared" ref="E98:L98" si="7">E97*$L$9</f>
        <v>40393119503100</v>
      </c>
      <c r="F98" s="290">
        <f t="shared" si="7"/>
        <v>40402856779740</v>
      </c>
      <c r="G98" s="290">
        <f t="shared" si="7"/>
        <v>46880592056220</v>
      </c>
      <c r="H98" s="290">
        <f t="shared" si="7"/>
        <v>46880631029310</v>
      </c>
      <c r="I98" s="290">
        <f t="shared" si="7"/>
        <v>91051897810770</v>
      </c>
      <c r="J98" s="290">
        <f t="shared" si="7"/>
        <v>94429956340980</v>
      </c>
      <c r="K98" s="290">
        <f t="shared" si="7"/>
        <v>94429962336840</v>
      </c>
      <c r="L98" s="290">
        <f t="shared" si="7"/>
        <v>94443234172950</v>
      </c>
      <c r="P98" s="357"/>
      <c r="Q98" s="67"/>
    </row>
    <row r="99" spans="3:39" ht="17" thickBot="1"/>
    <row r="100" spans="3:39" ht="30" customHeight="1" thickBot="1">
      <c r="C100" s="178" t="s">
        <v>94</v>
      </c>
      <c r="D100" s="358"/>
      <c r="E100" s="358"/>
      <c r="F100" s="358"/>
      <c r="G100" s="358"/>
      <c r="H100" s="358"/>
      <c r="I100" s="358"/>
      <c r="J100" s="358"/>
      <c r="K100" s="358"/>
      <c r="L100" s="359"/>
      <c r="M100" s="180" t="s">
        <v>95</v>
      </c>
    </row>
    <row r="101" spans="3:39" ht="38" customHeight="1" thickBot="1">
      <c r="C101" s="181" t="s">
        <v>96</v>
      </c>
      <c r="D101" s="221">
        <v>1</v>
      </c>
      <c r="E101" s="360">
        <f t="shared" ref="E101:L101" si="8">D101+1</f>
        <v>2</v>
      </c>
      <c r="F101" s="360">
        <f t="shared" si="8"/>
        <v>3</v>
      </c>
      <c r="G101" s="360">
        <f t="shared" si="8"/>
        <v>4</v>
      </c>
      <c r="H101" s="360">
        <f t="shared" si="8"/>
        <v>5</v>
      </c>
      <c r="I101" s="360">
        <f t="shared" si="8"/>
        <v>6</v>
      </c>
      <c r="J101" s="360">
        <f t="shared" si="8"/>
        <v>7</v>
      </c>
      <c r="K101" s="360">
        <f t="shared" si="8"/>
        <v>8</v>
      </c>
      <c r="L101" s="361">
        <f t="shared" si="8"/>
        <v>9</v>
      </c>
      <c r="M101" s="229"/>
      <c r="P101" s="152" t="s">
        <v>83</v>
      </c>
      <c r="Q101" s="153"/>
      <c r="R101" s="153"/>
      <c r="S101" s="153"/>
      <c r="T101" s="153"/>
      <c r="U101" s="67"/>
      <c r="V101" s="67"/>
      <c r="Z101" s="185" t="s">
        <v>80</v>
      </c>
      <c r="AA101" s="186" t="s">
        <v>97</v>
      </c>
      <c r="AB101" s="187" t="s">
        <v>98</v>
      </c>
      <c r="AC101" s="187" t="s">
        <v>149</v>
      </c>
      <c r="AD101" s="188" t="s">
        <v>100</v>
      </c>
      <c r="AE101" s="189" t="s">
        <v>101</v>
      </c>
      <c r="AG101" s="190" t="s">
        <v>83</v>
      </c>
      <c r="AH101" s="190"/>
      <c r="AI101" s="190"/>
      <c r="AJ101" s="190"/>
      <c r="AK101" s="190"/>
      <c r="AL101" s="190"/>
      <c r="AM101" s="190"/>
    </row>
    <row r="102" spans="3:39" ht="20" thickBot="1">
      <c r="C102" s="176">
        <v>298.14999999999998</v>
      </c>
      <c r="D102" s="362">
        <f>1/(1-EXP(-($B$14*D$98)/($B$8*$C102)))</f>
        <v>1.001502745885702</v>
      </c>
      <c r="E102" s="363">
        <f t="shared" ref="E102:L102" si="9">1/(1-EXP(-($B$14*E$98)/($B$8*$C102)))</f>
        <v>1.0015027371705163</v>
      </c>
      <c r="F102" s="363">
        <f t="shared" si="9"/>
        <v>1.0015003801203535</v>
      </c>
      <c r="G102" s="363">
        <f t="shared" si="9"/>
        <v>1.0005283714942226</v>
      </c>
      <c r="H102" s="363">
        <f t="shared" si="9"/>
        <v>1.0005283681778008</v>
      </c>
      <c r="I102" s="363">
        <f t="shared" si="9"/>
        <v>1.0000004313389701</v>
      </c>
      <c r="J102" s="363">
        <f t="shared" si="9"/>
        <v>1.0000002504194572</v>
      </c>
      <c r="K102" s="363">
        <f t="shared" si="9"/>
        <v>1.0000002504192154</v>
      </c>
      <c r="L102" s="364">
        <f t="shared" si="9"/>
        <v>1.0000002498848082</v>
      </c>
      <c r="M102" s="365">
        <f xml:space="preserve"> PRODUCT(D102:L102)</f>
        <v>1.0055756116022561</v>
      </c>
      <c r="N102" s="366"/>
      <c r="Z102" s="176">
        <v>298.14999999999998</v>
      </c>
      <c r="AA102" s="194">
        <f>$E65</f>
        <v>2521719.6110947789</v>
      </c>
      <c r="AB102" s="195" cm="1">
        <f t="array" ref="AB102">PRODUCT(EXP(-($B$14*$D$98:$L$98)/(2*$B$8*$Z102))/(1-EXP(-($B$14*$D$98:$L$98)/($B$8*$Z102))))</f>
        <v>2.5355808117016426E-21</v>
      </c>
      <c r="AC102" s="196">
        <f>$E137</f>
        <v>146.40315964100756</v>
      </c>
      <c r="AD102" s="197">
        <f>$D175</f>
        <v>1</v>
      </c>
      <c r="AE102" s="198">
        <f>PRODUCT(AA102:AD102)</f>
        <v>9.3610529568735256E-13</v>
      </c>
    </row>
    <row r="103" spans="3:39" ht="22" thickBot="1">
      <c r="C103" s="199">
        <v>300</v>
      </c>
      <c r="D103" s="367">
        <f t="shared" ref="D103:L120" si="10">1/(1-EXP(-($B$14*D$98)/($B$8*$C103)))</f>
        <v>1.0015643195579438</v>
      </c>
      <c r="E103" s="367">
        <f t="shared" si="10"/>
        <v>1.0015643105410525</v>
      </c>
      <c r="F103" s="367">
        <f t="shared" si="10"/>
        <v>1.0015618718819772</v>
      </c>
      <c r="G103" s="367">
        <f t="shared" si="10"/>
        <v>1.0005535543466593</v>
      </c>
      <c r="H103" s="367">
        <f t="shared" si="10"/>
        <v>1.0005535508935117</v>
      </c>
      <c r="I103" s="367">
        <f t="shared" si="10"/>
        <v>1.0000004721398603</v>
      </c>
      <c r="J103" s="367">
        <f t="shared" si="10"/>
        <v>1.00000027502761</v>
      </c>
      <c r="K103" s="367">
        <f t="shared" si="10"/>
        <v>1.000000275027346</v>
      </c>
      <c r="L103" s="367">
        <f t="shared" si="10"/>
        <v>1.0000002744440393</v>
      </c>
      <c r="M103" s="316">
        <f t="shared" ref="M103:M120" si="11" xml:space="preserve"> PRODUCT(D103:L103)</f>
        <v>1.0058117576803012</v>
      </c>
      <c r="N103" s="368"/>
      <c r="R103" s="150" t="s">
        <v>102</v>
      </c>
      <c r="S103" s="150" t="s">
        <v>103</v>
      </c>
      <c r="T103" s="369" t="s">
        <v>104</v>
      </c>
      <c r="Z103" s="199">
        <v>300</v>
      </c>
      <c r="AA103" s="202">
        <f t="shared" ref="AA103:AA120" si="12">$E66</f>
        <v>2561019.5780483168</v>
      </c>
      <c r="AB103" s="67" cm="1">
        <f t="array" ref="AB103">PRODUCT(EXP(-($B$14*$D$98:$L$98)/(2*$B$8*$Z103))/(1-EXP(-($B$14*$D$98:$L$98)/($B$8*$Z103))))</f>
        <v>3.3978367772632512E-21</v>
      </c>
      <c r="AC103" s="141">
        <f t="shared" ref="AC103:AC120" si="13">$E138</f>
        <v>147.76790334428063</v>
      </c>
      <c r="AD103" s="203">
        <f t="shared" ref="AD103:AD120" si="14">$D176</f>
        <v>1</v>
      </c>
      <c r="AE103" s="317">
        <f t="shared" ref="AE103:AE120" si="15">PRODUCT(AA103:AD103)</f>
        <v>1.28586543537721E-12</v>
      </c>
    </row>
    <row r="104" spans="3:39" ht="20" thickBot="1">
      <c r="C104" s="204">
        <f>C103+100</f>
        <v>400</v>
      </c>
      <c r="D104" s="367">
        <f t="shared" si="10"/>
        <v>1.0079188210319143</v>
      </c>
      <c r="E104" s="367">
        <f t="shared" si="10"/>
        <v>1.0079187865810466</v>
      </c>
      <c r="F104" s="367">
        <f t="shared" si="10"/>
        <v>1.0079094674309652</v>
      </c>
      <c r="G104" s="367">
        <f t="shared" si="10"/>
        <v>1.0036204240020374</v>
      </c>
      <c r="H104" s="367">
        <f t="shared" si="10"/>
        <v>1.0036204070115811</v>
      </c>
      <c r="I104" s="367">
        <f t="shared" si="10"/>
        <v>1.0000180119473601</v>
      </c>
      <c r="J104" s="367">
        <f t="shared" si="10"/>
        <v>1.0000120098434726</v>
      </c>
      <c r="K104" s="367">
        <f t="shared" si="10"/>
        <v>1.0000120098348328</v>
      </c>
      <c r="L104" s="367">
        <f t="shared" si="10"/>
        <v>1.0000119907257512</v>
      </c>
      <c r="M104" s="316">
        <f t="shared" si="11"/>
        <v>1.0314188286923798</v>
      </c>
      <c r="N104" s="368"/>
      <c r="Q104" s="160" t="s">
        <v>85</v>
      </c>
      <c r="R104" s="161">
        <f>M102</f>
        <v>1.0055756116022561</v>
      </c>
      <c r="S104" s="370">
        <f>M124</f>
        <v>2.5355808117016426E-21</v>
      </c>
      <c r="T104" s="206">
        <f>R97</f>
        <v>28.114395933002374</v>
      </c>
      <c r="Z104" s="204">
        <f>Z103+100</f>
        <v>400</v>
      </c>
      <c r="AA104" s="202">
        <f t="shared" si="12"/>
        <v>5257263.4410172841</v>
      </c>
      <c r="AB104" s="67" cm="1">
        <f t="array" ref="AB104">PRODUCT(EXP(-($B$14*$D$98:$L$98)/(2*$B$8*$Z104))/(1-EXP(-($B$14*$D$98:$L$98)/($B$8*$Z104))))</f>
        <v>4.5703494617055732E-16</v>
      </c>
      <c r="AC104" s="141">
        <f t="shared" si="13"/>
        <v>227.50357006241873</v>
      </c>
      <c r="AD104" s="203">
        <f t="shared" si="14"/>
        <v>1</v>
      </c>
      <c r="AE104" s="317">
        <f t="shared" si="15"/>
        <v>5.4663491136121635E-7</v>
      </c>
    </row>
    <row r="105" spans="3:39" ht="23" thickBot="1">
      <c r="C105" s="204">
        <f t="shared" ref="C105:C120" si="16">C104+100</f>
        <v>500</v>
      </c>
      <c r="D105" s="367">
        <f t="shared" si="10"/>
        <v>1.0211483663613727</v>
      </c>
      <c r="E105" s="367">
        <f t="shared" si="10"/>
        <v>1.0211482917903822</v>
      </c>
      <c r="F105" s="367">
        <f t="shared" si="10"/>
        <v>1.0211281177731237</v>
      </c>
      <c r="G105" s="367">
        <f t="shared" si="10"/>
        <v>1.0112358102526948</v>
      </c>
      <c r="H105" s="367">
        <f t="shared" si="10"/>
        <v>1.0112357677493473</v>
      </c>
      <c r="I105" s="367">
        <f t="shared" si="10"/>
        <v>1.0001601444239401</v>
      </c>
      <c r="J105" s="367">
        <f t="shared" si="10"/>
        <v>1.0001157913159733</v>
      </c>
      <c r="K105" s="367">
        <f t="shared" si="10"/>
        <v>1.0001157912493264</v>
      </c>
      <c r="L105" s="367">
        <f t="shared" si="10"/>
        <v>1.0001156438204133</v>
      </c>
      <c r="M105" s="316">
        <f t="shared" si="11"/>
        <v>1.089389272054446</v>
      </c>
      <c r="N105" s="368"/>
      <c r="Q105" s="162" t="s">
        <v>86</v>
      </c>
      <c r="R105" s="163">
        <f>P38</f>
        <v>1.0055799999999999</v>
      </c>
      <c r="S105" s="371">
        <f>P37</f>
        <v>2.5358200000000001E-21</v>
      </c>
      <c r="T105" s="318">
        <f>D38</f>
        <v>28.101199999999999</v>
      </c>
      <c r="Z105" s="204">
        <f t="shared" ref="Z105:Z120" si="17">Z104+100</f>
        <v>500</v>
      </c>
      <c r="AA105" s="202">
        <f t="shared" si="12"/>
        <v>9184061.2732337248</v>
      </c>
      <c r="AB105" s="67" cm="1">
        <f t="array" ref="AB105">PRODUCT(EXP(-($B$14*$D$98:$L$98)/(2*$B$8*$Z105))/(1-EXP(-($B$14*$D$98:$L$98)/($B$8*$Z105))))</f>
        <v>5.6806048065785407E-13</v>
      </c>
      <c r="AC105" s="141">
        <f t="shared" si="13"/>
        <v>317.9459048646591</v>
      </c>
      <c r="AD105" s="203">
        <f t="shared" si="14"/>
        <v>1</v>
      </c>
      <c r="AE105" s="317">
        <f t="shared" si="15"/>
        <v>1.6587562992291475E-3</v>
      </c>
      <c r="AJ105" s="150" t="s">
        <v>105</v>
      </c>
      <c r="AK105" s="208" t="s">
        <v>106</v>
      </c>
    </row>
    <row r="106" spans="3:39" ht="23" thickBot="1">
      <c r="C106" s="204">
        <f t="shared" si="16"/>
        <v>600</v>
      </c>
      <c r="D106" s="367">
        <f t="shared" si="10"/>
        <v>1.0411467228910303</v>
      </c>
      <c r="E106" s="367">
        <f t="shared" si="10"/>
        <v>1.0411465996173712</v>
      </c>
      <c r="F106" s="367">
        <f t="shared" si="10"/>
        <v>1.0411132476577052</v>
      </c>
      <c r="G106" s="367">
        <f t="shared" si="10"/>
        <v>1.0240878010750731</v>
      </c>
      <c r="H106" s="367">
        <f t="shared" si="10"/>
        <v>1.0240877241762807</v>
      </c>
      <c r="I106" s="367">
        <f t="shared" si="10"/>
        <v>1.0006875966433311</v>
      </c>
      <c r="J106" s="367">
        <f t="shared" si="10"/>
        <v>1.0005247058481495</v>
      </c>
      <c r="K106" s="367">
        <f t="shared" si="10"/>
        <v>1.0005247055963724</v>
      </c>
      <c r="L106" s="367">
        <f t="shared" si="10"/>
        <v>1.0005241485840228</v>
      </c>
      <c r="M106" s="316">
        <f t="shared" si="11"/>
        <v>1.1862545013821679</v>
      </c>
      <c r="N106" s="368"/>
      <c r="Q106" s="164" t="s">
        <v>87</v>
      </c>
      <c r="R106" s="165">
        <f>ABS(R104-R105)/R104</f>
        <v>4.3640654101259817E-6</v>
      </c>
      <c r="S106" s="165">
        <f>ABS(S104-S105)/S104</f>
        <v>9.4332745086922056E-5</v>
      </c>
      <c r="T106" s="165">
        <f>ABS(T104-T105)/T104</f>
        <v>4.6936569556115714E-4</v>
      </c>
      <c r="Z106" s="204">
        <f t="shared" si="17"/>
        <v>600</v>
      </c>
      <c r="AA106" s="202">
        <f t="shared" si="12"/>
        <v>14487314.483115843</v>
      </c>
      <c r="AB106" s="67" cm="1">
        <f t="array" ref="AB106">PRODUCT(EXP(-($B$14*$D$98:$L$98)/(2*$B$8*$Z106))/(1-EXP(-($B$14*$D$98:$L$98)/($B$8*$Z106))))</f>
        <v>6.8947857557642675E-11</v>
      </c>
      <c r="AC106" s="141">
        <f t="shared" si="13"/>
        <v>417.95074598583614</v>
      </c>
      <c r="AD106" s="203">
        <f t="shared" si="14"/>
        <v>1</v>
      </c>
      <c r="AE106" s="317">
        <f t="shared" si="15"/>
        <v>0.41747816714417929</v>
      </c>
      <c r="AI106" s="160" t="s">
        <v>85</v>
      </c>
      <c r="AJ106" s="161">
        <f>AE102</f>
        <v>9.3610529568735256E-13</v>
      </c>
      <c r="AK106" s="210">
        <f>AA103*AC103*AD103*M103</f>
        <v>380635874.66929531</v>
      </c>
    </row>
    <row r="107" spans="3:39" ht="20" thickBot="1">
      <c r="C107" s="204">
        <f t="shared" si="16"/>
        <v>700</v>
      </c>
      <c r="D107" s="367">
        <f t="shared" si="10"/>
        <v>1.0668958461908211</v>
      </c>
      <c r="E107" s="367">
        <f t="shared" si="10"/>
        <v>1.0668956701564172</v>
      </c>
      <c r="F107" s="367">
        <f t="shared" si="10"/>
        <v>1.0668480416047625</v>
      </c>
      <c r="G107" s="367">
        <f t="shared" si="10"/>
        <v>1.0418719197568811</v>
      </c>
      <c r="H107" s="367">
        <f t="shared" si="10"/>
        <v>1.0418718031898679</v>
      </c>
      <c r="I107" s="367">
        <f t="shared" si="10"/>
        <v>1.0019486453405293</v>
      </c>
      <c r="J107" s="367">
        <f t="shared" si="10"/>
        <v>1.0015451641146964</v>
      </c>
      <c r="K107" s="367">
        <f t="shared" si="10"/>
        <v>1.00154516347853</v>
      </c>
      <c r="L107" s="367">
        <f t="shared" si="10"/>
        <v>1.0015437559667084</v>
      </c>
      <c r="M107" s="316">
        <f t="shared" si="11"/>
        <v>1.3268799313733808</v>
      </c>
      <c r="N107" s="368"/>
      <c r="Z107" s="204">
        <f t="shared" si="17"/>
        <v>700</v>
      </c>
      <c r="AA107" s="202">
        <f t="shared" si="12"/>
        <v>21298786.576327905</v>
      </c>
      <c r="AB107" s="67" cm="1">
        <f t="array" ref="AB107">PRODUCT(EXP(-($B$14*$D$98:$L$98)/(2*$B$8*$Z107))/(1-EXP(-($B$14*$D$98:$L$98)/($B$8*$Z107))))</f>
        <v>2.2356883107766513E-9</v>
      </c>
      <c r="AC107" s="141">
        <f t="shared" si="13"/>
        <v>526.67813516895399</v>
      </c>
      <c r="AD107" s="203">
        <f t="shared" si="14"/>
        <v>1</v>
      </c>
      <c r="AE107" s="317">
        <f t="shared" si="15"/>
        <v>25.079068810222818</v>
      </c>
      <c r="AI107" s="162" t="s">
        <v>86</v>
      </c>
      <c r="AJ107" s="163">
        <f>$P35</f>
        <v>9.3664799999999991E-13</v>
      </c>
      <c r="AK107" s="141"/>
    </row>
    <row r="108" spans="3:39" ht="22">
      <c r="C108" s="204">
        <f t="shared" si="16"/>
        <v>800</v>
      </c>
      <c r="D108" s="367">
        <f t="shared" si="10"/>
        <v>1.097258223080785</v>
      </c>
      <c r="E108" s="367">
        <f t="shared" si="10"/>
        <v>1.097257992767148</v>
      </c>
      <c r="F108" s="367">
        <f t="shared" si="10"/>
        <v>1.0971956763660897</v>
      </c>
      <c r="G108" s="367">
        <f t="shared" si="10"/>
        <v>1.0638992052769769</v>
      </c>
      <c r="H108" s="367">
        <f t="shared" si="10"/>
        <v>1.0638990463335716</v>
      </c>
      <c r="I108" s="367">
        <f t="shared" si="10"/>
        <v>1.004262098632408</v>
      </c>
      <c r="J108" s="367">
        <f t="shared" si="10"/>
        <v>1.0034775527604027</v>
      </c>
      <c r="K108" s="367">
        <f t="shared" si="10"/>
        <v>1.0034775515051966</v>
      </c>
      <c r="L108" s="367">
        <f t="shared" si="10"/>
        <v>1.0034747742200776</v>
      </c>
      <c r="M108" s="316">
        <f t="shared" si="11"/>
        <v>1.5172999529346272</v>
      </c>
      <c r="N108" s="368"/>
      <c r="Z108" s="204">
        <f t="shared" si="17"/>
        <v>800</v>
      </c>
      <c r="AA108" s="202">
        <f t="shared" si="12"/>
        <v>29739573.03701964</v>
      </c>
      <c r="AB108" s="67" cm="1">
        <f t="array" ref="AB108">PRODUCT(EXP(-($B$14*$D$98:$L$98)/(2*$B$8*$Z108))/(1-EXP(-($B$14*$D$98:$L$98)/($B$8*$Z108))))</f>
        <v>3.1939537355046428E-8</v>
      </c>
      <c r="AC108" s="141">
        <f t="shared" si="13"/>
        <v>643.47726854113989</v>
      </c>
      <c r="AD108" s="203">
        <f t="shared" si="14"/>
        <v>1</v>
      </c>
      <c r="AE108" s="317">
        <f t="shared" si="15"/>
        <v>611.21859734475925</v>
      </c>
      <c r="AI108" s="164" t="s">
        <v>87</v>
      </c>
      <c r="AJ108" s="165">
        <f>ABS(AJ106-AJ107)/AJ106</f>
        <v>5.7974708096150088E-4</v>
      </c>
      <c r="AK108" s="228"/>
    </row>
    <row r="109" spans="3:39" ht="19">
      <c r="C109" s="204">
        <f t="shared" si="16"/>
        <v>900</v>
      </c>
      <c r="D109" s="367">
        <f t="shared" si="10"/>
        <v>1.1312527887470225</v>
      </c>
      <c r="E109" s="367">
        <f t="shared" si="10"/>
        <v>1.1312525039075372</v>
      </c>
      <c r="F109" s="367">
        <f t="shared" si="10"/>
        <v>1.1311754327102614</v>
      </c>
      <c r="G109" s="367">
        <f t="shared" si="10"/>
        <v>1.0894351019398871</v>
      </c>
      <c r="H109" s="367">
        <f t="shared" si="10"/>
        <v>1.089434899449943</v>
      </c>
      <c r="I109" s="367">
        <f t="shared" si="10"/>
        <v>1.0078478700490252</v>
      </c>
      <c r="J109" s="367">
        <f t="shared" si="10"/>
        <v>1.0065457423655166</v>
      </c>
      <c r="K109" s="367">
        <f t="shared" si="10"/>
        <v>1.0065457402589577</v>
      </c>
      <c r="L109" s="367">
        <f t="shared" si="10"/>
        <v>1.0065410790626481</v>
      </c>
      <c r="M109" s="316">
        <f t="shared" si="11"/>
        <v>1.7658155878493342</v>
      </c>
      <c r="N109" s="368"/>
      <c r="Z109" s="204">
        <f t="shared" si="17"/>
        <v>900</v>
      </c>
      <c r="AA109" s="202">
        <f t="shared" si="12"/>
        <v>39922344.255225062</v>
      </c>
      <c r="AB109" s="67" cm="1">
        <f t="array" ref="AB109">PRODUCT(EXP(-($B$14*$D$98:$L$98)/(2*$B$8*$Z109))/(1-EXP(-($B$14*$D$98:$L$98)/($B$8*$Z109))))</f>
        <v>2.6495611538135276E-7</v>
      </c>
      <c r="AC109" s="141">
        <f t="shared" si="13"/>
        <v>767.82454896066304</v>
      </c>
      <c r="AD109" s="203">
        <f t="shared" si="14"/>
        <v>1</v>
      </c>
      <c r="AE109" s="317">
        <f t="shared" si="15"/>
        <v>8121.7941215363771</v>
      </c>
    </row>
    <row r="110" spans="3:39" ht="19">
      <c r="C110" s="204">
        <f t="shared" si="16"/>
        <v>1000</v>
      </c>
      <c r="D110" s="367">
        <f t="shared" si="10"/>
        <v>1.1681028482975413</v>
      </c>
      <c r="E110" s="367">
        <f t="shared" si="10"/>
        <v>1.168102509273357</v>
      </c>
      <c r="F110" s="367">
        <f t="shared" si="10"/>
        <v>1.1680107754756544</v>
      </c>
      <c r="G110" s="367">
        <f t="shared" si="10"/>
        <v>1.1178287447499178</v>
      </c>
      <c r="H110" s="367">
        <f t="shared" si="10"/>
        <v>1.1178284983939122</v>
      </c>
      <c r="I110" s="367">
        <f t="shared" si="10"/>
        <v>1.0128159758931319</v>
      </c>
      <c r="J110" s="367">
        <f t="shared" si="10"/>
        <v>1.0108770516326</v>
      </c>
      <c r="K110" s="367">
        <f t="shared" si="10"/>
        <v>1.0108770484686236</v>
      </c>
      <c r="L110" s="367">
        <f t="shared" si="10"/>
        <v>1.0108700472862697</v>
      </c>
      <c r="M110" s="316">
        <f t="shared" si="11"/>
        <v>2.083444256061747</v>
      </c>
      <c r="N110" s="368"/>
      <c r="Z110" s="204">
        <f t="shared" si="17"/>
        <v>1000</v>
      </c>
      <c r="AA110" s="202">
        <f t="shared" si="12"/>
        <v>51952896.041090004</v>
      </c>
      <c r="AB110" s="67" cm="1">
        <f t="array" ref="AB110">PRODUCT(EXP(-($B$14*$D$98:$L$98)/(2*$B$8*$Z110))/(1-EXP(-($B$14*$D$98:$L$98)/($B$8*$Z110))))</f>
        <v>1.5044841838196512E-6</v>
      </c>
      <c r="AC110" s="141">
        <f t="shared" si="13"/>
        <v>899.28682152117278</v>
      </c>
      <c r="AD110" s="203">
        <f t="shared" si="14"/>
        <v>1</v>
      </c>
      <c r="AE110" s="317">
        <f t="shared" si="15"/>
        <v>70290.335680070973</v>
      </c>
    </row>
    <row r="111" spans="3:39" ht="19">
      <c r="C111" s="204">
        <f t="shared" si="16"/>
        <v>1100</v>
      </c>
      <c r="D111" s="367">
        <f t="shared" si="10"/>
        <v>1.2072117353363687</v>
      </c>
      <c r="E111" s="367">
        <f t="shared" si="10"/>
        <v>1.207211342709827</v>
      </c>
      <c r="F111" s="367">
        <f t="shared" si="10"/>
        <v>1.2071051038311731</v>
      </c>
      <c r="G111" s="367">
        <f t="shared" si="10"/>
        <v>1.1485431975767912</v>
      </c>
      <c r="H111" s="367">
        <f t="shared" si="10"/>
        <v>1.1485429074792353</v>
      </c>
      <c r="I111" s="367">
        <f t="shared" si="10"/>
        <v>1.0191866978516599</v>
      </c>
      <c r="J111" s="367">
        <f t="shared" si="10"/>
        <v>1.0165140015837262</v>
      </c>
      <c r="K111" s="367">
        <f t="shared" si="10"/>
        <v>1.0165139971923896</v>
      </c>
      <c r="L111" s="367">
        <f t="shared" si="10"/>
        <v>1.0165042798769091</v>
      </c>
      <c r="M111" s="316">
        <f t="shared" si="11"/>
        <v>2.4842545094398427</v>
      </c>
      <c r="N111" s="368"/>
      <c r="Z111" s="204">
        <f t="shared" si="17"/>
        <v>1100</v>
      </c>
      <c r="AA111" s="202">
        <f t="shared" si="12"/>
        <v>65931275.037711106</v>
      </c>
      <c r="AB111" s="67" cm="1">
        <f t="array" ref="AB111">PRODUCT(EXP(-($B$14*$D$98:$L$98)/(2*$B$8*$Z111))/(1-EXP(-($B$14*$D$98:$L$98)/($B$8*$Z111))))</f>
        <v>6.4879933666317555E-6</v>
      </c>
      <c r="AC111" s="141">
        <f t="shared" si="13"/>
        <v>1037.4979729996389</v>
      </c>
      <c r="AD111" s="203">
        <f t="shared" si="14"/>
        <v>1</v>
      </c>
      <c r="AE111" s="317">
        <f t="shared" si="15"/>
        <v>443801.8708413578</v>
      </c>
    </row>
    <row r="112" spans="3:39" ht="19">
      <c r="C112" s="204">
        <f t="shared" si="16"/>
        <v>1200</v>
      </c>
      <c r="D112" s="367">
        <f t="shared" si="10"/>
        <v>1.2481244407635141</v>
      </c>
      <c r="E112" s="367">
        <f t="shared" si="10"/>
        <v>1.248123995188587</v>
      </c>
      <c r="F112" s="367">
        <f t="shared" si="10"/>
        <v>1.2480034281657924</v>
      </c>
      <c r="G112" s="367">
        <f t="shared" si="10"/>
        <v>1.1811483729437169</v>
      </c>
      <c r="H112" s="367">
        <f t="shared" si="10"/>
        <v>1.1811480394448843</v>
      </c>
      <c r="I112" s="367">
        <f t="shared" si="10"/>
        <v>1.0269186742512948</v>
      </c>
      <c r="J112" s="367">
        <f t="shared" si="10"/>
        <v>1.0234371732922418</v>
      </c>
      <c r="K112" s="367">
        <f t="shared" si="10"/>
        <v>1.0234371675403739</v>
      </c>
      <c r="L112" s="367">
        <f t="shared" si="10"/>
        <v>1.0234244393193177</v>
      </c>
      <c r="M112" s="316">
        <f t="shared" si="11"/>
        <v>2.9857565618685236</v>
      </c>
      <c r="N112" s="368"/>
      <c r="Z112" s="204">
        <f t="shared" si="17"/>
        <v>1200</v>
      </c>
      <c r="AA112" s="202">
        <f t="shared" si="12"/>
        <v>81952626.497546583</v>
      </c>
      <c r="AB112" s="67" cm="1">
        <f t="array" ref="AB112">PRODUCT(EXP(-($B$14*$D$98:$L$98)/(2*$B$8*$Z112))/(1-EXP(-($B$14*$D$98:$L$98)/($B$8*$Z112))))</f>
        <v>2.2762808596289294E-5</v>
      </c>
      <c r="AC112" s="141">
        <f t="shared" si="13"/>
        <v>1182.143226754245</v>
      </c>
      <c r="AD112" s="203">
        <f t="shared" si="14"/>
        <v>1</v>
      </c>
      <c r="AE112" s="317">
        <f t="shared" si="15"/>
        <v>2205255.0314881899</v>
      </c>
    </row>
    <row r="113" spans="2:31" ht="19">
      <c r="C113" s="204">
        <f t="shared" si="16"/>
        <v>1300</v>
      </c>
      <c r="D113" s="367">
        <f t="shared" si="10"/>
        <v>1.2904929768244733</v>
      </c>
      <c r="E113" s="367">
        <f t="shared" si="10"/>
        <v>1.2904924789469741</v>
      </c>
      <c r="F113" s="367">
        <f t="shared" si="10"/>
        <v>1.2903577585290213</v>
      </c>
      <c r="G113" s="367">
        <f t="shared" si="10"/>
        <v>1.2153033768772523</v>
      </c>
      <c r="H113" s="367">
        <f t="shared" si="10"/>
        <v>1.2153030004085486</v>
      </c>
      <c r="I113" s="367">
        <f t="shared" si="10"/>
        <v>1.0359337111706282</v>
      </c>
      <c r="J113" s="367">
        <f t="shared" si="10"/>
        <v>1.0315875527238507</v>
      </c>
      <c r="K113" s="367">
        <f t="shared" si="10"/>
        <v>1.0315875455110746</v>
      </c>
      <c r="L113" s="367">
        <f t="shared" si="10"/>
        <v>1.0315715841908313</v>
      </c>
      <c r="M113" s="316">
        <f t="shared" si="11"/>
        <v>3.6093920325554492</v>
      </c>
      <c r="N113" s="368"/>
      <c r="Z113" s="204">
        <f t="shared" si="17"/>
        <v>1300</v>
      </c>
      <c r="AA113" s="202">
        <f t="shared" si="12"/>
        <v>100107851.90564039</v>
      </c>
      <c r="AB113" s="67" cm="1">
        <f t="array" ref="AB113">PRODUCT(EXP(-($B$14*$D$98:$L$98)/(2*$B$8*$Z113))/(1-EXP(-($B$14*$D$98:$L$98)/($B$8*$Z113))))</f>
        <v>6.8121566395477971E-5</v>
      </c>
      <c r="AC113" s="141">
        <f t="shared" si="13"/>
        <v>1332.9481542181418</v>
      </c>
      <c r="AD113" s="203">
        <f t="shared" si="14"/>
        <v>1</v>
      </c>
      <c r="AE113" s="317">
        <f t="shared" si="15"/>
        <v>9090044.8433380537</v>
      </c>
    </row>
    <row r="114" spans="2:31" ht="19">
      <c r="C114" s="204">
        <f t="shared" si="16"/>
        <v>1400</v>
      </c>
      <c r="D114" s="367">
        <f t="shared" si="10"/>
        <v>1.3340491737546138</v>
      </c>
      <c r="E114" s="367">
        <f t="shared" si="10"/>
        <v>1.3340486241773177</v>
      </c>
      <c r="F114" s="367">
        <f t="shared" si="10"/>
        <v>1.333899913478289</v>
      </c>
      <c r="G114" s="367">
        <f t="shared" si="10"/>
        <v>1.2507383302230157</v>
      </c>
      <c r="H114" s="367">
        <f t="shared" si="10"/>
        <v>1.2507379112405488</v>
      </c>
      <c r="I114" s="367">
        <f t="shared" si="10"/>
        <v>1.0461350975537651</v>
      </c>
      <c r="J114" s="367">
        <f t="shared" si="10"/>
        <v>1.040884097079861</v>
      </c>
      <c r="K114" s="367">
        <f t="shared" si="10"/>
        <v>1.0408840883329948</v>
      </c>
      <c r="L114" s="367">
        <f t="shared" si="10"/>
        <v>1.0408647319107658</v>
      </c>
      <c r="M114" s="316">
        <f t="shared" si="11"/>
        <v>4.3811318605683862</v>
      </c>
      <c r="N114" s="368"/>
      <c r="Z114" s="204">
        <f t="shared" si="17"/>
        <v>1400</v>
      </c>
      <c r="AA114" s="202">
        <f t="shared" si="12"/>
        <v>120484131.35333039</v>
      </c>
      <c r="AB114" s="67" cm="1">
        <f t="array" ref="AB114">PRODUCT(EXP(-($B$14*$D$98:$L$98)/(2*$B$8*$Z114))/(1-EXP(-($B$14*$D$98:$L$98)/($B$8*$Z114))))</f>
        <v>1.798357952614356E-4</v>
      </c>
      <c r="AC114" s="141">
        <f t="shared" si="13"/>
        <v>1489.6707235226113</v>
      </c>
      <c r="AD114" s="203">
        <f t="shared" si="14"/>
        <v>1</v>
      </c>
      <c r="AE114" s="317">
        <f t="shared" si="15"/>
        <v>32277231.219844803</v>
      </c>
    </row>
    <row r="115" spans="2:31" ht="19">
      <c r="C115" s="204">
        <f t="shared" si="16"/>
        <v>1500</v>
      </c>
      <c r="D115" s="367">
        <f t="shared" si="10"/>
        <v>1.3785843656871497</v>
      </c>
      <c r="E115" s="367">
        <f t="shared" si="10"/>
        <v>1.3785837649571078</v>
      </c>
      <c r="F115" s="367">
        <f t="shared" si="10"/>
        <v>1.3784212120183357</v>
      </c>
      <c r="G115" s="367">
        <f t="shared" si="10"/>
        <v>1.2872388028536601</v>
      </c>
      <c r="H115" s="367">
        <f t="shared" si="10"/>
        <v>1.287238341804031</v>
      </c>
      <c r="I115" s="367">
        <f t="shared" si="10"/>
        <v>1.0574197797572709</v>
      </c>
      <c r="J115" s="367">
        <f t="shared" si="10"/>
        <v>1.0512360301515864</v>
      </c>
      <c r="K115" s="367">
        <f t="shared" si="10"/>
        <v>1.0512360198190205</v>
      </c>
      <c r="L115" s="367">
        <f t="shared" si="10"/>
        <v>1.0512131540395997</v>
      </c>
      <c r="M115" s="316">
        <f t="shared" si="11"/>
        <v>5.3321853042623237</v>
      </c>
      <c r="N115" s="368"/>
      <c r="Z115" s="204">
        <f t="shared" si="17"/>
        <v>1500</v>
      </c>
      <c r="AA115" s="202">
        <f t="shared" si="12"/>
        <v>143165346.70559824</v>
      </c>
      <c r="AB115" s="67" cm="1">
        <f t="array" ref="AB115">PRODUCT(EXP(-($B$14*$D$98:$L$98)/(2*$B$8*$Z115))/(1-EXP(-($B$14*$D$98:$L$98)/($B$8*$Z115))))</f>
        <v>4.2918288474663252E-4</v>
      </c>
      <c r="AC115" s="141">
        <f t="shared" si="13"/>
        <v>1652.0953838521509</v>
      </c>
      <c r="AD115" s="203">
        <f t="shared" si="14"/>
        <v>1</v>
      </c>
      <c r="AE115" s="317">
        <f t="shared" si="15"/>
        <v>101511541.22603276</v>
      </c>
    </row>
    <row r="116" spans="2:31" ht="19">
      <c r="C116" s="204">
        <f t="shared" si="16"/>
        <v>1600</v>
      </c>
      <c r="D116" s="367">
        <f t="shared" si="10"/>
        <v>1.4239344925550408</v>
      </c>
      <c r="E116" s="367">
        <f t="shared" si="10"/>
        <v>1.4239338411616116</v>
      </c>
      <c r="F116" s="367">
        <f t="shared" si="10"/>
        <v>1.4237575784158414</v>
      </c>
      <c r="G116" s="367">
        <f t="shared" si="10"/>
        <v>1.3246333873705531</v>
      </c>
      <c r="H116" s="367">
        <f t="shared" si="10"/>
        <v>1.3246328846743429</v>
      </c>
      <c r="I116" s="367">
        <f t="shared" si="10"/>
        <v>1.0696858261107502</v>
      </c>
      <c r="J116" s="367">
        <f t="shared" si="10"/>
        <v>1.0625507796369176</v>
      </c>
      <c r="K116" s="367">
        <f t="shared" si="10"/>
        <v>1.0625507676836627</v>
      </c>
      <c r="L116" s="367">
        <f t="shared" si="10"/>
        <v>1.062524315081613</v>
      </c>
      <c r="M116" s="316">
        <f t="shared" si="11"/>
        <v>6.4998240803617646</v>
      </c>
      <c r="N116" s="368"/>
      <c r="Z116" s="204">
        <f t="shared" si="17"/>
        <v>1600</v>
      </c>
      <c r="AA116" s="202">
        <f t="shared" si="12"/>
        <v>168232430.11255404</v>
      </c>
      <c r="AB116" s="67" cm="1">
        <f t="array" ref="AB116">PRODUCT(EXP(-($B$14*$D$98:$L$98)/(2*$B$8*$Z116))/(1-EXP(-($B$14*$D$98:$L$98)/($B$8*$Z116))))</f>
        <v>9.4304016652811847E-4</v>
      </c>
      <c r="AC116" s="141">
        <f t="shared" si="13"/>
        <v>1820.0285604993505</v>
      </c>
      <c r="AD116" s="203">
        <f t="shared" si="14"/>
        <v>1</v>
      </c>
      <c r="AE116" s="317">
        <f t="shared" si="15"/>
        <v>288747419.93544406</v>
      </c>
    </row>
    <row r="117" spans="2:31" ht="19">
      <c r="C117" s="204">
        <f t="shared" si="16"/>
        <v>1700</v>
      </c>
      <c r="D117" s="367">
        <f t="shared" si="10"/>
        <v>1.4699692133609326</v>
      </c>
      <c r="E117" s="367">
        <f t="shared" si="10"/>
        <v>1.4699685117387287</v>
      </c>
      <c r="F117" s="367">
        <f t="shared" si="10"/>
        <v>1.4697786568059277</v>
      </c>
      <c r="G117" s="367">
        <f t="shared" si="10"/>
        <v>1.3627840734405365</v>
      </c>
      <c r="H117" s="367">
        <f t="shared" si="10"/>
        <v>1.3627835294854271</v>
      </c>
      <c r="I117" s="367">
        <f t="shared" si="10"/>
        <v>1.082836631963749</v>
      </c>
      <c r="J117" s="367">
        <f t="shared" si="10"/>
        <v>1.0747387374564092</v>
      </c>
      <c r="K117" s="367">
        <f t="shared" si="10"/>
        <v>1.0747387238600237</v>
      </c>
      <c r="L117" s="367">
        <f t="shared" si="10"/>
        <v>1.0747086347432835</v>
      </c>
      <c r="M117" s="316">
        <f t="shared" si="11"/>
        <v>7.9283280281990791</v>
      </c>
      <c r="N117" s="368"/>
      <c r="Z117" s="204">
        <f t="shared" si="17"/>
        <v>1700</v>
      </c>
      <c r="AA117" s="202">
        <f t="shared" si="12"/>
        <v>195763655.11076817</v>
      </c>
      <c r="AB117" s="67" cm="1">
        <f t="array" ref="AB117">PRODUCT(EXP(-($B$14*$D$98:$L$98)/(2*$B$8*$Z117))/(1-EXP(-($B$14*$D$98:$L$98)/($B$8*$Z117))))</f>
        <v>1.9346248076668661E-3</v>
      </c>
      <c r="AC117" s="141">
        <f t="shared" si="13"/>
        <v>1993.2951553414787</v>
      </c>
      <c r="AD117" s="203">
        <f t="shared" si="14"/>
        <v>1</v>
      </c>
      <c r="AE117" s="317">
        <f t="shared" si="15"/>
        <v>754919126.62167192</v>
      </c>
    </row>
    <row r="118" spans="2:31" ht="19">
      <c r="C118" s="204">
        <f t="shared" si="16"/>
        <v>1800</v>
      </c>
      <c r="D118" s="367">
        <f t="shared" si="10"/>
        <v>1.516583923358402</v>
      </c>
      <c r="E118" s="367">
        <f t="shared" si="10"/>
        <v>1.5165831718922371</v>
      </c>
      <c r="F118" s="367">
        <f t="shared" si="10"/>
        <v>1.5163798289169841</v>
      </c>
      <c r="G118" s="367">
        <f t="shared" si="10"/>
        <v>1.4015788819498132</v>
      </c>
      <c r="H118" s="367">
        <f t="shared" si="10"/>
        <v>1.4015782970888553</v>
      </c>
      <c r="I118" s="367">
        <f t="shared" si="10"/>
        <v>1.0967830099731946</v>
      </c>
      <c r="J118" s="367">
        <f t="shared" si="10"/>
        <v>1.0877158668488045</v>
      </c>
      <c r="K118" s="367">
        <f t="shared" si="10"/>
        <v>1.0877158515961705</v>
      </c>
      <c r="L118" s="367">
        <f t="shared" si="10"/>
        <v>1.0876820969139913</v>
      </c>
      <c r="M118" s="316">
        <f t="shared" si="11"/>
        <v>9.6700607949388342</v>
      </c>
      <c r="N118" s="368"/>
      <c r="Z118" s="204">
        <f t="shared" si="17"/>
        <v>1800</v>
      </c>
      <c r="AA118" s="202">
        <f t="shared" si="12"/>
        <v>225834882.74986503</v>
      </c>
      <c r="AB118" s="67" cm="1">
        <f t="array" ref="AB118">PRODUCT(EXP(-($B$14*$D$98:$L$98)/(2*$B$8*$Z118))/(1-EXP(-($B$14*$D$98:$L$98)/($B$8*$Z118))))</f>
        <v>3.7457906843177419E-3</v>
      </c>
      <c r="AC118" s="141">
        <f t="shared" si="13"/>
        <v>2171.7357813263507</v>
      </c>
      <c r="AD118" s="203">
        <f t="shared" si="14"/>
        <v>1</v>
      </c>
      <c r="AE118" s="317">
        <f t="shared" si="15"/>
        <v>1837136883.8411551</v>
      </c>
    </row>
    <row r="119" spans="2:31" ht="19">
      <c r="C119" s="204">
        <f t="shared" si="16"/>
        <v>1900</v>
      </c>
      <c r="D119" s="367">
        <f t="shared" si="10"/>
        <v>1.5636938595904761</v>
      </c>
      <c r="E119" s="367">
        <f t="shared" si="10"/>
        <v>1.5636930586208646</v>
      </c>
      <c r="F119" s="367">
        <f t="shared" si="10"/>
        <v>1.5634763197600754</v>
      </c>
      <c r="G119" s="367">
        <f t="shared" si="10"/>
        <v>1.4409262459986929</v>
      </c>
      <c r="H119" s="367">
        <f t="shared" si="10"/>
        <v>1.4409256205512357</v>
      </c>
      <c r="I119" s="367">
        <f t="shared" si="10"/>
        <v>1.1114439756008001</v>
      </c>
      <c r="J119" s="367">
        <f t="shared" si="10"/>
        <v>1.1014049233565884</v>
      </c>
      <c r="K119" s="367">
        <f t="shared" si="10"/>
        <v>1.1014049064414253</v>
      </c>
      <c r="L119" s="367">
        <f t="shared" si="10"/>
        <v>1.1013674722788951</v>
      </c>
      <c r="M119" s="316">
        <f t="shared" si="11"/>
        <v>11.786685747364226</v>
      </c>
      <c r="N119" s="368"/>
      <c r="Z119" s="204">
        <f t="shared" si="17"/>
        <v>1900</v>
      </c>
      <c r="AA119" s="202">
        <f t="shared" si="12"/>
        <v>258519771.9152036</v>
      </c>
      <c r="AB119" s="67" cm="1">
        <f t="array" ref="AB119">PRODUCT(EXP(-($B$14*$D$98:$L$98)/(2*$B$8*$Z119))/(1-EXP(-($B$14*$D$98:$L$98)/($B$8*$Z119))))</f>
        <v>6.9036527261848567E-3</v>
      </c>
      <c r="AC119" s="141">
        <f t="shared" si="13"/>
        <v>2355.2045440924217</v>
      </c>
      <c r="AD119" s="203">
        <f t="shared" si="14"/>
        <v>1</v>
      </c>
      <c r="AE119" s="317">
        <f t="shared" si="15"/>
        <v>4203405920.9322276</v>
      </c>
    </row>
    <row r="120" spans="2:31" ht="20" thickBot="1">
      <c r="C120" s="213">
        <f t="shared" si="16"/>
        <v>2000</v>
      </c>
      <c r="D120" s="367">
        <f t="shared" si="10"/>
        <v>1.6112297103847855</v>
      </c>
      <c r="E120" s="367">
        <f t="shared" si="10"/>
        <v>1.6112288602133076</v>
      </c>
      <c r="F120" s="367">
        <f t="shared" si="10"/>
        <v>1.6109988070877792</v>
      </c>
      <c r="G120" s="367">
        <f t="shared" si="10"/>
        <v>1.4807507168586056</v>
      </c>
      <c r="H120" s="367">
        <f t="shared" si="10"/>
        <v>1.4807500511125073</v>
      </c>
      <c r="I120" s="367">
        <f t="shared" si="10"/>
        <v>1.1267467668639017</v>
      </c>
      <c r="J120" s="367">
        <f t="shared" si="10"/>
        <v>1.1157358227717766</v>
      </c>
      <c r="K120" s="367">
        <f t="shared" si="10"/>
        <v>1.1157358041927516</v>
      </c>
      <c r="L120" s="367">
        <f t="shared" si="10"/>
        <v>1.1156946875874674</v>
      </c>
      <c r="M120" s="319">
        <f t="shared" si="11"/>
        <v>14.350533713209794</v>
      </c>
      <c r="N120" s="368"/>
      <c r="Z120" s="213">
        <f t="shared" si="17"/>
        <v>2000</v>
      </c>
      <c r="AA120" s="216">
        <f t="shared" si="12"/>
        <v>293889960.74347669</v>
      </c>
      <c r="AB120" s="217" cm="1">
        <f t="array" ref="AB120">PRODUCT(EXP(-($B$14*$D$98:$L$98)/(2*$B$8*$Z120))/(1-EXP(-($B$14*$D$98:$L$98)/($B$8*$Z120))))</f>
        <v>1.2194694474482135E-2</v>
      </c>
      <c r="AC120" s="218">
        <f t="shared" si="13"/>
        <v>2543.5672389172692</v>
      </c>
      <c r="AD120" s="219">
        <f t="shared" si="14"/>
        <v>1</v>
      </c>
      <c r="AE120" s="320">
        <f t="shared" si="15"/>
        <v>9115886253.5973072</v>
      </c>
    </row>
    <row r="122" spans="2:31" ht="17" thickBot="1"/>
    <row r="123" spans="2:31" ht="32" thickBot="1">
      <c r="C123" s="220" t="s">
        <v>107</v>
      </c>
      <c r="D123" s="221">
        <v>1</v>
      </c>
      <c r="E123" s="360">
        <f t="shared" ref="E123:L123" si="18">D123+1</f>
        <v>2</v>
      </c>
      <c r="F123" s="360">
        <f t="shared" si="18"/>
        <v>3</v>
      </c>
      <c r="G123" s="360">
        <f t="shared" si="18"/>
        <v>4</v>
      </c>
      <c r="H123" s="360">
        <f t="shared" si="18"/>
        <v>5</v>
      </c>
      <c r="I123" s="360">
        <f t="shared" si="18"/>
        <v>6</v>
      </c>
      <c r="J123" s="360">
        <f t="shared" si="18"/>
        <v>7</v>
      </c>
      <c r="K123" s="360">
        <f t="shared" si="18"/>
        <v>8</v>
      </c>
      <c r="L123" s="361">
        <f t="shared" si="18"/>
        <v>9</v>
      </c>
      <c r="M123" s="180" t="s">
        <v>95</v>
      </c>
    </row>
    <row r="124" spans="2:31" ht="26" customHeight="1" thickBot="1">
      <c r="C124" s="176">
        <v>298.14999999999998</v>
      </c>
      <c r="D124" s="372">
        <f>EXP(-($B$14*D$98)/(2*$B$8*$C124))/(1-EXP(-($B$14*D$98)/($B$8*$C124)))</f>
        <v>3.8794382723519837E-2</v>
      </c>
      <c r="E124" s="373">
        <f t="shared" ref="E124:L124" si="19">EXP(-($B$14*E$98)/(2*$B$8*$C124))/(1-EXP(-($B$14*E$98)/($B$8*$C124)))</f>
        <v>3.8794270060409024E-2</v>
      </c>
      <c r="F124" s="373">
        <f t="shared" si="19"/>
        <v>3.8763788009673852E-2</v>
      </c>
      <c r="G124" s="373">
        <f t="shared" si="19"/>
        <v>2.2992404629754829E-2</v>
      </c>
      <c r="H124" s="373">
        <f t="shared" si="19"/>
        <v>2.2992332433490199E-2</v>
      </c>
      <c r="I124" s="373">
        <f t="shared" si="19"/>
        <v>6.567641556235118E-4</v>
      </c>
      <c r="J124" s="373">
        <f t="shared" si="19"/>
        <v>5.0041934397828845E-4</v>
      </c>
      <c r="K124" s="373">
        <f t="shared" si="19"/>
        <v>5.0041910249161577E-4</v>
      </c>
      <c r="L124" s="374">
        <f t="shared" si="19"/>
        <v>4.9988485725294541E-4</v>
      </c>
      <c r="M124" s="314">
        <f xml:space="preserve"> PRODUCT(D124:L124)</f>
        <v>2.5355808117016426E-21</v>
      </c>
    </row>
    <row r="127" spans="2:31" ht="19">
      <c r="B127" s="67"/>
      <c r="C127" s="67"/>
      <c r="D127" s="67"/>
      <c r="E127" s="67"/>
      <c r="F127" s="67" t="s">
        <v>78</v>
      </c>
      <c r="G127" s="67"/>
      <c r="H127" s="67"/>
      <c r="I127" s="67"/>
      <c r="J127" s="67"/>
      <c r="K127" s="67"/>
      <c r="L127" s="67"/>
      <c r="M127" s="67"/>
      <c r="N127" s="67"/>
      <c r="O127" s="67"/>
    </row>
    <row r="128" spans="2:31" ht="27">
      <c r="B128" s="67"/>
      <c r="C128" s="148" t="s">
        <v>108</v>
      </c>
      <c r="D128" s="149"/>
      <c r="E128" s="67"/>
      <c r="F128" s="67"/>
      <c r="G128" s="67"/>
      <c r="H128" s="67"/>
      <c r="I128" s="67"/>
      <c r="J128" s="67"/>
      <c r="K128" s="67"/>
      <c r="L128" s="67"/>
      <c r="M128" s="67"/>
      <c r="N128" s="67"/>
      <c r="O128" s="67"/>
    </row>
    <row r="129" spans="2:15" ht="20" thickBot="1">
      <c r="B129" s="67"/>
      <c r="C129" s="67"/>
      <c r="D129" s="67"/>
      <c r="E129" s="67"/>
      <c r="F129" s="67"/>
      <c r="G129" s="67"/>
      <c r="H129" s="67"/>
      <c r="I129" s="67"/>
      <c r="J129" s="67"/>
      <c r="K129" s="67"/>
      <c r="L129" s="67"/>
      <c r="M129" s="67"/>
      <c r="N129" s="67"/>
      <c r="O129" s="67"/>
    </row>
    <row r="130" spans="2:15" ht="20" thickBot="1">
      <c r="B130" s="67"/>
      <c r="C130" s="68" t="s">
        <v>34</v>
      </c>
      <c r="D130" s="69"/>
      <c r="E130" s="69"/>
      <c r="F130" s="70"/>
      <c r="G130" s="67"/>
      <c r="H130" s="67"/>
      <c r="I130" s="67"/>
      <c r="J130" s="67"/>
      <c r="K130" s="67"/>
      <c r="L130" s="67"/>
      <c r="M130" s="67"/>
      <c r="N130" s="67"/>
      <c r="O130" s="67"/>
    </row>
    <row r="131" spans="2:15" ht="20" thickBot="1">
      <c r="B131" s="67"/>
      <c r="C131" s="73"/>
      <c r="D131" s="74" t="s">
        <v>37</v>
      </c>
      <c r="E131" s="75" t="s">
        <v>38</v>
      </c>
      <c r="F131" s="76" t="s">
        <v>39</v>
      </c>
      <c r="G131" s="67"/>
      <c r="H131" s="67"/>
      <c r="I131" s="67"/>
      <c r="J131" s="67"/>
      <c r="K131" s="67"/>
      <c r="L131" s="67"/>
      <c r="M131" s="67"/>
      <c r="N131" s="67"/>
      <c r="O131" s="67"/>
    </row>
    <row r="132" spans="2:15" ht="22" thickBot="1">
      <c r="B132" s="67"/>
      <c r="C132" s="225" t="s">
        <v>109</v>
      </c>
      <c r="D132" s="103">
        <f>D24*($Q$8)^2</f>
        <v>1.9023682999999999E-46</v>
      </c>
      <c r="E132" s="103">
        <f t="shared" ref="E132:F132" si="20">E24*($Q$8)^2</f>
        <v>1.9025658400000001E-46</v>
      </c>
      <c r="F132" s="103">
        <f t="shared" si="20"/>
        <v>1.9025658400000001E-46</v>
      </c>
      <c r="G132" s="67"/>
      <c r="H132" s="67"/>
      <c r="I132" s="67"/>
      <c r="J132" s="67"/>
      <c r="K132" s="67"/>
      <c r="L132" s="67"/>
      <c r="M132" s="67"/>
      <c r="N132" s="67"/>
      <c r="O132" s="67"/>
    </row>
    <row r="133" spans="2:15" ht="19">
      <c r="B133" s="67"/>
      <c r="C133" s="67"/>
      <c r="D133" s="67"/>
      <c r="E133" s="67"/>
      <c r="F133" s="67"/>
      <c r="G133" s="67"/>
      <c r="H133" s="67"/>
      <c r="I133" s="67"/>
      <c r="J133" s="67"/>
      <c r="K133" s="67"/>
      <c r="L133" s="67"/>
      <c r="M133" s="67"/>
      <c r="N133" s="67"/>
      <c r="O133" s="67"/>
    </row>
    <row r="134" spans="2:15" ht="19">
      <c r="B134" s="67"/>
      <c r="C134" s="67"/>
      <c r="D134" s="67"/>
      <c r="E134" s="67"/>
      <c r="F134" s="67"/>
      <c r="G134" s="67"/>
      <c r="H134" s="67"/>
      <c r="I134" s="67"/>
      <c r="J134" s="67"/>
      <c r="K134" s="67"/>
      <c r="L134" s="67"/>
      <c r="M134" s="67"/>
      <c r="N134" s="67"/>
      <c r="O134" s="67"/>
    </row>
    <row r="135" spans="2:15" ht="20" thickBot="1">
      <c r="B135" s="67"/>
      <c r="C135" s="67"/>
      <c r="D135" s="67"/>
      <c r="E135" s="67"/>
      <c r="F135" s="67"/>
      <c r="G135" s="67"/>
      <c r="H135" s="67"/>
      <c r="I135" s="67"/>
      <c r="J135" s="67"/>
      <c r="K135" s="67"/>
      <c r="L135" s="67"/>
      <c r="M135" s="67"/>
      <c r="N135" s="67"/>
      <c r="O135" s="67"/>
    </row>
    <row r="136" spans="2:15" ht="23" thickBot="1">
      <c r="B136" s="67"/>
      <c r="C136" s="226" t="s">
        <v>80</v>
      </c>
      <c r="D136" s="150" t="s">
        <v>150</v>
      </c>
      <c r="E136" s="150" t="s">
        <v>151</v>
      </c>
      <c r="F136" s="67"/>
      <c r="G136" s="67"/>
      <c r="H136" s="152" t="s">
        <v>83</v>
      </c>
      <c r="I136" s="153"/>
      <c r="J136" s="153"/>
      <c r="K136" s="153"/>
      <c r="L136" s="153"/>
      <c r="M136" s="153"/>
      <c r="N136" s="153"/>
      <c r="O136" s="67"/>
    </row>
    <row r="137" spans="2:15" ht="20" thickBot="1">
      <c r="B137" s="67"/>
      <c r="C137" s="154">
        <v>298.14999999999998</v>
      </c>
      <c r="D137" s="156">
        <f t="shared" ref="D137:D155" si="21">(8*PI()^2*(2*PI()*$B$8*C137)^(3/2)*SQRT($D$132*$E$132*$F$132))/($H$139*$B$14^3)</f>
        <v>246.87393235744977</v>
      </c>
      <c r="E137" s="156">
        <f>(SQRT(PI())/$A$31)*((C137^1.5)/SQRT($C$29*$D$29*$E$29))</f>
        <v>146.40315964100756</v>
      </c>
      <c r="F137" s="141"/>
      <c r="G137" s="67"/>
      <c r="H137" s="67"/>
      <c r="I137" s="67"/>
      <c r="J137" s="67"/>
      <c r="K137" s="67"/>
      <c r="L137" s="67"/>
      <c r="M137" s="67"/>
      <c r="N137" s="67"/>
      <c r="O137" s="67"/>
    </row>
    <row r="138" spans="2:15" ht="20" thickBot="1">
      <c r="B138" s="67"/>
      <c r="C138" s="154">
        <v>300</v>
      </c>
      <c r="D138" s="156">
        <f t="shared" si="21"/>
        <v>249.17524638314001</v>
      </c>
      <c r="E138" s="156">
        <f>(SQRT(PI())/$A$31)*((C138^1.5)/SQRT($C$29*$D$29*$E$29))</f>
        <v>147.76790334428063</v>
      </c>
      <c r="F138" s="67"/>
      <c r="G138" s="67"/>
      <c r="L138" s="150" t="s">
        <v>152</v>
      </c>
      <c r="M138" s="150" t="s">
        <v>153</v>
      </c>
      <c r="N138" s="67"/>
      <c r="O138" s="67"/>
    </row>
    <row r="139" spans="2:15" ht="20" thickBot="1">
      <c r="B139" s="67"/>
      <c r="C139" s="157">
        <f>C138+100</f>
        <v>400</v>
      </c>
      <c r="D139" s="159">
        <f t="shared" si="21"/>
        <v>383.63038819919609</v>
      </c>
      <c r="E139" s="159">
        <f t="shared" ref="E139:E155" si="22">(SQRT(PI())/$A$31)*((C139^1.5)/SQRT($C$29*$D$29*$E$29))</f>
        <v>227.50357006241873</v>
      </c>
      <c r="F139" s="67"/>
      <c r="G139" s="110" t="s">
        <v>146</v>
      </c>
      <c r="H139" s="327">
        <v>12</v>
      </c>
      <c r="K139" s="160" t="s">
        <v>85</v>
      </c>
      <c r="L139" s="161">
        <f>$D$137</f>
        <v>246.87393235744977</v>
      </c>
      <c r="M139" s="302">
        <f>$E$137</f>
        <v>146.40315964100756</v>
      </c>
      <c r="N139" s="67"/>
      <c r="O139" s="67"/>
    </row>
    <row r="140" spans="2:15" ht="20" thickBot="1">
      <c r="B140" s="67"/>
      <c r="C140" s="157">
        <f t="shared" ref="C140:C155" si="23">C139+100</f>
        <v>500</v>
      </c>
      <c r="D140" s="159">
        <f t="shared" si="21"/>
        <v>536.13976640501767</v>
      </c>
      <c r="E140" s="159">
        <f t="shared" si="22"/>
        <v>317.9459048646591</v>
      </c>
      <c r="F140" s="67"/>
      <c r="G140" s="67"/>
      <c r="K140" s="162" t="s">
        <v>86</v>
      </c>
      <c r="L140" s="163">
        <f>P34</f>
        <v>146.40299999999999</v>
      </c>
      <c r="M140" s="163">
        <f>L140</f>
        <v>146.40299999999999</v>
      </c>
      <c r="N140" s="67"/>
      <c r="O140" s="67"/>
    </row>
    <row r="141" spans="2:15" ht="22">
      <c r="B141" s="67"/>
      <c r="C141" s="157">
        <f t="shared" si="23"/>
        <v>600</v>
      </c>
      <c r="D141" s="159">
        <f t="shared" si="21"/>
        <v>704.77402568539014</v>
      </c>
      <c r="E141" s="159">
        <f t="shared" si="22"/>
        <v>417.95074598583614</v>
      </c>
      <c r="F141" s="67"/>
      <c r="G141" s="67"/>
      <c r="H141" s="67"/>
      <c r="I141" s="67"/>
      <c r="K141" s="164" t="s">
        <v>87</v>
      </c>
      <c r="L141" s="165">
        <f>ABS(L139-L140)/L139</f>
        <v>0.40697262525059757</v>
      </c>
      <c r="M141" s="165">
        <f>ABS(M139-M140)/M139</f>
        <v>1.0904205070577142E-6</v>
      </c>
      <c r="N141" s="67"/>
      <c r="O141" s="67"/>
    </row>
    <row r="142" spans="2:15" ht="19">
      <c r="B142" s="67"/>
      <c r="C142" s="157">
        <f t="shared" si="23"/>
        <v>700</v>
      </c>
      <c r="D142" s="159">
        <f t="shared" si="21"/>
        <v>888.11677722445518</v>
      </c>
      <c r="E142" s="159">
        <f t="shared" si="22"/>
        <v>526.67813516895399</v>
      </c>
      <c r="F142" s="67"/>
      <c r="G142" s="67"/>
    </row>
    <row r="143" spans="2:15" ht="19">
      <c r="B143" s="67"/>
      <c r="C143" s="157">
        <f t="shared" si="23"/>
        <v>800</v>
      </c>
      <c r="D143" s="159">
        <f t="shared" si="21"/>
        <v>1085.0705958595045</v>
      </c>
      <c r="E143" s="159">
        <f t="shared" si="22"/>
        <v>643.47726854113989</v>
      </c>
      <c r="F143" s="67"/>
      <c r="G143" s="67"/>
    </row>
    <row r="144" spans="2:15" ht="19">
      <c r="B144" s="67"/>
      <c r="C144" s="157">
        <f t="shared" si="23"/>
        <v>900</v>
      </c>
      <c r="D144" s="159">
        <f t="shared" si="21"/>
        <v>1294.7525601722703</v>
      </c>
      <c r="E144" s="159">
        <f t="shared" si="22"/>
        <v>767.82454896066304</v>
      </c>
      <c r="F144" s="67"/>
      <c r="G144" s="67"/>
    </row>
    <row r="145" spans="3:5" ht="19">
      <c r="C145" s="157">
        <f t="shared" si="23"/>
        <v>1000</v>
      </c>
      <c r="D145" s="159">
        <f t="shared" si="21"/>
        <v>1516.4322579550208</v>
      </c>
      <c r="E145" s="159">
        <f t="shared" si="22"/>
        <v>899.28682152117278</v>
      </c>
    </row>
    <row r="146" spans="3:5" ht="19">
      <c r="C146" s="157">
        <f t="shared" si="23"/>
        <v>1100</v>
      </c>
      <c r="D146" s="159">
        <f t="shared" si="21"/>
        <v>1749.4923267732656</v>
      </c>
      <c r="E146" s="159">
        <f t="shared" si="22"/>
        <v>1037.4979729996389</v>
      </c>
    </row>
    <row r="147" spans="3:5" ht="19">
      <c r="C147" s="157">
        <f t="shared" si="23"/>
        <v>1200</v>
      </c>
      <c r="D147" s="159">
        <f t="shared" si="21"/>
        <v>1993.4019710651312</v>
      </c>
      <c r="E147" s="159">
        <f t="shared" si="22"/>
        <v>1182.143226754245</v>
      </c>
    </row>
    <row r="148" spans="3:5" ht="19">
      <c r="C148" s="157">
        <f t="shared" si="23"/>
        <v>1300</v>
      </c>
      <c r="D148" s="159">
        <f t="shared" si="21"/>
        <v>2247.6984326522916</v>
      </c>
      <c r="E148" s="159">
        <f t="shared" si="22"/>
        <v>1332.9481542181418</v>
      </c>
    </row>
    <row r="149" spans="3:5" ht="19">
      <c r="C149" s="157">
        <f t="shared" si="23"/>
        <v>1400</v>
      </c>
      <c r="D149" s="159">
        <f t="shared" si="21"/>
        <v>2511.9735826438255</v>
      </c>
      <c r="E149" s="159">
        <f t="shared" si="22"/>
        <v>1489.6707235226113</v>
      </c>
    </row>
    <row r="150" spans="3:5" ht="19">
      <c r="C150" s="157">
        <f t="shared" si="23"/>
        <v>1500</v>
      </c>
      <c r="D150" s="159">
        <f t="shared" si="21"/>
        <v>2785.86394611479</v>
      </c>
      <c r="E150" s="159">
        <f t="shared" si="22"/>
        <v>1652.0953838521509</v>
      </c>
    </row>
    <row r="151" spans="3:5" ht="19">
      <c r="C151" s="157">
        <f t="shared" si="23"/>
        <v>1600</v>
      </c>
      <c r="D151" s="159">
        <f t="shared" si="21"/>
        <v>3069.0431055935424</v>
      </c>
      <c r="E151" s="159">
        <f t="shared" si="22"/>
        <v>1820.0285604993505</v>
      </c>
    </row>
    <row r="152" spans="3:5" ht="19">
      <c r="C152" s="157">
        <f t="shared" si="23"/>
        <v>1700</v>
      </c>
      <c r="D152" s="159">
        <f t="shared" si="21"/>
        <v>3361.2157999517285</v>
      </c>
      <c r="E152" s="159">
        <f t="shared" si="22"/>
        <v>1993.2951553414787</v>
      </c>
    </row>
    <row r="153" spans="3:5" ht="19">
      <c r="C153" s="157">
        <f t="shared" si="23"/>
        <v>1800</v>
      </c>
      <c r="D153" s="159">
        <f t="shared" si="21"/>
        <v>3662.1132610258333</v>
      </c>
      <c r="E153" s="159">
        <f t="shared" si="22"/>
        <v>2171.7357813263507</v>
      </c>
    </row>
    <row r="154" spans="3:5" ht="19">
      <c r="C154" s="157">
        <f t="shared" si="23"/>
        <v>1900</v>
      </c>
      <c r="D154" s="159">
        <f t="shared" si="21"/>
        <v>3971.4894728499617</v>
      </c>
      <c r="E154" s="159">
        <f t="shared" si="22"/>
        <v>2355.2045440924217</v>
      </c>
    </row>
    <row r="155" spans="3:5" ht="20" thickBot="1">
      <c r="C155" s="166">
        <f t="shared" si="23"/>
        <v>2000</v>
      </c>
      <c r="D155" s="168">
        <f t="shared" si="21"/>
        <v>4289.118131240105</v>
      </c>
      <c r="E155" s="168">
        <f t="shared" si="22"/>
        <v>2543.5672389172692</v>
      </c>
    </row>
    <row r="162" spans="2:16" ht="19">
      <c r="B162" s="67"/>
      <c r="C162" s="67"/>
      <c r="D162" s="67"/>
      <c r="E162" s="67"/>
      <c r="F162" s="67"/>
      <c r="G162" s="67"/>
      <c r="H162" s="67"/>
      <c r="I162" s="67"/>
      <c r="J162" s="67"/>
      <c r="K162" s="67"/>
      <c r="L162" s="67"/>
      <c r="M162" s="67"/>
      <c r="N162" s="67"/>
      <c r="O162" s="67"/>
      <c r="P162" s="67"/>
    </row>
    <row r="163" spans="2:16" ht="19">
      <c r="B163" s="67"/>
      <c r="C163" s="67"/>
      <c r="D163" s="67"/>
      <c r="E163" s="67"/>
      <c r="F163" s="67" t="s">
        <v>78</v>
      </c>
      <c r="G163" s="67"/>
      <c r="H163" s="67"/>
      <c r="I163" s="67"/>
      <c r="J163" s="67"/>
      <c r="K163" s="67"/>
      <c r="L163" s="67"/>
      <c r="M163" s="67"/>
      <c r="N163" s="67"/>
      <c r="O163" s="67"/>
    </row>
    <row r="164" spans="2:16" ht="27">
      <c r="B164" s="67"/>
      <c r="C164" s="148" t="s">
        <v>111</v>
      </c>
      <c r="D164" s="149"/>
      <c r="E164" s="67"/>
      <c r="F164" s="67"/>
      <c r="G164" s="67"/>
      <c r="H164" s="67"/>
      <c r="I164" s="67"/>
      <c r="J164" s="67"/>
      <c r="K164" s="67"/>
      <c r="L164" s="67"/>
      <c r="M164" s="67"/>
      <c r="N164" s="67"/>
      <c r="O164" s="67"/>
    </row>
    <row r="165" spans="2:16" ht="19">
      <c r="B165" s="67"/>
      <c r="C165" s="67"/>
      <c r="D165" s="67"/>
      <c r="E165" s="67"/>
      <c r="F165" s="67"/>
      <c r="G165" s="67"/>
      <c r="H165" s="67"/>
      <c r="I165" s="67"/>
      <c r="J165" s="67"/>
      <c r="K165" s="67"/>
      <c r="L165" s="67"/>
      <c r="M165" s="67"/>
      <c r="N165" s="67"/>
      <c r="O165" s="67"/>
    </row>
    <row r="166" spans="2:16" ht="20" thickBot="1">
      <c r="B166" s="67"/>
      <c r="C166" s="142" t="s">
        <v>112</v>
      </c>
      <c r="F166" s="67"/>
      <c r="G166" s="67"/>
      <c r="H166" s="67"/>
      <c r="I166" s="67"/>
      <c r="J166" s="67"/>
      <c r="K166" s="67"/>
      <c r="L166" s="67"/>
      <c r="M166" s="67"/>
      <c r="N166" s="67"/>
      <c r="O166" s="67"/>
    </row>
    <row r="167" spans="2:16" ht="20" thickBot="1">
      <c r="B167" s="67"/>
      <c r="C167" s="229"/>
      <c r="D167" s="143">
        <v>1</v>
      </c>
      <c r="E167" s="305">
        <f>D167+1</f>
        <v>2</v>
      </c>
      <c r="F167" s="144" t="s">
        <v>113</v>
      </c>
      <c r="G167" s="67"/>
      <c r="H167" s="67"/>
      <c r="I167" s="67"/>
      <c r="J167" s="67"/>
      <c r="K167" s="67"/>
      <c r="L167" s="67"/>
      <c r="M167" s="67"/>
      <c r="N167" s="67"/>
      <c r="O167" s="67"/>
    </row>
    <row r="168" spans="2:16" ht="20" thickBot="1">
      <c r="B168" s="67"/>
      <c r="C168" s="230" t="s">
        <v>114</v>
      </c>
      <c r="D168" s="231">
        <f>J$46</f>
        <v>-40.5261</v>
      </c>
      <c r="E168" s="231">
        <f t="shared" ref="E168:F168" si="24">K$46</f>
        <v>-40.5261</v>
      </c>
      <c r="F168" s="231">
        <f t="shared" si="24"/>
        <v>-40.5261</v>
      </c>
      <c r="G168" s="67"/>
      <c r="H168" s="67"/>
      <c r="I168" s="67"/>
      <c r="J168" s="67"/>
      <c r="K168" s="67"/>
      <c r="L168" s="67"/>
      <c r="M168" s="67"/>
      <c r="N168" s="67"/>
      <c r="O168" s="67"/>
    </row>
    <row r="169" spans="2:16" ht="20" thickBot="1">
      <c r="B169" s="67"/>
      <c r="C169" s="233" t="s">
        <v>115</v>
      </c>
      <c r="D169" s="175">
        <f>D168*$K$7</f>
        <v>-1.7669379599999999E-16</v>
      </c>
      <c r="E169" s="175">
        <f t="shared" ref="E169:F169" si="25">E168*$K$7</f>
        <v>-1.7669379599999999E-16</v>
      </c>
      <c r="F169" s="175">
        <f t="shared" si="25"/>
        <v>-1.7669379599999999E-16</v>
      </c>
      <c r="G169" s="67"/>
      <c r="H169" s="67"/>
      <c r="I169" s="67"/>
      <c r="J169" s="67"/>
      <c r="K169" s="67"/>
      <c r="L169" s="67"/>
      <c r="M169" s="67"/>
      <c r="N169" s="67"/>
      <c r="O169" s="67"/>
    </row>
    <row r="170" spans="2:16" ht="20" thickBot="1">
      <c r="B170" s="67"/>
      <c r="D170" s="67"/>
      <c r="E170" s="67"/>
      <c r="F170" s="67"/>
      <c r="G170" s="67"/>
      <c r="H170" s="67"/>
      <c r="I170" s="67"/>
      <c r="J170" s="67"/>
      <c r="K170" s="67"/>
      <c r="L170" s="67"/>
      <c r="M170" s="67"/>
      <c r="N170" s="67"/>
      <c r="O170" s="67"/>
    </row>
    <row r="171" spans="2:16" ht="22" thickBot="1">
      <c r="B171" s="67"/>
      <c r="C171" s="208" t="s">
        <v>116</v>
      </c>
      <c r="D171" s="67"/>
      <c r="E171" s="67"/>
      <c r="F171" s="67"/>
      <c r="G171" s="67"/>
      <c r="H171" s="67"/>
      <c r="I171" s="67"/>
      <c r="J171" s="67"/>
      <c r="K171" s="67"/>
      <c r="L171" s="67"/>
      <c r="M171" s="67"/>
      <c r="N171" s="67"/>
      <c r="O171" s="67"/>
    </row>
    <row r="172" spans="2:16" ht="23" thickBot="1">
      <c r="B172" s="67"/>
      <c r="C172" s="235">
        <f>F169+L23</f>
        <v>-1.7649854647999999E-16</v>
      </c>
      <c r="F172" s="67"/>
      <c r="G172" s="67"/>
      <c r="H172" s="152" t="s">
        <v>83</v>
      </c>
      <c r="I172" s="153"/>
      <c r="J172" s="153"/>
      <c r="K172" s="153"/>
      <c r="L172" s="153"/>
      <c r="M172" s="153"/>
      <c r="N172" s="67"/>
      <c r="O172" s="67"/>
    </row>
    <row r="173" spans="2:16" ht="20" thickBot="1">
      <c r="B173" s="67"/>
      <c r="F173" s="141"/>
      <c r="G173" s="67"/>
      <c r="H173" s="67"/>
      <c r="I173" s="67"/>
      <c r="J173" s="67"/>
      <c r="K173" s="67"/>
      <c r="L173" s="67"/>
      <c r="M173" s="67"/>
      <c r="N173" s="67"/>
      <c r="O173" s="67"/>
    </row>
    <row r="174" spans="2:16" ht="22" thickBot="1">
      <c r="B174" s="67"/>
      <c r="C174" s="226" t="s">
        <v>80</v>
      </c>
      <c r="D174" s="236" t="s">
        <v>117</v>
      </c>
      <c r="F174" s="67"/>
      <c r="G174" s="67"/>
      <c r="L174" s="150" t="s">
        <v>84</v>
      </c>
      <c r="M174" s="67"/>
      <c r="N174" s="67"/>
      <c r="O174" s="67"/>
    </row>
    <row r="175" spans="2:16" ht="20" thickBot="1">
      <c r="B175" s="67"/>
      <c r="C175" s="154">
        <v>298.14999999999998</v>
      </c>
      <c r="D175" s="156">
        <f>1</f>
        <v>1</v>
      </c>
      <c r="F175" s="67"/>
      <c r="G175" s="67"/>
      <c r="K175" s="160" t="s">
        <v>85</v>
      </c>
      <c r="L175" s="161">
        <f>1</f>
        <v>1</v>
      </c>
      <c r="M175" s="67"/>
      <c r="N175" s="67"/>
      <c r="O175" s="67"/>
    </row>
    <row r="176" spans="2:16" ht="20" thickBot="1">
      <c r="B176" s="67"/>
      <c r="C176" s="154">
        <v>300</v>
      </c>
      <c r="D176" s="156">
        <f>1</f>
        <v>1</v>
      </c>
      <c r="F176" s="67"/>
      <c r="G176" s="67"/>
      <c r="K176" s="162" t="s">
        <v>86</v>
      </c>
      <c r="L176" s="163">
        <f>P32</f>
        <v>1</v>
      </c>
      <c r="M176" s="67"/>
      <c r="N176" s="67"/>
      <c r="O176" s="67"/>
    </row>
    <row r="177" spans="2:15" ht="22">
      <c r="B177" s="67"/>
      <c r="C177" s="157">
        <f>C176+100</f>
        <v>400</v>
      </c>
      <c r="D177" s="159">
        <f>1</f>
        <v>1</v>
      </c>
      <c r="F177" s="67"/>
      <c r="G177" s="67"/>
      <c r="H177" s="67"/>
      <c r="I177" s="67"/>
      <c r="K177" s="164" t="s">
        <v>87</v>
      </c>
      <c r="L177" s="165">
        <f>ABS(L175-L176)/L175</f>
        <v>0</v>
      </c>
      <c r="M177" s="67"/>
      <c r="N177" s="67"/>
      <c r="O177" s="67"/>
    </row>
    <row r="178" spans="2:15" ht="19">
      <c r="B178" s="67"/>
      <c r="C178" s="157">
        <f t="shared" ref="C178:C193" si="26">C177+100</f>
        <v>500</v>
      </c>
      <c r="D178" s="159">
        <f>1</f>
        <v>1</v>
      </c>
      <c r="F178" s="67"/>
      <c r="G178" s="67"/>
    </row>
    <row r="179" spans="2:15" ht="19">
      <c r="B179" s="67"/>
      <c r="C179" s="157">
        <f t="shared" si="26"/>
        <v>600</v>
      </c>
      <c r="D179" s="159">
        <f>1</f>
        <v>1</v>
      </c>
      <c r="F179" s="67"/>
      <c r="G179" s="67"/>
    </row>
    <row r="180" spans="2:15" ht="19">
      <c r="B180" s="67"/>
      <c r="C180" s="157">
        <f t="shared" si="26"/>
        <v>700</v>
      </c>
      <c r="D180" s="159">
        <f>1</f>
        <v>1</v>
      </c>
      <c r="F180" s="67"/>
      <c r="G180" s="67"/>
    </row>
    <row r="181" spans="2:15" ht="19">
      <c r="C181" s="157">
        <f t="shared" si="26"/>
        <v>800</v>
      </c>
      <c r="D181" s="159">
        <f>1</f>
        <v>1</v>
      </c>
    </row>
    <row r="182" spans="2:15" ht="19">
      <c r="C182" s="157">
        <f t="shared" si="26"/>
        <v>900</v>
      </c>
      <c r="D182" s="159">
        <f>1</f>
        <v>1</v>
      </c>
    </row>
    <row r="183" spans="2:15" ht="19">
      <c r="C183" s="157">
        <f t="shared" si="26"/>
        <v>1000</v>
      </c>
      <c r="D183" s="159">
        <f>1</f>
        <v>1</v>
      </c>
    </row>
    <row r="184" spans="2:15" ht="19">
      <c r="C184" s="157">
        <f t="shared" si="26"/>
        <v>1100</v>
      </c>
      <c r="D184" s="159">
        <f>1</f>
        <v>1</v>
      </c>
    </row>
    <row r="185" spans="2:15" ht="19">
      <c r="C185" s="157">
        <f t="shared" si="26"/>
        <v>1200</v>
      </c>
      <c r="D185" s="159">
        <f>1</f>
        <v>1</v>
      </c>
    </row>
    <row r="186" spans="2:15" ht="19">
      <c r="C186" s="157">
        <f t="shared" si="26"/>
        <v>1300</v>
      </c>
      <c r="D186" s="159">
        <f>1</f>
        <v>1</v>
      </c>
    </row>
    <row r="187" spans="2:15" ht="19">
      <c r="C187" s="157">
        <f t="shared" si="26"/>
        <v>1400</v>
      </c>
      <c r="D187" s="159">
        <f>1</f>
        <v>1</v>
      </c>
    </row>
    <row r="188" spans="2:15" ht="19">
      <c r="C188" s="157">
        <f t="shared" si="26"/>
        <v>1500</v>
      </c>
      <c r="D188" s="159">
        <f>1</f>
        <v>1</v>
      </c>
    </row>
    <row r="189" spans="2:15" ht="19">
      <c r="C189" s="157">
        <f t="shared" si="26"/>
        <v>1600</v>
      </c>
      <c r="D189" s="159">
        <f>1</f>
        <v>1</v>
      </c>
    </row>
    <row r="190" spans="2:15" ht="19">
      <c r="C190" s="157">
        <f t="shared" si="26"/>
        <v>1700</v>
      </c>
      <c r="D190" s="159">
        <f>1</f>
        <v>1</v>
      </c>
    </row>
    <row r="191" spans="2:15" ht="19">
      <c r="C191" s="157">
        <f t="shared" si="26"/>
        <v>1800</v>
      </c>
      <c r="D191" s="159">
        <f>1</f>
        <v>1</v>
      </c>
    </row>
    <row r="192" spans="2:15" ht="19">
      <c r="C192" s="157">
        <f t="shared" si="26"/>
        <v>1900</v>
      </c>
      <c r="D192" s="159">
        <f>1</f>
        <v>1</v>
      </c>
    </row>
    <row r="193" spans="3:11" ht="20" thickBot="1">
      <c r="C193" s="166">
        <f t="shared" si="26"/>
        <v>2000</v>
      </c>
      <c r="D193" s="168">
        <f>1</f>
        <v>1</v>
      </c>
    </row>
    <row r="197" spans="3:11" ht="17" thickBot="1"/>
    <row r="198" spans="3:11" ht="20" thickBot="1">
      <c r="E198" s="67"/>
      <c r="F198" s="67" t="s">
        <v>78</v>
      </c>
      <c r="G198" s="67"/>
      <c r="H198" s="321" t="s">
        <v>118</v>
      </c>
      <c r="I198" s="328"/>
      <c r="J198" s="328"/>
      <c r="K198" s="322"/>
    </row>
    <row r="199" spans="3:11" ht="28" thickBot="1">
      <c r="C199" s="148" t="s">
        <v>119</v>
      </c>
      <c r="D199" s="149"/>
      <c r="E199" s="67"/>
      <c r="F199" s="67"/>
      <c r="G199" s="67"/>
      <c r="H199" s="138" t="s">
        <v>120</v>
      </c>
      <c r="I199" s="138" t="s">
        <v>121</v>
      </c>
      <c r="J199" s="138" t="s">
        <v>122</v>
      </c>
      <c r="K199" s="138" t="s">
        <v>123</v>
      </c>
    </row>
    <row r="202" spans="3:11" ht="17" thickBot="1"/>
    <row r="203" spans="3:11" ht="20" thickBot="1">
      <c r="D203" s="240" t="s">
        <v>124</v>
      </c>
      <c r="E203" s="241"/>
    </row>
    <row r="204" spans="3:11" ht="20" thickBot="1">
      <c r="D204" s="174" t="s">
        <v>125</v>
      </c>
      <c r="E204" s="242" t="s">
        <v>126</v>
      </c>
    </row>
    <row r="205" spans="3:11" ht="19">
      <c r="C205" s="93" t="s">
        <v>45</v>
      </c>
      <c r="D205" s="99">
        <f>$Q23</f>
        <v>6.4610000000000003</v>
      </c>
      <c r="E205" s="161">
        <f>D205*4.184</f>
        <v>27.032824000000002</v>
      </c>
    </row>
    <row r="206" spans="3:11" ht="19">
      <c r="C206" s="101" t="s">
        <v>48</v>
      </c>
      <c r="D206" s="99">
        <f t="shared" ref="D206:D209" si="27">$Q24</f>
        <v>0</v>
      </c>
      <c r="E206" s="245">
        <f t="shared" ref="E206:E209" si="28">D206*4.184</f>
        <v>0</v>
      </c>
    </row>
    <row r="207" spans="3:11" ht="19">
      <c r="C207" s="101" t="s">
        <v>50</v>
      </c>
      <c r="D207" s="99">
        <f t="shared" si="27"/>
        <v>2.9809999999999999</v>
      </c>
      <c r="E207" s="245">
        <f t="shared" si="28"/>
        <v>12.472504000000001</v>
      </c>
    </row>
    <row r="208" spans="3:11" ht="19">
      <c r="C208" s="101" t="s">
        <v>52</v>
      </c>
      <c r="D208" s="99">
        <f t="shared" si="27"/>
        <v>2.9809999999999999</v>
      </c>
      <c r="E208" s="245">
        <f t="shared" si="28"/>
        <v>12.472504000000001</v>
      </c>
    </row>
    <row r="209" spans="3:16" ht="20" thickBot="1">
      <c r="C209" s="106" t="s">
        <v>55</v>
      </c>
      <c r="D209" s="99">
        <f t="shared" si="27"/>
        <v>0.499</v>
      </c>
      <c r="E209" s="245">
        <f t="shared" si="28"/>
        <v>2.0878160000000001</v>
      </c>
      <c r="K209">
        <f>COLUMN(E205)</f>
        <v>5</v>
      </c>
    </row>
    <row r="210" spans="3:16" ht="24" customHeight="1"/>
    <row r="211" spans="3:16" ht="17" thickBot="1"/>
    <row r="212" spans="3:16" ht="23" thickBot="1">
      <c r="D212" s="246" t="s">
        <v>126</v>
      </c>
      <c r="E212" s="247"/>
      <c r="F212" s="247"/>
      <c r="G212" s="247"/>
      <c r="H212" s="248"/>
      <c r="J212" s="152" t="s">
        <v>83</v>
      </c>
      <c r="K212" s="153"/>
      <c r="L212" s="153"/>
      <c r="M212" s="153"/>
      <c r="N212" s="153"/>
      <c r="O212" s="153"/>
      <c r="P212" s="67"/>
    </row>
    <row r="213" spans="3:16" ht="20" thickBot="1">
      <c r="C213" s="226" t="s">
        <v>80</v>
      </c>
      <c r="D213" s="249" t="s">
        <v>127</v>
      </c>
      <c r="E213" s="250" t="s">
        <v>128</v>
      </c>
      <c r="F213" s="250" t="s">
        <v>129</v>
      </c>
      <c r="G213" s="251" t="s">
        <v>130</v>
      </c>
      <c r="H213" s="208" t="s">
        <v>131</v>
      </c>
      <c r="J213" s="67"/>
      <c r="K213" s="67"/>
      <c r="L213" s="67"/>
      <c r="M213" s="67"/>
      <c r="N213" s="67"/>
      <c r="O213" s="67"/>
      <c r="P213" s="67"/>
    </row>
    <row r="214" spans="3:16" ht="20" thickBot="1">
      <c r="C214" s="176">
        <v>298.14999999999998</v>
      </c>
      <c r="D214" s="329">
        <f>3*$B$7/2</f>
        <v>12.471599999999999</v>
      </c>
      <c r="E214" s="331" cm="1">
        <f t="array" ref="E214">$B$7*SUM(($D$42:$D$50*$D$42:$D$50)*EXP($D$42:$D$50/$C214)/($C214^2*(EXP($D$42:$D$50/$C214)-1)^2))</f>
        <v>2.0892423578207864</v>
      </c>
      <c r="F214" s="330">
        <f>3*$B$7/2</f>
        <v>12.471599999999999</v>
      </c>
      <c r="G214" s="330">
        <v>0</v>
      </c>
      <c r="H214" s="254">
        <f t="shared" ref="H214:H232" si="29">SUM(D214:G214)</f>
        <v>27.032442357820784</v>
      </c>
      <c r="K214" s="249" t="s">
        <v>127</v>
      </c>
      <c r="L214" s="250" t="s">
        <v>128</v>
      </c>
      <c r="M214" s="250" t="s">
        <v>129</v>
      </c>
      <c r="N214" s="251" t="s">
        <v>130</v>
      </c>
      <c r="O214" s="208" t="s">
        <v>131</v>
      </c>
      <c r="P214" s="67"/>
    </row>
    <row r="215" spans="3:16" ht="19">
      <c r="C215" s="154">
        <v>300</v>
      </c>
      <c r="D215" s="329">
        <f>3*$B$7/2</f>
        <v>12.471599999999999</v>
      </c>
      <c r="E215" s="331" cm="1">
        <f t="array" ref="E215">$B$7*SUM(($D$42:$D$50*$D$42:$D$50)*EXP($D$42:$D$50/$C215)/($C215^2*(EXP($D$42:$D$50/$C215)-1)^2))</f>
        <v>2.1516541465064041</v>
      </c>
      <c r="F215" s="330">
        <f>3*$B$7/2</f>
        <v>12.471599999999999</v>
      </c>
      <c r="G215" s="332">
        <v>0</v>
      </c>
      <c r="H215" s="254">
        <f t="shared" si="29"/>
        <v>27.0948541465064</v>
      </c>
      <c r="J215" s="160" t="s">
        <v>85</v>
      </c>
      <c r="K215" s="161">
        <f>D$214</f>
        <v>12.471599999999999</v>
      </c>
      <c r="L215" s="161">
        <f t="shared" ref="L215:O215" si="30">E$214</f>
        <v>2.0892423578207864</v>
      </c>
      <c r="M215" s="161">
        <f t="shared" si="30"/>
        <v>12.471599999999999</v>
      </c>
      <c r="N215" s="161">
        <f t="shared" si="30"/>
        <v>0</v>
      </c>
      <c r="O215" s="161">
        <f t="shared" si="30"/>
        <v>27.032442357820784</v>
      </c>
      <c r="P215" s="67"/>
    </row>
    <row r="216" spans="3:16" ht="20" thickBot="1">
      <c r="C216" s="157">
        <f>C215+100</f>
        <v>400</v>
      </c>
      <c r="D216" s="333">
        <f t="shared" ref="D216:D232" si="31">3*$B$7/2</f>
        <v>12.471599999999999</v>
      </c>
      <c r="E216" s="341" cm="1">
        <f t="array" ref="E216">$B$7*SUM(($D$42:$D$50*$D$42:$D$50)*EXP($D$42:$D$50/$C216)/($C216^2*(EXP($D$42:$D$50/$C216)-1)^2))</f>
        <v>6.6428533135657748</v>
      </c>
      <c r="F216" s="295">
        <f t="shared" ref="F216:F232" si="32">3*$B$7/2</f>
        <v>12.471599999999999</v>
      </c>
      <c r="G216" s="334">
        <v>0</v>
      </c>
      <c r="H216" s="258">
        <f t="shared" si="29"/>
        <v>31.586053313565774</v>
      </c>
      <c r="J216" s="162" t="s">
        <v>86</v>
      </c>
      <c r="K216" s="163">
        <f>E207</f>
        <v>12.472504000000001</v>
      </c>
      <c r="L216" s="163">
        <f>E209</f>
        <v>2.0878160000000001</v>
      </c>
      <c r="M216" s="163">
        <f>E208</f>
        <v>12.472504000000001</v>
      </c>
      <c r="N216" s="163">
        <f>E206</f>
        <v>0</v>
      </c>
      <c r="O216" s="163">
        <f>E205</f>
        <v>27.032824000000002</v>
      </c>
      <c r="P216" s="67"/>
    </row>
    <row r="217" spans="3:16" ht="22">
      <c r="C217" s="157">
        <f t="shared" ref="C217:C232" si="33">C216+100</f>
        <v>500</v>
      </c>
      <c r="D217" s="333">
        <f t="shared" si="31"/>
        <v>12.471599999999999</v>
      </c>
      <c r="E217" s="341" cm="1">
        <f t="array" ref="E217">$B$7*SUM(($D$42:$D$50*$D$42:$D$50)*EXP($D$42:$D$50/$C217)/($C217^2*(EXP($D$42:$D$50/$C217)-1)^2))</f>
        <v>12.260525057213679</v>
      </c>
      <c r="F217" s="295">
        <f t="shared" si="32"/>
        <v>12.471599999999999</v>
      </c>
      <c r="G217" s="334">
        <v>0</v>
      </c>
      <c r="H217" s="258">
        <f t="shared" si="29"/>
        <v>37.203725057213674</v>
      </c>
      <c r="J217" s="164" t="s">
        <v>87</v>
      </c>
      <c r="K217" s="165">
        <f>IFERROR(ABS(K215-K216)/K215,0)</f>
        <v>7.2484685204946797E-5</v>
      </c>
      <c r="L217" s="165">
        <f t="shared" ref="L217:O217" si="34">IFERROR(ABS(L215-L216)/L215,0)</f>
        <v>6.8271534676046114E-4</v>
      </c>
      <c r="M217" s="165">
        <f t="shared" si="34"/>
        <v>7.2484685204946797E-5</v>
      </c>
      <c r="N217" s="165">
        <f t="shared" si="34"/>
        <v>0</v>
      </c>
      <c r="O217" s="165">
        <f t="shared" si="34"/>
        <v>1.4117931860008563E-5</v>
      </c>
      <c r="P217" s="67"/>
    </row>
    <row r="218" spans="3:16" ht="19">
      <c r="C218" s="157">
        <f t="shared" si="33"/>
        <v>600</v>
      </c>
      <c r="D218" s="333">
        <f t="shared" si="31"/>
        <v>12.471599999999999</v>
      </c>
      <c r="E218" s="341" cm="1">
        <f t="array" ref="E218">$B$7*SUM(($D$42:$D$50*$D$42:$D$50)*EXP($D$42:$D$50/$C218)/($C218^2*(EXP($D$42:$D$50/$C218)-1)^2))</f>
        <v>17.971598735219455</v>
      </c>
      <c r="F218" s="295">
        <f t="shared" si="32"/>
        <v>12.471599999999999</v>
      </c>
      <c r="G218" s="334">
        <v>0</v>
      </c>
      <c r="H218" s="258">
        <f t="shared" si="29"/>
        <v>42.914798735219449</v>
      </c>
    </row>
    <row r="219" spans="3:16" ht="19">
      <c r="C219" s="157">
        <f t="shared" si="33"/>
        <v>700</v>
      </c>
      <c r="D219" s="333">
        <f t="shared" si="31"/>
        <v>12.471599999999999</v>
      </c>
      <c r="E219" s="341" cm="1">
        <f t="array" ref="E219">$B$7*SUM(($D$42:$D$50*$D$42:$D$50)*EXP($D$42:$D$50/$C219)/($C219^2*(EXP($D$42:$D$50/$C219)-1)^2))</f>
        <v>23.396560524406762</v>
      </c>
      <c r="F219" s="295">
        <f t="shared" si="32"/>
        <v>12.471599999999999</v>
      </c>
      <c r="G219" s="334">
        <v>0</v>
      </c>
      <c r="H219" s="258">
        <f t="shared" si="29"/>
        <v>48.339760524406756</v>
      </c>
    </row>
    <row r="220" spans="3:16" ht="19">
      <c r="C220" s="157">
        <f t="shared" si="33"/>
        <v>800</v>
      </c>
      <c r="D220" s="333">
        <f t="shared" si="31"/>
        <v>12.471599999999999</v>
      </c>
      <c r="E220" s="341" cm="1">
        <f t="array" ref="E220">$B$7*SUM(($D$42:$D$50*$D$42:$D$50)*EXP($D$42:$D$50/$C220)/($C220^2*(EXP($D$42:$D$50/$C220)-1)^2))</f>
        <v>28.425215171871532</v>
      </c>
      <c r="F220" s="295">
        <f t="shared" si="32"/>
        <v>12.471599999999999</v>
      </c>
      <c r="G220" s="334">
        <v>0</v>
      </c>
      <c r="H220" s="258">
        <f t="shared" si="29"/>
        <v>53.368415171871533</v>
      </c>
    </row>
    <row r="221" spans="3:16" ht="19">
      <c r="C221" s="157">
        <f t="shared" si="33"/>
        <v>900</v>
      </c>
      <c r="D221" s="333">
        <f t="shared" si="31"/>
        <v>12.471599999999999</v>
      </c>
      <c r="E221" s="341" cm="1">
        <f t="array" ref="E221">$B$7*SUM(($D$42:$D$50*$D$42:$D$50)*EXP($D$42:$D$50/$C221)/($C221^2*(EXP($D$42:$D$50/$C221)-1)^2))</f>
        <v>33.024021363696363</v>
      </c>
      <c r="F221" s="295">
        <f t="shared" si="32"/>
        <v>12.471599999999999</v>
      </c>
      <c r="G221" s="334">
        <v>0</v>
      </c>
      <c r="H221" s="258">
        <f t="shared" si="29"/>
        <v>57.967221363696353</v>
      </c>
    </row>
    <row r="222" spans="3:16" ht="19">
      <c r="C222" s="157">
        <f t="shared" si="33"/>
        <v>1000</v>
      </c>
      <c r="D222" s="333">
        <f t="shared" si="31"/>
        <v>12.471599999999999</v>
      </c>
      <c r="E222" s="341" cm="1">
        <f t="array" ref="E222">$B$7*SUM(($D$42:$D$50*$D$42:$D$50)*EXP($D$42:$D$50/$C222)/($C222^2*(EXP($D$42:$D$50/$C222)-1)^2))</f>
        <v>37.185509445501083</v>
      </c>
      <c r="F222" s="295">
        <f t="shared" si="32"/>
        <v>12.471599999999999</v>
      </c>
      <c r="G222" s="334">
        <v>0</v>
      </c>
      <c r="H222" s="258">
        <f t="shared" si="29"/>
        <v>62.128709445501073</v>
      </c>
    </row>
    <row r="223" spans="3:16" ht="19">
      <c r="C223" s="157">
        <f t="shared" si="33"/>
        <v>1100</v>
      </c>
      <c r="D223" s="333">
        <f t="shared" si="31"/>
        <v>12.471599999999999</v>
      </c>
      <c r="E223" s="341" cm="1">
        <f t="array" ref="E223">$B$7*SUM(($D$42:$D$50*$D$42:$D$50)*EXP($D$42:$D$50/$C223)/($C223^2*(EXP($D$42:$D$50/$C223)-1)^2))</f>
        <v>40.918906989071502</v>
      </c>
      <c r="F223" s="295">
        <f t="shared" si="32"/>
        <v>12.471599999999999</v>
      </c>
      <c r="G223" s="334">
        <v>0</v>
      </c>
      <c r="H223" s="258">
        <f t="shared" si="29"/>
        <v>65.862106989071492</v>
      </c>
    </row>
    <row r="224" spans="3:16" ht="19">
      <c r="C224" s="157">
        <f t="shared" si="33"/>
        <v>1200</v>
      </c>
      <c r="D224" s="333">
        <f t="shared" si="31"/>
        <v>12.471599999999999</v>
      </c>
      <c r="E224" s="341" cm="1">
        <f t="array" ref="E224">$B$7*SUM(($D$42:$D$50*$D$42:$D$50)*EXP($D$42:$D$50/$C224)/($C224^2*(EXP($D$42:$D$50/$C224)-1)^2))</f>
        <v>44.246445768537747</v>
      </c>
      <c r="F224" s="295">
        <f t="shared" si="32"/>
        <v>12.471599999999999</v>
      </c>
      <c r="G224" s="334">
        <v>0</v>
      </c>
      <c r="H224" s="258">
        <f t="shared" si="29"/>
        <v>69.189645768537744</v>
      </c>
    </row>
    <row r="225" spans="3:11" ht="19">
      <c r="C225" s="157">
        <f t="shared" si="33"/>
        <v>1300</v>
      </c>
      <c r="D225" s="333">
        <f t="shared" si="31"/>
        <v>12.471599999999999</v>
      </c>
      <c r="E225" s="341" cm="1">
        <f t="array" ref="E225">$B$7*SUM(($D$42:$D$50*$D$42:$D$50)*EXP($D$42:$D$50/$C225)/($C225^2*(EXP($D$42:$D$50/$C225)-1)^2))</f>
        <v>47.199095197128734</v>
      </c>
      <c r="F225" s="295">
        <f t="shared" si="32"/>
        <v>12.471599999999999</v>
      </c>
      <c r="G225" s="334">
        <v>0</v>
      </c>
      <c r="H225" s="258">
        <f t="shared" si="29"/>
        <v>72.142295197128732</v>
      </c>
    </row>
    <row r="226" spans="3:11" ht="19">
      <c r="C226" s="157">
        <f t="shared" si="33"/>
        <v>1400</v>
      </c>
      <c r="D226" s="333">
        <f t="shared" si="31"/>
        <v>12.471599999999999</v>
      </c>
      <c r="E226" s="341" cm="1">
        <f t="array" ref="E226">$B$7*SUM(($D$42:$D$50*$D$42:$D$50)*EXP($D$42:$D$50/$C226)/($C226^2*(EXP($D$42:$D$50/$C226)-1)^2))</f>
        <v>49.812292331867766</v>
      </c>
      <c r="F226" s="295">
        <f t="shared" si="32"/>
        <v>12.471599999999999</v>
      </c>
      <c r="G226" s="334">
        <v>0</v>
      </c>
      <c r="H226" s="258">
        <f t="shared" si="29"/>
        <v>74.755492331867757</v>
      </c>
    </row>
    <row r="227" spans="3:11" ht="19">
      <c r="C227" s="157">
        <f t="shared" si="33"/>
        <v>1500</v>
      </c>
      <c r="D227" s="333">
        <f t="shared" si="31"/>
        <v>12.471599999999999</v>
      </c>
      <c r="E227" s="341" cm="1">
        <f t="array" ref="E227">$B$7*SUM(($D$42:$D$50*$D$42:$D$50)*EXP($D$42:$D$50/$C227)/($C227^2*(EXP($D$42:$D$50/$C227)-1)^2))</f>
        <v>52.122541541593264</v>
      </c>
      <c r="F227" s="295">
        <f t="shared" si="32"/>
        <v>12.471599999999999</v>
      </c>
      <c r="G227" s="334">
        <v>0</v>
      </c>
      <c r="H227" s="258">
        <f t="shared" si="29"/>
        <v>77.065741541593255</v>
      </c>
    </row>
    <row r="228" spans="3:11" ht="19">
      <c r="C228" s="157">
        <f t="shared" si="33"/>
        <v>1600</v>
      </c>
      <c r="D228" s="333">
        <f t="shared" si="31"/>
        <v>12.471599999999999</v>
      </c>
      <c r="E228" s="341" cm="1">
        <f t="array" ref="E228">$B$7*SUM(($D$42:$D$50*$D$42:$D$50)*EXP($D$42:$D$50/$C228)/($C228^2*(EXP($D$42:$D$50/$C228)-1)^2))</f>
        <v>54.165124207444343</v>
      </c>
      <c r="F228" s="295">
        <f t="shared" si="32"/>
        <v>12.471599999999999</v>
      </c>
      <c r="G228" s="334">
        <v>0</v>
      </c>
      <c r="H228" s="258">
        <f t="shared" si="29"/>
        <v>79.10832420744434</v>
      </c>
    </row>
    <row r="229" spans="3:11" ht="19">
      <c r="C229" s="157">
        <f t="shared" si="33"/>
        <v>1700</v>
      </c>
      <c r="D229" s="333">
        <f t="shared" si="31"/>
        <v>12.471599999999999</v>
      </c>
      <c r="E229" s="341" cm="1">
        <f t="array" ref="E229">$B$7*SUM(($D$42:$D$50*$D$42:$D$50)*EXP($D$42:$D$50/$C229)/($C229^2*(EXP($D$42:$D$50/$C229)-1)^2))</f>
        <v>55.972772610273616</v>
      </c>
      <c r="F229" s="295">
        <f t="shared" si="32"/>
        <v>12.471599999999999</v>
      </c>
      <c r="G229" s="334">
        <v>0</v>
      </c>
      <c r="H229" s="258">
        <f t="shared" si="29"/>
        <v>80.915972610273613</v>
      </c>
    </row>
    <row r="230" spans="3:11" ht="19">
      <c r="C230" s="157">
        <f t="shared" si="33"/>
        <v>1800</v>
      </c>
      <c r="D230" s="333">
        <f t="shared" si="31"/>
        <v>12.471599999999999</v>
      </c>
      <c r="E230" s="341" cm="1">
        <f t="array" ref="E230">$B$7*SUM(($D$42:$D$50*$D$42:$D$50)*EXP($D$42:$D$50/$C230)/($C230^2*(EXP($D$42:$D$50/$C230)-1)^2))</f>
        <v>57.575045721202748</v>
      </c>
      <c r="F230" s="295">
        <f t="shared" si="32"/>
        <v>12.471599999999999</v>
      </c>
      <c r="G230" s="334">
        <v>0</v>
      </c>
      <c r="H230" s="258">
        <f t="shared" si="29"/>
        <v>82.518245721202746</v>
      </c>
    </row>
    <row r="231" spans="3:11" ht="19">
      <c r="C231" s="157">
        <f t="shared" si="33"/>
        <v>1900</v>
      </c>
      <c r="D231" s="333">
        <f t="shared" si="31"/>
        <v>12.471599999999999</v>
      </c>
      <c r="E231" s="341" cm="1">
        <f t="array" ref="E231">$B$7*SUM(($D$42:$D$50*$D$42:$D$50)*EXP($D$42:$D$50/$C231)/($C231^2*(EXP($D$42:$D$50/$C231)-1)^2))</f>
        <v>58.998161585728603</v>
      </c>
      <c r="F231" s="295">
        <f t="shared" si="32"/>
        <v>12.471599999999999</v>
      </c>
      <c r="G231" s="334">
        <v>0</v>
      </c>
      <c r="H231" s="258">
        <f t="shared" si="29"/>
        <v>83.9413615857286</v>
      </c>
    </row>
    <row r="232" spans="3:11" ht="20" thickBot="1">
      <c r="C232" s="166">
        <f t="shared" si="33"/>
        <v>2000</v>
      </c>
      <c r="D232" s="335">
        <f t="shared" si="31"/>
        <v>12.471599999999999</v>
      </c>
      <c r="E232" s="342" cm="1">
        <f t="array" ref="E232">$B$7*SUM(($D$42:$D$50*$D$42:$D$50)*EXP($D$42:$D$50/$C232)/($C232^2*(EXP($D$42:$D$50/$C232)-1)^2))</f>
        <v>60.265099710683764</v>
      </c>
      <c r="F232" s="336">
        <f t="shared" si="32"/>
        <v>12.471599999999999</v>
      </c>
      <c r="G232" s="337">
        <v>0</v>
      </c>
      <c r="H232" s="262">
        <f t="shared" si="29"/>
        <v>85.208299710683761</v>
      </c>
    </row>
    <row r="238" spans="3:11" ht="17" thickBot="1"/>
    <row r="239" spans="3:11" ht="20" thickBot="1">
      <c r="E239" s="67"/>
      <c r="F239" s="67" t="s">
        <v>78</v>
      </c>
      <c r="G239" s="67"/>
      <c r="H239" s="321" t="s">
        <v>118</v>
      </c>
      <c r="I239" s="328"/>
      <c r="J239" s="328"/>
      <c r="K239" s="322"/>
    </row>
    <row r="240" spans="3:11" ht="28" thickBot="1">
      <c r="C240" s="148" t="s">
        <v>132</v>
      </c>
      <c r="D240" s="149"/>
      <c r="E240" s="67"/>
      <c r="F240" s="67"/>
      <c r="G240" s="67"/>
      <c r="H240" s="138" t="s">
        <v>120</v>
      </c>
      <c r="I240" s="138" t="s">
        <v>121</v>
      </c>
      <c r="J240" s="138" t="s">
        <v>122</v>
      </c>
      <c r="K240" s="138" t="s">
        <v>123</v>
      </c>
    </row>
    <row r="244" spans="3:10" ht="20" thickBot="1">
      <c r="D244" s="338"/>
      <c r="E244" s="338"/>
    </row>
    <row r="245" spans="3:10" ht="20" thickBot="1">
      <c r="D245" s="240" t="s">
        <v>133</v>
      </c>
      <c r="E245" s="241"/>
    </row>
    <row r="246" spans="3:10" ht="20" thickBot="1">
      <c r="D246" s="174" t="s">
        <v>125</v>
      </c>
      <c r="E246" s="242" t="s">
        <v>126</v>
      </c>
    </row>
    <row r="247" spans="3:10" ht="19">
      <c r="C247" s="93" t="s">
        <v>45</v>
      </c>
      <c r="D247" s="375">
        <f>$R23</f>
        <v>47.235999999999997</v>
      </c>
      <c r="E247" s="161">
        <f>D247*4.184</f>
        <v>197.635424</v>
      </c>
    </row>
    <row r="248" spans="3:10" ht="19">
      <c r="C248" s="101" t="s">
        <v>48</v>
      </c>
      <c r="D248" s="375">
        <f t="shared" ref="D248:D251" si="35">$R24</f>
        <v>0</v>
      </c>
      <c r="E248" s="245">
        <f t="shared" ref="E248:E251" si="36">D248*4.184</f>
        <v>0</v>
      </c>
    </row>
    <row r="249" spans="3:10" ht="19">
      <c r="C249" s="101" t="s">
        <v>50</v>
      </c>
      <c r="D249" s="375">
        <f t="shared" si="35"/>
        <v>34.261000000000003</v>
      </c>
      <c r="E249" s="245">
        <f t="shared" si="36"/>
        <v>143.34802400000001</v>
      </c>
    </row>
    <row r="250" spans="3:10" ht="19">
      <c r="C250" s="101" t="s">
        <v>52</v>
      </c>
      <c r="D250" s="375">
        <f t="shared" si="35"/>
        <v>12.89</v>
      </c>
      <c r="E250" s="245">
        <f t="shared" si="36"/>
        <v>53.931760000000004</v>
      </c>
    </row>
    <row r="251" spans="3:10" ht="20" thickBot="1">
      <c r="C251" s="106" t="s">
        <v>55</v>
      </c>
      <c r="D251" s="375">
        <f t="shared" si="35"/>
        <v>8.5000000000000006E-2</v>
      </c>
      <c r="E251" s="245">
        <f t="shared" si="36"/>
        <v>0.35564000000000007</v>
      </c>
    </row>
    <row r="253" spans="3:10" ht="17" thickBot="1"/>
    <row r="254" spans="3:10" ht="20" thickBot="1">
      <c r="C254" s="68" t="s">
        <v>34</v>
      </c>
      <c r="D254" s="266"/>
      <c r="E254" s="266"/>
      <c r="F254" s="266"/>
      <c r="G254" s="267"/>
      <c r="I254" s="77" t="s">
        <v>134</v>
      </c>
      <c r="J254" s="268">
        <f>($B$14^2)/(8*PI()*PI()*$G$258*$B$8)</f>
        <v>1.222230608475283</v>
      </c>
    </row>
    <row r="255" spans="3:10" ht="20" thickBot="1">
      <c r="C255" s="269"/>
      <c r="D255" s="74" t="s">
        <v>37</v>
      </c>
      <c r="E255" s="75" t="s">
        <v>38</v>
      </c>
      <c r="F255" s="76" t="s">
        <v>39</v>
      </c>
      <c r="G255" s="208" t="s">
        <v>131</v>
      </c>
      <c r="I255" s="124"/>
      <c r="J255" s="124"/>
    </row>
    <row r="256" spans="3:10" ht="22" thickBot="1">
      <c r="C256" s="85" t="s">
        <v>44</v>
      </c>
      <c r="D256" s="270">
        <f>D$23</f>
        <v>11.460050000000001</v>
      </c>
      <c r="E256" s="87">
        <f t="shared" ref="E256:F256" si="37">E$23</f>
        <v>11.46124</v>
      </c>
      <c r="F256" s="271">
        <f t="shared" si="37"/>
        <v>11.46124</v>
      </c>
      <c r="G256" s="198">
        <f>SQRT(F256^2 + E256^2 + D256^2)</f>
        <v>19.850762974699489</v>
      </c>
      <c r="J256" s="124"/>
    </row>
    <row r="257" spans="1:18" ht="22" thickBot="1">
      <c r="C257" s="97" t="s">
        <v>47</v>
      </c>
      <c r="D257" s="98">
        <f>D256*$U$9</f>
        <v>1.9023682999999999E-26</v>
      </c>
      <c r="E257" s="99">
        <f t="shared" ref="E257:F257" si="38">E256*$U$9</f>
        <v>1.9025658399999998E-26</v>
      </c>
      <c r="F257" s="272">
        <f t="shared" si="38"/>
        <v>1.9025658399999998E-26</v>
      </c>
      <c r="G257" s="198">
        <f t="shared" ref="G257:G258" si="39">SQRT(F257^2 + E257^2 + D257^2)</f>
        <v>3.2952266538001144E-26</v>
      </c>
    </row>
    <row r="258" spans="1:18" ht="22" thickBot="1">
      <c r="C258" s="102" t="s">
        <v>49</v>
      </c>
      <c r="D258" s="103">
        <f>D257*($Q$8)^2</f>
        <v>1.9023682999999999E-46</v>
      </c>
      <c r="E258" s="104">
        <f>E257*($Q$8)^2</f>
        <v>1.9025658400000001E-46</v>
      </c>
      <c r="F258" s="273">
        <f t="shared" ref="F258" si="40">F257*($Q$8)^2</f>
        <v>1.9025658400000001E-46</v>
      </c>
      <c r="G258" s="198">
        <f t="shared" si="39"/>
        <v>3.2952266538001147E-46</v>
      </c>
    </row>
    <row r="259" spans="1:18" ht="17" thickBot="1"/>
    <row r="260" spans="1:18" ht="20" thickBot="1">
      <c r="F260" s="274" t="s">
        <v>126</v>
      </c>
      <c r="G260" s="275"/>
      <c r="H260" s="275"/>
      <c r="I260" s="275"/>
      <c r="J260" s="276"/>
    </row>
    <row r="261" spans="1:18" ht="23" thickBot="1">
      <c r="C261" s="226" t="s">
        <v>80</v>
      </c>
      <c r="D261" s="277" t="s">
        <v>135</v>
      </c>
      <c r="E261" s="176" t="s">
        <v>136</v>
      </c>
      <c r="F261" s="278" t="s">
        <v>127</v>
      </c>
      <c r="G261" s="279" t="s">
        <v>128</v>
      </c>
      <c r="H261" s="279" t="s">
        <v>129</v>
      </c>
      <c r="I261" s="280" t="s">
        <v>130</v>
      </c>
      <c r="J261" s="208" t="s">
        <v>131</v>
      </c>
      <c r="L261" s="152" t="s">
        <v>83</v>
      </c>
      <c r="M261" s="153"/>
      <c r="N261" s="153"/>
      <c r="O261" s="153"/>
      <c r="P261" s="153"/>
      <c r="Q261" s="153"/>
    </row>
    <row r="262" spans="1:18" ht="20" thickBot="1">
      <c r="C262" s="176">
        <v>298.14999999999998</v>
      </c>
      <c r="D262" s="281">
        <f>$B$7*C262/$B$16</f>
        <v>2.4465219442388352E-2</v>
      </c>
      <c r="E262" s="282">
        <f>((2*PI()*$A$28*$U$9*$B$8*$C262)/($B$14*$B$14))^(3/2)</f>
        <v>6.2071894026533771E+31</v>
      </c>
      <c r="F262" s="283">
        <f t="shared" ref="F262:F280" si="41">$B$7*LN(($D262/$B$6)*EXP(5/2)*E262)</f>
        <v>143.34394329311561</v>
      </c>
      <c r="G262" s="339" cm="1">
        <f t="array" ref="G262">$B$7*SUM((($D$42:$D$50)/$C262)/(EXP($D$42:$D$50/$C262)-1)-LN(1-EXP(-$D$42:$D$50/$C262)))</f>
        <v>0.35628619407215534</v>
      </c>
      <c r="H262" s="284">
        <f>$B$7*(LN((SQRT(PI())/$A$31)*($C262^(3/2)/SQRT(C$29*D$29*E$29)))+3/2)</f>
        <v>53.930226367638582</v>
      </c>
      <c r="I262" s="340">
        <v>0</v>
      </c>
      <c r="J262" s="286">
        <f t="shared" ref="J262:J280" si="42">SUM(F262:I262)</f>
        <v>197.63045585482638</v>
      </c>
      <c r="L262" s="67"/>
      <c r="M262" s="67"/>
      <c r="N262" s="67"/>
      <c r="O262" s="67"/>
      <c r="P262" s="67"/>
      <c r="Q262" s="67"/>
    </row>
    <row r="263" spans="1:18" ht="20" thickBot="1">
      <c r="C263" s="154">
        <v>300</v>
      </c>
      <c r="D263" s="281">
        <f>$B$7*C263/$B$16</f>
        <v>2.4617024426350848E-2</v>
      </c>
      <c r="E263" s="282">
        <f>((2*PI()*$A$28*$U$9*$B$8*$C263)/($B$14*$B$14))^(3/2)</f>
        <v>6.2650516965619017E+31</v>
      </c>
      <c r="F263" s="252">
        <f t="shared" si="41"/>
        <v>143.47252048149971</v>
      </c>
      <c r="G263" s="331" cm="1">
        <f t="array" ref="G263">$B$7*SUM((($D$42:$D$50)/$C263)/(EXP($D$42:$D$50/$C263)-1)-LN(1-EXP(-$D$42:$D$50/$C263)))</f>
        <v>0.36940209593207096</v>
      </c>
      <c r="H263" s="253">
        <f t="shared" ref="H263:H280" si="43">$B$7*(LN((SQRT(PI())/$A$31)*($C263^(3/2)/SQRT(C$29*D$29*E$29)))+3/2)</f>
        <v>54.007372680669086</v>
      </c>
      <c r="I263" s="332">
        <v>0</v>
      </c>
      <c r="J263" s="286">
        <f t="shared" si="42"/>
        <v>197.84929525810085</v>
      </c>
      <c r="N263" s="249" t="s">
        <v>127</v>
      </c>
      <c r="O263" s="250" t="s">
        <v>128</v>
      </c>
      <c r="P263" s="250" t="s">
        <v>129</v>
      </c>
      <c r="Q263" s="251" t="s">
        <v>130</v>
      </c>
      <c r="R263" s="208" t="s">
        <v>131</v>
      </c>
    </row>
    <row r="264" spans="1:18" ht="20" thickBot="1">
      <c r="C264" s="157">
        <f>C263+100</f>
        <v>400</v>
      </c>
      <c r="D264" s="287">
        <f t="shared" ref="D264:D280" si="44">$B$7*C264/$B$16</f>
        <v>3.2822699235134464E-2</v>
      </c>
      <c r="E264" s="288">
        <f t="shared" ref="E264:E280" si="45">(2*PI()*$A$28*$U$9*$B$8*$C264/($B$14)^2)^(3/2)</f>
        <v>9.6456780893252501E+31</v>
      </c>
      <c r="F264" s="234">
        <f t="shared" si="41"/>
        <v>149.4522800394825</v>
      </c>
      <c r="G264" s="341" cm="1">
        <f t="array" ref="G264">$B$7*SUM((($D$42:$D$50)/$C264)/(EXP($D$42:$D$50/$C264)-1)-LN(1-EXP(-$D$42:$D$50/$C264)))</f>
        <v>1.5578337206433435</v>
      </c>
      <c r="H264" s="256">
        <f t="shared" si="43"/>
        <v>57.59522841545872</v>
      </c>
      <c r="I264" s="334">
        <v>0</v>
      </c>
      <c r="J264" s="289">
        <f t="shared" si="42"/>
        <v>208.60534217558455</v>
      </c>
      <c r="M264" s="160" t="s">
        <v>85</v>
      </c>
      <c r="N264" s="290">
        <f>F$262</f>
        <v>143.34394329311561</v>
      </c>
      <c r="O264" s="290">
        <f>G$262</f>
        <v>0.35628619407215534</v>
      </c>
      <c r="P264" s="290">
        <f>H$262</f>
        <v>53.930226367638582</v>
      </c>
      <c r="Q264" s="290">
        <f>I$262</f>
        <v>0</v>
      </c>
      <c r="R264" s="290">
        <f>J$262</f>
        <v>197.63045585482638</v>
      </c>
    </row>
    <row r="265" spans="1:18" ht="20" thickBot="1">
      <c r="C265" s="157">
        <f t="shared" ref="C265:C280" si="46">C264+100</f>
        <v>500</v>
      </c>
      <c r="D265" s="287">
        <f t="shared" si="44"/>
        <v>4.1028374043918084E-2</v>
      </c>
      <c r="E265" s="288">
        <f t="shared" si="45"/>
        <v>1.3480244935507294E+32</v>
      </c>
      <c r="F265" s="234">
        <f t="shared" si="41"/>
        <v>154.09054189709971</v>
      </c>
      <c r="G265" s="341" cm="1">
        <f t="array" ref="G265">$B$7*SUM((($D$42:$D$50)/$C265)/(EXP($D$42:$D$50/$C265)-1)-LN(1-EXP(-$D$42:$D$50/$C265)))</f>
        <v>3.6351261768036633</v>
      </c>
      <c r="H265" s="256">
        <f t="shared" si="43"/>
        <v>60.378185530029022</v>
      </c>
      <c r="I265" s="334">
        <v>0</v>
      </c>
      <c r="J265" s="289">
        <f t="shared" si="42"/>
        <v>218.10385360393238</v>
      </c>
      <c r="M265" s="162" t="s">
        <v>86</v>
      </c>
      <c r="N265" s="290">
        <f>E249</f>
        <v>143.34802400000001</v>
      </c>
      <c r="O265" s="290">
        <f>E251</f>
        <v>0.35564000000000007</v>
      </c>
      <c r="P265" s="290">
        <f>E250</f>
        <v>53.931760000000004</v>
      </c>
      <c r="Q265" s="290">
        <f>E248</f>
        <v>0</v>
      </c>
      <c r="R265" s="290">
        <f>E247</f>
        <v>197.635424</v>
      </c>
    </row>
    <row r="266" spans="1:18" ht="22">
      <c r="C266" s="157">
        <f t="shared" si="46"/>
        <v>600</v>
      </c>
      <c r="D266" s="287">
        <f t="shared" si="44"/>
        <v>4.9234048852701696E-2</v>
      </c>
      <c r="E266" s="288">
        <f t="shared" si="45"/>
        <v>1.7720242156492869E+32</v>
      </c>
      <c r="F266" s="234">
        <f t="shared" si="41"/>
        <v>157.88027777661875</v>
      </c>
      <c r="G266" s="341" cm="1">
        <f t="array" ref="G266">$B$7*SUM((($D$42:$D$50)/$C266)/(EXP($D$42:$D$50/$C266)-1)-LN(1-EXP(-$D$42:$D$50/$C266)))</f>
        <v>6.3779569117927872</v>
      </c>
      <c r="H266" s="256">
        <f t="shared" si="43"/>
        <v>62.65202705774049</v>
      </c>
      <c r="I266" s="334">
        <v>0</v>
      </c>
      <c r="J266" s="289">
        <f t="shared" si="42"/>
        <v>226.91026174615203</v>
      </c>
      <c r="L266" s="67"/>
      <c r="M266" s="164" t="s">
        <v>87</v>
      </c>
      <c r="N266" s="165">
        <f>IFERROR(ABS(N264-N265)/N264,0)</f>
        <v>2.8467940748987632E-5</v>
      </c>
      <c r="O266" s="165">
        <f t="shared" ref="O266:R266" si="47">IFERROR(ABS(O264-O265)/O264,0)</f>
        <v>1.813693830708475E-3</v>
      </c>
      <c r="P266" s="165">
        <f t="shared" si="47"/>
        <v>2.8437343299237368E-5</v>
      </c>
      <c r="Q266" s="165">
        <f t="shared" si="47"/>
        <v>0</v>
      </c>
      <c r="R266" s="165">
        <f t="shared" si="47"/>
        <v>2.5138560512505207E-5</v>
      </c>
    </row>
    <row r="267" spans="1:18" ht="19">
      <c r="A267" s="193"/>
      <c r="C267" s="157">
        <f t="shared" si="46"/>
        <v>700</v>
      </c>
      <c r="D267" s="287">
        <f t="shared" si="44"/>
        <v>5.7439723661485309E-2</v>
      </c>
      <c r="E267" s="288">
        <f t="shared" si="45"/>
        <v>2.2330057269572045E+32</v>
      </c>
      <c r="F267" s="234">
        <f t="shared" si="41"/>
        <v>161.08445380750828</v>
      </c>
      <c r="G267" s="341" cm="1">
        <f t="array" ref="G267">$B$7*SUM((($D$42:$D$50)/$C267)/(EXP($D$42:$D$50/$C267)-1)-LN(1-EXP(-$D$42:$D$50/$C267)))</f>
        <v>9.5603628364572444</v>
      </c>
      <c r="H267" s="256">
        <f t="shared" si="43"/>
        <v>64.574532676274131</v>
      </c>
      <c r="I267" s="334">
        <v>0</v>
      </c>
      <c r="J267" s="289">
        <f t="shared" si="42"/>
        <v>235.21934932023964</v>
      </c>
    </row>
    <row r="268" spans="1:18" ht="19">
      <c r="A268" s="193"/>
      <c r="C268" s="157">
        <f t="shared" si="46"/>
        <v>800</v>
      </c>
      <c r="D268" s="287">
        <f t="shared" si="44"/>
        <v>6.5645398470268929E-2</v>
      </c>
      <c r="E268" s="288">
        <f t="shared" si="45"/>
        <v>2.7282097544417618E+32</v>
      </c>
      <c r="F268" s="234">
        <f t="shared" si="41"/>
        <v>163.86003733460157</v>
      </c>
      <c r="G268" s="341" cm="1">
        <f t="array" ref="G268">$B$7*SUM((($D$42:$D$50)/$C268)/(EXP($D$42:$D$50/$C268)-1)-LN(1-EXP(-$D$42:$D$50/$C268)))</f>
        <v>13.017476642191708</v>
      </c>
      <c r="H268" s="256">
        <f t="shared" si="43"/>
        <v>66.239882792530125</v>
      </c>
      <c r="I268" s="334">
        <v>0</v>
      </c>
      <c r="J268" s="289">
        <f t="shared" si="42"/>
        <v>243.11739676932339</v>
      </c>
    </row>
    <row r="269" spans="1:18" ht="19">
      <c r="C269" s="157">
        <f t="shared" si="46"/>
        <v>900</v>
      </c>
      <c r="D269" s="287">
        <f t="shared" si="44"/>
        <v>7.3851073279052548E-2</v>
      </c>
      <c r="E269" s="288">
        <f t="shared" si="45"/>
        <v>3.2554163551472771E+32</v>
      </c>
      <c r="F269" s="234">
        <f t="shared" si="41"/>
        <v>166.30827551375512</v>
      </c>
      <c r="G269" s="341" cm="1">
        <f t="array" ref="G269">$B$7*SUM((($D$42:$D$50)/$C269)/(EXP($D$42:$D$50/$C269)-1)-LN(1-EXP(-$D$42:$D$50/$C269)))</f>
        <v>16.635287332238967</v>
      </c>
      <c r="H269" s="256">
        <f t="shared" si="43"/>
        <v>67.708825700022288</v>
      </c>
      <c r="I269" s="334">
        <v>0</v>
      </c>
      <c r="J269" s="289">
        <f t="shared" si="42"/>
        <v>250.65238854601637</v>
      </c>
    </row>
    <row r="270" spans="1:18" ht="19">
      <c r="C270" s="157">
        <f t="shared" si="46"/>
        <v>1000</v>
      </c>
      <c r="D270" s="287">
        <f t="shared" si="44"/>
        <v>8.2056748087836168E-2</v>
      </c>
      <c r="E270" s="288">
        <f t="shared" si="45"/>
        <v>3.812789042381085E+32</v>
      </c>
      <c r="F270" s="234">
        <f t="shared" si="41"/>
        <v>168.49829919221864</v>
      </c>
      <c r="G270" s="341" cm="1">
        <f t="array" ref="G270">$B$7*SUM((($D$42:$D$50)/$C270)/(EXP($D$42:$D$50/$C270)-1)-LN(1-EXP(-$D$42:$D$50/$C270)))</f>
        <v>20.333916449870596</v>
      </c>
      <c r="H270" s="256">
        <f t="shared" si="43"/>
        <v>69.022839907100433</v>
      </c>
      <c r="I270" s="334">
        <v>0</v>
      </c>
      <c r="J270" s="289">
        <f t="shared" si="42"/>
        <v>257.85505554918967</v>
      </c>
    </row>
    <row r="271" spans="1:18" ht="19">
      <c r="C271" s="157">
        <f t="shared" si="46"/>
        <v>1100</v>
      </c>
      <c r="D271" s="287">
        <f t="shared" si="44"/>
        <v>9.0262422896619773E-2</v>
      </c>
      <c r="E271" s="288">
        <f t="shared" si="45"/>
        <v>4.3987755722410577E+32</v>
      </c>
      <c r="F271" s="234">
        <f t="shared" si="41"/>
        <v>170.4794165896314</v>
      </c>
      <c r="G271" s="341" cm="1">
        <f t="array" ref="G271">$B$7*SUM((($D$42:$D$50)/$C271)/(EXP($D$42:$D$50/$C271)-1)-LN(1-EXP(-$D$42:$D$50/$C271)))</f>
        <v>24.056490793759451</v>
      </c>
      <c r="H271" s="256">
        <f t="shared" si="43"/>
        <v>70.211510345548035</v>
      </c>
      <c r="I271" s="334">
        <v>0</v>
      </c>
      <c r="J271" s="289">
        <f t="shared" si="42"/>
        <v>264.7474177289389</v>
      </c>
    </row>
    <row r="272" spans="1:18" ht="19">
      <c r="C272" s="157">
        <f t="shared" si="46"/>
        <v>1200</v>
      </c>
      <c r="D272" s="287">
        <f t="shared" si="44"/>
        <v>9.8468097705403393E-2</v>
      </c>
      <c r="E272" s="288">
        <f t="shared" si="45"/>
        <v>5.0120413572495495E+32</v>
      </c>
      <c r="F272" s="234">
        <f t="shared" si="41"/>
        <v>172.28803507173782</v>
      </c>
      <c r="G272" s="341" cm="1">
        <f t="array" ref="G272">$B$7*SUM((($D$42:$D$50)/$C272)/(EXP($D$42:$D$50/$C272)-1)-LN(1-EXP(-$D$42:$D$50/$C272)))</f>
        <v>27.762407786175839</v>
      </c>
      <c r="H272" s="256">
        <f t="shared" si="43"/>
        <v>71.296681434811916</v>
      </c>
      <c r="I272" s="334">
        <v>0</v>
      </c>
      <c r="J272" s="289">
        <f t="shared" si="42"/>
        <v>271.34712429272554</v>
      </c>
    </row>
    <row r="273" spans="3:10" ht="19">
      <c r="C273" s="157">
        <f t="shared" si="46"/>
        <v>1300</v>
      </c>
      <c r="D273" s="287">
        <f t="shared" si="44"/>
        <v>0.10667377251418701</v>
      </c>
      <c r="E273" s="288">
        <f t="shared" si="45"/>
        <v>5.6514228773732626E+32</v>
      </c>
      <c r="F273" s="234">
        <f t="shared" si="41"/>
        <v>173.95180279343992</v>
      </c>
      <c r="G273" s="341" cm="1">
        <f t="array" ref="G273">$B$7*SUM((($D$42:$D$50)/$C273)/(EXP($D$42:$D$50/$C273)-1)-LN(1-EXP(-$D$42:$D$50/$C273)))</f>
        <v>31.422991200460419</v>
      </c>
      <c r="H273" s="256">
        <f t="shared" si="43"/>
        <v>72.294942067833176</v>
      </c>
      <c r="I273" s="334">
        <v>0</v>
      </c>
      <c r="J273" s="289">
        <f t="shared" si="42"/>
        <v>277.66973606173349</v>
      </c>
    </row>
    <row r="274" spans="3:10" ht="19">
      <c r="C274" s="157">
        <f t="shared" si="46"/>
        <v>1400</v>
      </c>
      <c r="D274" s="287">
        <f t="shared" si="44"/>
        <v>0.11487944732297062</v>
      </c>
      <c r="E274" s="288">
        <f t="shared" si="45"/>
        <v>6.315893967839269E+32</v>
      </c>
      <c r="F274" s="234">
        <f t="shared" si="41"/>
        <v>175.49221110262718</v>
      </c>
      <c r="G274" s="341" cm="1">
        <f t="array" ref="G274">$B$7*SUM((($D$42:$D$50)/$C274)/(EXP($D$42:$D$50/$C274)-1)-LN(1-EXP(-$D$42:$D$50/$C274)))</f>
        <v>35.018437140596603</v>
      </c>
      <c r="H274" s="256">
        <f t="shared" si="43"/>
        <v>73.21918705334555</v>
      </c>
      <c r="I274" s="334">
        <v>0</v>
      </c>
      <c r="J274" s="289">
        <f t="shared" si="42"/>
        <v>283.72983529656932</v>
      </c>
    </row>
    <row r="275" spans="3:10" ht="19">
      <c r="C275" s="157">
        <f t="shared" si="46"/>
        <v>1500</v>
      </c>
      <c r="D275" s="287">
        <f t="shared" si="44"/>
        <v>0.12308512213175424</v>
      </c>
      <c r="E275" s="288">
        <f t="shared" si="45"/>
        <v>7.0045407380314778E+32</v>
      </c>
      <c r="F275" s="234">
        <f t="shared" si="41"/>
        <v>176.926296929355</v>
      </c>
      <c r="G275" s="341" cm="1">
        <f t="array" ref="G275">$B$7*SUM((($D$42:$D$50)/$C275)/(EXP($D$42:$D$50/$C275)-1)-LN(1-EXP(-$D$42:$D$50/$C275)))</f>
        <v>38.535547408815987</v>
      </c>
      <c r="H275" s="256">
        <f t="shared" si="43"/>
        <v>74.07963854938221</v>
      </c>
      <c r="I275" s="334">
        <v>0</v>
      </c>
      <c r="J275" s="289">
        <f t="shared" si="42"/>
        <v>289.54148288755317</v>
      </c>
    </row>
    <row r="276" spans="3:10" ht="19">
      <c r="C276" s="157">
        <f t="shared" si="46"/>
        <v>1600</v>
      </c>
      <c r="D276" s="287">
        <f t="shared" si="44"/>
        <v>0.13129079694053786</v>
      </c>
      <c r="E276" s="288">
        <f t="shared" si="45"/>
        <v>7.7165424714602433E+32</v>
      </c>
      <c r="F276" s="234">
        <f t="shared" si="41"/>
        <v>178.26779462972061</v>
      </c>
      <c r="G276" s="341" cm="1">
        <f t="array" ref="G276">$B$7*SUM((($D$42:$D$50)/$C276)/(EXP($D$42:$D$50/$C276)-1)-LN(1-EXP(-$D$42:$D$50/$C276)))</f>
        <v>41.96601146727334</v>
      </c>
      <c r="H276" s="256">
        <f t="shared" si="43"/>
        <v>74.884537169601543</v>
      </c>
      <c r="I276" s="334">
        <v>0</v>
      </c>
      <c r="J276" s="289">
        <f t="shared" si="42"/>
        <v>295.1183432665955</v>
      </c>
    </row>
    <row r="277" spans="3:10" ht="19">
      <c r="C277" s="157">
        <f t="shared" si="46"/>
        <v>1700</v>
      </c>
      <c r="D277" s="287">
        <f t="shared" si="44"/>
        <v>0.13949647174932148</v>
      </c>
      <c r="E277" s="288">
        <f t="shared" si="45"/>
        <v>8.4511567885112007E+32</v>
      </c>
      <c r="F277" s="234">
        <f t="shared" si="41"/>
        <v>179.52793801879693</v>
      </c>
      <c r="G277" s="341" cm="1">
        <f t="array" ref="G277">$B$7*SUM((($D$42:$D$50)/$C277)/(EXP($D$42:$D$50/$C277)-1)-LN(1-EXP(-$D$42:$D$50/$C277)))</f>
        <v>45.305101192807541</v>
      </c>
      <c r="H277" s="256">
        <f t="shared" si="43"/>
        <v>75.640623203047397</v>
      </c>
      <c r="I277" s="334">
        <v>0</v>
      </c>
      <c r="J277" s="289">
        <f t="shared" si="42"/>
        <v>300.47366241465187</v>
      </c>
    </row>
    <row r="278" spans="3:10" ht="19">
      <c r="C278" s="157">
        <f t="shared" si="46"/>
        <v>1800</v>
      </c>
      <c r="D278" s="287">
        <f t="shared" si="44"/>
        <v>0.1477021465581051</v>
      </c>
      <c r="E278" s="288">
        <f t="shared" si="45"/>
        <v>9.2077079212408295E+32</v>
      </c>
      <c r="F278" s="234">
        <f t="shared" si="41"/>
        <v>180.71603280887405</v>
      </c>
      <c r="G278" s="341" cm="1">
        <f t="array" ref="G278">$B$7*SUM((($D$42:$D$50)/$C278)/(EXP($D$42:$D$50/$C278)-1)-LN(1-EXP(-$D$42:$D$50/$C278)))</f>
        <v>48.550684496373563</v>
      </c>
      <c r="H278" s="256">
        <f t="shared" si="43"/>
        <v>76.353480077093707</v>
      </c>
      <c r="I278" s="334">
        <v>0</v>
      </c>
      <c r="J278" s="289">
        <f t="shared" si="42"/>
        <v>305.6201973823413</v>
      </c>
    </row>
    <row r="279" spans="3:10" ht="19">
      <c r="C279" s="157">
        <f t="shared" si="46"/>
        <v>1900</v>
      </c>
      <c r="D279" s="287">
        <f t="shared" si="44"/>
        <v>0.15590782136688872</v>
      </c>
      <c r="E279" s="288">
        <f t="shared" si="45"/>
        <v>9.9855773079072226E+32</v>
      </c>
      <c r="F279" s="234">
        <f t="shared" si="41"/>
        <v>181.83987407019816</v>
      </c>
      <c r="G279" s="341" cm="1">
        <f t="array" ref="G279">$B$7*SUM((($D$42:$D$50)/$C279)/(EXP($D$42:$D$50/$C279)-1)-LN(1-EXP(-$D$42:$D$50/$C279)))</f>
        <v>51.702485404289554</v>
      </c>
      <c r="H279" s="256">
        <f t="shared" si="43"/>
        <v>77.027784833888077</v>
      </c>
      <c r="I279" s="334">
        <v>0</v>
      </c>
      <c r="J279" s="289">
        <f t="shared" si="42"/>
        <v>310.5701443083758</v>
      </c>
    </row>
    <row r="280" spans="3:10" ht="20" thickBot="1">
      <c r="C280" s="166">
        <f t="shared" si="46"/>
        <v>2000</v>
      </c>
      <c r="D280" s="291">
        <f t="shared" si="44"/>
        <v>0.16411349617567234</v>
      </c>
      <c r="E280" s="292">
        <f t="shared" si="45"/>
        <v>1.0784195948405743E+33</v>
      </c>
      <c r="F280" s="259">
        <f t="shared" si="41"/>
        <v>182.90605648733768</v>
      </c>
      <c r="G280" s="342" cm="1">
        <f t="array" ref="G280">$B$7*SUM((($D$42:$D$50)/$C280)/(EXP($D$42:$D$50/$C280)-1)-LN(1-EXP(-$D$42:$D$50/$C280)))</f>
        <v>54.761533071282138</v>
      </c>
      <c r="H280" s="260">
        <f t="shared" si="43"/>
        <v>77.667494284171838</v>
      </c>
      <c r="I280" s="337">
        <v>0</v>
      </c>
      <c r="J280" s="293">
        <f t="shared" si="42"/>
        <v>315.33508384279168</v>
      </c>
    </row>
  </sheetData>
  <mergeCells count="11">
    <mergeCell ref="D203:E203"/>
    <mergeCell ref="D212:H212"/>
    <mergeCell ref="H239:K239"/>
    <mergeCell ref="D244:E244"/>
    <mergeCell ref="D245:E245"/>
    <mergeCell ref="A18:V18"/>
    <mergeCell ref="A53:V53"/>
    <mergeCell ref="Z93:AB93"/>
    <mergeCell ref="C100:L100"/>
    <mergeCell ref="AG101:AM101"/>
    <mergeCell ref="H198:K19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5EBD7-E848-9A45-9D22-F5625ECA3CDC}">
  <dimension ref="A3:AH280"/>
  <sheetViews>
    <sheetView topLeftCell="A154" zoomScale="66" zoomScaleNormal="80" workbookViewId="0">
      <selection activeCell="O183" sqref="O183"/>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0" thickBot="1">
      <c r="A18" s="65" t="s">
        <v>32</v>
      </c>
      <c r="B18" s="65"/>
      <c r="C18" s="65"/>
      <c r="D18" s="65"/>
      <c r="E18" s="65"/>
      <c r="F18" s="65"/>
      <c r="G18" s="65"/>
      <c r="H18" s="65"/>
      <c r="I18" s="65"/>
      <c r="J18" s="65"/>
      <c r="K18" s="65"/>
      <c r="L18" s="65"/>
      <c r="M18" s="65"/>
      <c r="N18" s="65"/>
      <c r="O18" s="65"/>
      <c r="P18" s="65"/>
      <c r="Q18" s="65"/>
      <c r="R18" s="65"/>
      <c r="S18" s="65"/>
      <c r="T18" s="65"/>
      <c r="U18" s="65"/>
      <c r="V18" s="65"/>
    </row>
    <row r="19" spans="1:27" ht="17" thickTop="1"/>
    <row r="20" spans="1:27" ht="17" thickBot="1"/>
    <row r="21" spans="1:27" ht="20" thickBot="1">
      <c r="A21" s="66" t="s">
        <v>33</v>
      </c>
      <c r="B21" s="67"/>
      <c r="C21" s="68" t="s">
        <v>34</v>
      </c>
      <c r="D21" s="69"/>
      <c r="E21" s="69"/>
      <c r="F21" s="70"/>
      <c r="G21" s="67"/>
      <c r="H21" s="66" t="s">
        <v>35</v>
      </c>
      <c r="I21" s="67"/>
      <c r="J21" s="67"/>
      <c r="M21" s="67"/>
      <c r="N21" s="67"/>
      <c r="O21" s="71" t="s">
        <v>36</v>
      </c>
      <c r="P21" s="69"/>
      <c r="Q21" s="69"/>
      <c r="R21" s="70"/>
      <c r="S21" s="67"/>
      <c r="T21" s="67"/>
      <c r="U21" s="67"/>
      <c r="V21" s="67"/>
      <c r="W21" s="67"/>
      <c r="X21" s="67"/>
      <c r="Y21" s="67"/>
      <c r="Z21" s="67"/>
      <c r="AA21" s="67"/>
    </row>
    <row r="22" spans="1:27" ht="20" thickBot="1">
      <c r="A22" s="72">
        <v>298.14999999999998</v>
      </c>
      <c r="B22" s="67"/>
      <c r="C22" s="73"/>
      <c r="D22" s="74" t="s">
        <v>37</v>
      </c>
      <c r="E22" s="75" t="s">
        <v>38</v>
      </c>
      <c r="F22" s="76" t="s">
        <v>39</v>
      </c>
      <c r="G22" s="67"/>
      <c r="H22" s="77" t="s">
        <v>40</v>
      </c>
      <c r="I22" s="78" t="s">
        <v>9</v>
      </c>
      <c r="J22" s="78" t="s">
        <v>10</v>
      </c>
      <c r="K22" s="79" t="s">
        <v>7</v>
      </c>
      <c r="L22" s="80" t="s">
        <v>12</v>
      </c>
      <c r="M22" s="67"/>
      <c r="N22" s="67"/>
      <c r="O22" s="81"/>
      <c r="P22" s="82" t="s">
        <v>41</v>
      </c>
      <c r="Q22" s="83" t="s">
        <v>42</v>
      </c>
      <c r="R22" s="84" t="s">
        <v>43</v>
      </c>
      <c r="S22" s="67"/>
      <c r="T22" s="67"/>
      <c r="U22" s="67"/>
      <c r="V22" s="67"/>
      <c r="W22" s="67"/>
      <c r="X22" s="67"/>
      <c r="Y22" s="67"/>
      <c r="Z22" s="67"/>
      <c r="AA22" s="67"/>
    </row>
    <row r="23" spans="1:27" ht="22" thickBot="1">
      <c r="A23" s="67"/>
      <c r="B23" s="67"/>
      <c r="C23" s="85" t="s">
        <v>44</v>
      </c>
      <c r="D23" s="86">
        <v>6.7290000000000003E-2</v>
      </c>
      <c r="E23" s="87">
        <v>1.0772900000000001</v>
      </c>
      <c r="F23" s="88">
        <v>2.33209</v>
      </c>
      <c r="G23" s="67"/>
      <c r="H23" s="89">
        <v>0</v>
      </c>
      <c r="I23" s="90">
        <f>H23*$H$7</f>
        <v>0</v>
      </c>
      <c r="J23" s="90">
        <f>H23*$I$7</f>
        <v>0</v>
      </c>
      <c r="K23" s="91">
        <f>H23*$F$7</f>
        <v>0</v>
      </c>
      <c r="L23" s="92">
        <f>H23*$K$7</f>
        <v>0</v>
      </c>
      <c r="M23" s="67"/>
      <c r="N23" s="67"/>
      <c r="O23" s="93" t="s">
        <v>45</v>
      </c>
      <c r="P23" s="94">
        <v>0.88900000000000001</v>
      </c>
      <c r="Q23" s="95">
        <v>2.9809999999999999</v>
      </c>
      <c r="R23" s="96">
        <v>27.391999999999999</v>
      </c>
      <c r="S23" s="67"/>
      <c r="T23" s="67"/>
      <c r="U23" s="67"/>
      <c r="V23" s="67"/>
      <c r="W23" s="67"/>
      <c r="X23" s="67"/>
      <c r="Y23" s="67"/>
      <c r="Z23" s="67"/>
      <c r="AA23" s="67"/>
    </row>
    <row r="24" spans="1:27" ht="22" thickBot="1">
      <c r="A24" s="66" t="s">
        <v>46</v>
      </c>
      <c r="B24" s="67"/>
      <c r="C24" s="97" t="s">
        <v>47</v>
      </c>
      <c r="D24" s="98">
        <f>D23*$U$9</f>
        <v>1.117014E-28</v>
      </c>
      <c r="E24" s="99">
        <f t="shared" ref="E24:F24" si="0">E23*$U$9</f>
        <v>1.7883014E-27</v>
      </c>
      <c r="F24" s="100">
        <f t="shared" si="0"/>
        <v>3.8712694000000001E-27</v>
      </c>
      <c r="G24" s="67"/>
      <c r="M24" s="67"/>
      <c r="N24" s="67"/>
      <c r="O24" s="101" t="s">
        <v>48</v>
      </c>
      <c r="P24" s="94">
        <v>0</v>
      </c>
      <c r="Q24" s="95">
        <v>0</v>
      </c>
      <c r="R24" s="96">
        <v>1.377</v>
      </c>
      <c r="S24" s="67"/>
      <c r="T24" s="67"/>
      <c r="U24" s="67"/>
      <c r="V24" s="67"/>
      <c r="W24" s="67"/>
      <c r="X24" s="67"/>
      <c r="Y24" s="67"/>
      <c r="Z24" s="67"/>
      <c r="AA24" s="67"/>
    </row>
    <row r="25" spans="1:27" ht="22" thickBot="1">
      <c r="A25" s="72">
        <v>1</v>
      </c>
      <c r="B25" s="67"/>
      <c r="C25" s="102" t="s">
        <v>49</v>
      </c>
      <c r="D25" s="103">
        <f>D24*($Q$8)^2</f>
        <v>1.1170140000000001E-48</v>
      </c>
      <c r="E25" s="104">
        <f>E24*($Q$8)^2</f>
        <v>1.7883014000000001E-47</v>
      </c>
      <c r="F25" s="105">
        <f t="shared" ref="F25" si="1">F24*($Q$8)^2</f>
        <v>3.8712694000000007E-47</v>
      </c>
      <c r="G25" s="67"/>
      <c r="M25" s="67"/>
      <c r="N25" s="67"/>
      <c r="O25" s="101" t="s">
        <v>50</v>
      </c>
      <c r="P25" s="94">
        <v>0.88900000000000001</v>
      </c>
      <c r="Q25" s="95">
        <v>2.9809999999999999</v>
      </c>
      <c r="R25" s="96">
        <v>26.013999999999999</v>
      </c>
      <c r="S25" s="67"/>
      <c r="T25" s="67"/>
      <c r="U25" s="67"/>
      <c r="V25" s="67"/>
      <c r="W25" s="67"/>
      <c r="X25" s="67"/>
      <c r="Y25" s="67"/>
      <c r="Z25" s="67"/>
      <c r="AA25" s="67"/>
    </row>
    <row r="26" spans="1:27" ht="20" thickBot="1">
      <c r="A26" s="67"/>
      <c r="B26" s="67"/>
      <c r="C26" s="67"/>
      <c r="D26" s="67"/>
      <c r="E26" s="67"/>
      <c r="F26" s="67"/>
      <c r="G26" s="67"/>
      <c r="H26" s="66" t="s">
        <v>51</v>
      </c>
      <c r="I26" s="67"/>
      <c r="J26" s="67"/>
      <c r="K26" s="67"/>
      <c r="M26" s="67"/>
      <c r="N26" s="67"/>
      <c r="O26" s="101" t="s">
        <v>52</v>
      </c>
      <c r="P26" s="94">
        <v>0</v>
      </c>
      <c r="Q26" s="95">
        <v>0</v>
      </c>
      <c r="R26" s="96">
        <v>0</v>
      </c>
      <c r="S26" s="67"/>
      <c r="T26" s="67"/>
      <c r="U26" s="67"/>
      <c r="V26" s="67"/>
      <c r="W26" s="67"/>
      <c r="X26" s="67"/>
      <c r="Y26" s="67"/>
      <c r="Z26" s="67"/>
      <c r="AA26" s="67"/>
    </row>
    <row r="27" spans="1:27" ht="20" thickBot="1">
      <c r="A27" s="66" t="s">
        <v>53</v>
      </c>
      <c r="B27" s="67"/>
      <c r="C27" s="66" t="s">
        <v>54</v>
      </c>
      <c r="D27" s="67"/>
      <c r="E27" s="67"/>
      <c r="F27" s="67"/>
      <c r="G27" s="67"/>
      <c r="H27" s="77" t="s">
        <v>40</v>
      </c>
      <c r="I27" s="78" t="s">
        <v>9</v>
      </c>
      <c r="J27" s="78" t="s">
        <v>10</v>
      </c>
      <c r="K27" s="79" t="s">
        <v>7</v>
      </c>
      <c r="L27" s="80" t="s">
        <v>12</v>
      </c>
      <c r="M27" s="67"/>
      <c r="N27" s="67"/>
      <c r="O27" s="106" t="s">
        <v>55</v>
      </c>
      <c r="P27" s="107">
        <v>0</v>
      </c>
      <c r="Q27" s="108">
        <v>0</v>
      </c>
      <c r="R27" s="109">
        <v>0</v>
      </c>
      <c r="S27" s="67"/>
      <c r="T27" s="67"/>
      <c r="U27" s="67"/>
      <c r="V27" s="67"/>
      <c r="W27" s="67"/>
      <c r="X27" s="67"/>
      <c r="Y27" s="67"/>
      <c r="Z27" s="67"/>
      <c r="AA27" s="67"/>
    </row>
    <row r="28" spans="1:27" ht="20" thickBot="1">
      <c r="A28" s="72">
        <v>1.00783</v>
      </c>
      <c r="B28" s="67"/>
      <c r="C28" s="110" t="s">
        <v>37</v>
      </c>
      <c r="D28" s="111" t="s">
        <v>38</v>
      </c>
      <c r="E28" s="112" t="s">
        <v>39</v>
      </c>
      <c r="F28" s="67"/>
      <c r="G28" s="67"/>
      <c r="H28" s="113">
        <v>1.4159999999999999E-3</v>
      </c>
      <c r="I28" s="90">
        <f>H28*$H$7</f>
        <v>0.88854424799999998</v>
      </c>
      <c r="J28" s="90">
        <f>H28*$I$7</f>
        <v>3.717708</v>
      </c>
      <c r="K28" s="114">
        <f>H28*$F$7</f>
        <v>3.85303512E-2</v>
      </c>
      <c r="L28" s="92">
        <f>H28*$K$7</f>
        <v>6.1737599999999998E-21</v>
      </c>
      <c r="M28" s="67"/>
      <c r="N28" s="67"/>
      <c r="O28" s="67"/>
      <c r="P28" s="67"/>
      <c r="Q28" s="67"/>
      <c r="R28" s="67"/>
      <c r="S28" s="67"/>
      <c r="T28" s="67"/>
      <c r="U28" s="67"/>
      <c r="V28" s="67"/>
      <c r="W28" s="67"/>
      <c r="X28" s="67"/>
      <c r="Y28" s="67"/>
      <c r="Z28" s="67"/>
      <c r="AA28" s="67"/>
    </row>
    <row r="29" spans="1:27" ht="20" thickBot="1">
      <c r="A29" s="67"/>
      <c r="B29" s="67"/>
      <c r="C29" s="115" t="s">
        <v>56</v>
      </c>
      <c r="D29" s="116" t="s">
        <v>56</v>
      </c>
      <c r="E29" s="116" t="s">
        <v>56</v>
      </c>
      <c r="F29" s="67"/>
      <c r="G29" s="67"/>
      <c r="L29" s="67"/>
      <c r="M29" s="67"/>
      <c r="N29" s="67"/>
      <c r="O29" s="67"/>
      <c r="P29" s="67"/>
      <c r="Q29" s="67"/>
      <c r="R29" s="67"/>
      <c r="S29" s="67"/>
      <c r="T29" s="67"/>
      <c r="U29" s="67"/>
      <c r="V29" s="67"/>
      <c r="W29" s="67"/>
      <c r="X29" s="67"/>
      <c r="Y29" s="67"/>
      <c r="Z29" s="67"/>
      <c r="AA29" s="67"/>
    </row>
    <row r="30" spans="1:27" ht="20" thickBot="1">
      <c r="A30" s="66" t="s">
        <v>57</v>
      </c>
      <c r="B30" s="67"/>
      <c r="F30" s="67"/>
      <c r="G30" s="67"/>
      <c r="M30" s="67"/>
      <c r="O30" s="117" t="s">
        <v>58</v>
      </c>
      <c r="P30" s="118"/>
      <c r="Q30" s="118"/>
      <c r="R30" s="119"/>
      <c r="S30" s="67"/>
      <c r="T30" s="67"/>
      <c r="U30" s="67"/>
      <c r="V30" s="67"/>
      <c r="W30" s="67"/>
      <c r="X30" s="67"/>
      <c r="Y30" s="67"/>
      <c r="Z30" s="67"/>
      <c r="AA30" s="67"/>
    </row>
    <row r="31" spans="1:27" ht="20" thickBot="1">
      <c r="A31" s="72" t="s">
        <v>56</v>
      </c>
      <c r="B31" s="67"/>
      <c r="C31" s="66" t="s">
        <v>59</v>
      </c>
      <c r="D31" s="67"/>
      <c r="E31" s="67"/>
      <c r="F31" s="67"/>
      <c r="G31" s="67"/>
      <c r="H31" s="66" t="s">
        <v>60</v>
      </c>
      <c r="I31" s="67"/>
      <c r="J31" s="67"/>
      <c r="K31" s="67"/>
      <c r="L31" s="67"/>
      <c r="M31" s="67"/>
      <c r="N31" s="67"/>
      <c r="O31" s="120"/>
      <c r="P31" s="121" t="s">
        <v>61</v>
      </c>
      <c r="Q31" s="122" t="s">
        <v>62</v>
      </c>
      <c r="R31" s="123" t="s">
        <v>63</v>
      </c>
      <c r="S31" s="67"/>
      <c r="T31" s="67"/>
      <c r="U31" s="67"/>
      <c r="V31" s="67"/>
      <c r="W31" s="67"/>
      <c r="X31" s="67"/>
      <c r="Y31" s="67"/>
      <c r="Z31" s="67"/>
      <c r="AA31" s="67"/>
    </row>
    <row r="32" spans="1:27" ht="20" thickBot="1">
      <c r="A32" s="67"/>
      <c r="B32" s="67"/>
      <c r="C32" s="124" t="s">
        <v>37</v>
      </c>
      <c r="D32" s="124" t="s">
        <v>38</v>
      </c>
      <c r="E32" s="124" t="s">
        <v>39</v>
      </c>
      <c r="F32" s="67"/>
      <c r="G32" s="67"/>
      <c r="H32" s="77" t="s">
        <v>40</v>
      </c>
      <c r="I32" s="78" t="s">
        <v>9</v>
      </c>
      <c r="J32" s="78" t="s">
        <v>10</v>
      </c>
      <c r="K32" s="79" t="s">
        <v>7</v>
      </c>
      <c r="L32" s="80" t="s">
        <v>12</v>
      </c>
      <c r="M32" s="67"/>
      <c r="N32" s="67"/>
      <c r="O32" s="93" t="s">
        <v>48</v>
      </c>
      <c r="P32" s="125">
        <v>2</v>
      </c>
      <c r="Q32" s="126">
        <v>0.30103000000000002</v>
      </c>
      <c r="R32" s="126">
        <v>0.69314699999999996</v>
      </c>
      <c r="S32" s="67"/>
      <c r="T32" s="67"/>
      <c r="U32" s="67"/>
      <c r="V32" s="67"/>
      <c r="W32" s="67"/>
      <c r="X32" s="67"/>
      <c r="Y32" s="67"/>
      <c r="Z32" s="67"/>
      <c r="AA32" s="67"/>
    </row>
    <row r="33" spans="1:27" ht="20" thickBot="1">
      <c r="A33" s="67"/>
      <c r="B33" s="67"/>
      <c r="C33" s="127" t="s">
        <v>56</v>
      </c>
      <c r="D33" s="128" t="s">
        <v>56</v>
      </c>
      <c r="E33" s="128" t="s">
        <v>56</v>
      </c>
      <c r="F33" s="67"/>
      <c r="G33" s="67"/>
      <c r="H33" s="113">
        <v>2.3600000000000001E-3</v>
      </c>
      <c r="I33" s="90">
        <f>H33*$H$7</f>
        <v>1.4809070800000002</v>
      </c>
      <c r="J33" s="90">
        <f>H33*$I$7</f>
        <v>6.19618</v>
      </c>
      <c r="K33" s="114">
        <f>H33*$F$7</f>
        <v>6.4217252000000002E-2</v>
      </c>
      <c r="L33" s="92">
        <f>H33*$K$7</f>
        <v>1.02896E-20</v>
      </c>
      <c r="M33" s="67"/>
      <c r="N33" s="67"/>
      <c r="O33" s="101" t="s">
        <v>50</v>
      </c>
      <c r="P33" s="94">
        <v>39767.9</v>
      </c>
      <c r="Q33" s="95">
        <v>4.5995330000000001</v>
      </c>
      <c r="R33" s="95">
        <v>10.590816</v>
      </c>
      <c r="S33" s="67"/>
      <c r="T33" s="67"/>
      <c r="U33" s="67"/>
      <c r="V33" s="67"/>
      <c r="W33" s="67"/>
      <c r="X33" s="67"/>
      <c r="Y33" s="67"/>
      <c r="Z33" s="67"/>
      <c r="AA33" s="67"/>
    </row>
    <row r="34" spans="1:27" ht="19">
      <c r="A34" s="67"/>
      <c r="B34" s="67"/>
      <c r="E34" s="67"/>
      <c r="F34" s="67"/>
      <c r="G34" s="67"/>
      <c r="M34" s="67"/>
      <c r="N34" s="67"/>
      <c r="O34" s="101" t="s">
        <v>52</v>
      </c>
      <c r="P34" s="94">
        <v>1</v>
      </c>
      <c r="Q34" s="95">
        <v>0</v>
      </c>
      <c r="R34" s="95">
        <v>0</v>
      </c>
      <c r="S34" s="67"/>
      <c r="T34" s="67"/>
      <c r="U34" s="67"/>
      <c r="V34" s="67"/>
      <c r="W34" s="67"/>
      <c r="X34" s="67"/>
      <c r="Y34" s="67"/>
      <c r="Z34" s="67"/>
      <c r="AA34" s="67"/>
    </row>
    <row r="35" spans="1:27" ht="19">
      <c r="A35" s="67"/>
      <c r="B35" s="67"/>
      <c r="E35" s="67"/>
      <c r="F35" s="67"/>
      <c r="H35" s="67"/>
      <c r="I35" s="67"/>
      <c r="J35" s="67"/>
      <c r="K35" s="67"/>
      <c r="L35" s="67"/>
      <c r="M35" s="67"/>
      <c r="N35" s="67"/>
      <c r="O35" s="101" t="s">
        <v>64</v>
      </c>
      <c r="P35" s="94">
        <v>79535.8</v>
      </c>
      <c r="Q35" s="95">
        <v>4.900563</v>
      </c>
      <c r="R35" s="95">
        <v>11.283963</v>
      </c>
      <c r="S35" s="67"/>
      <c r="T35" s="67"/>
      <c r="U35" s="67"/>
      <c r="V35" s="67"/>
      <c r="W35" s="67"/>
      <c r="X35" s="67"/>
      <c r="Y35" s="67"/>
      <c r="Z35" s="67"/>
      <c r="AA35" s="67"/>
    </row>
    <row r="36" spans="1:27" ht="20" thickBot="1">
      <c r="A36" s="67"/>
      <c r="B36" s="67"/>
      <c r="C36" s="66" t="s">
        <v>65</v>
      </c>
      <c r="D36" s="67"/>
      <c r="E36" s="67"/>
      <c r="F36" s="67"/>
      <c r="H36" s="66" t="s">
        <v>66</v>
      </c>
      <c r="I36" s="67"/>
      <c r="J36" s="67"/>
      <c r="K36" s="67"/>
      <c r="L36" s="67"/>
      <c r="M36" s="67"/>
      <c r="N36" s="67"/>
      <c r="O36" s="101" t="s">
        <v>67</v>
      </c>
      <c r="P36" s="94">
        <v>79535.8</v>
      </c>
      <c r="Q36" s="95">
        <v>4.900563</v>
      </c>
      <c r="R36" s="95">
        <v>11.283963</v>
      </c>
      <c r="S36" s="67"/>
      <c r="T36" s="67"/>
      <c r="U36" s="67"/>
      <c r="V36" s="67"/>
      <c r="W36" s="67"/>
      <c r="X36" s="67"/>
      <c r="Y36" s="67"/>
      <c r="Z36" s="67"/>
      <c r="AA36" s="67"/>
    </row>
    <row r="37" spans="1:27" ht="20" thickBot="1">
      <c r="A37" s="67"/>
      <c r="B37" s="67"/>
      <c r="C37" s="129" t="s">
        <v>68</v>
      </c>
      <c r="D37" s="130">
        <v>0</v>
      </c>
      <c r="E37" s="67"/>
      <c r="F37" s="67"/>
      <c r="H37" s="77" t="s">
        <v>40</v>
      </c>
      <c r="I37" s="78" t="s">
        <v>9</v>
      </c>
      <c r="J37" s="78" t="s">
        <v>10</v>
      </c>
      <c r="K37" s="80" t="s">
        <v>7</v>
      </c>
      <c r="L37" s="80" t="s">
        <v>12</v>
      </c>
      <c r="M37" s="67"/>
      <c r="N37" s="67"/>
      <c r="O37" s="101" t="s">
        <v>69</v>
      </c>
      <c r="P37" s="94">
        <v>1</v>
      </c>
      <c r="Q37" s="95">
        <v>0</v>
      </c>
      <c r="R37" s="95">
        <v>0</v>
      </c>
      <c r="S37" s="67"/>
      <c r="T37" s="67"/>
      <c r="U37" s="67"/>
      <c r="V37" s="67"/>
      <c r="W37" s="67"/>
      <c r="X37" s="67"/>
      <c r="Y37" s="67"/>
      <c r="Z37" s="67"/>
      <c r="AA37" s="67"/>
    </row>
    <row r="38" spans="1:27" ht="20" thickBot="1">
      <c r="A38" s="67"/>
      <c r="B38" s="67"/>
      <c r="C38" s="131" t="s">
        <v>70</v>
      </c>
      <c r="D38" s="132">
        <v>0</v>
      </c>
      <c r="E38" s="67"/>
      <c r="F38" s="67"/>
      <c r="H38" s="113">
        <v>-1.0654E-2</v>
      </c>
      <c r="I38" s="90">
        <f>H38*$H$7</f>
        <v>-6.6854169620000006</v>
      </c>
      <c r="J38" s="90">
        <f>H38*$I$7</f>
        <v>-27.972077000000002</v>
      </c>
      <c r="K38" s="114">
        <f>H38*$F$7</f>
        <v>-0.2899027978</v>
      </c>
      <c r="L38" s="92">
        <f>H38*$K$7</f>
        <v>-4.645144E-20</v>
      </c>
      <c r="M38" s="67"/>
      <c r="N38" s="67"/>
      <c r="O38" s="106" t="s">
        <v>71</v>
      </c>
      <c r="P38" s="94">
        <v>1</v>
      </c>
      <c r="Q38" s="95">
        <v>0</v>
      </c>
      <c r="R38" s="95">
        <v>0</v>
      </c>
      <c r="S38" s="67"/>
      <c r="T38" s="67"/>
      <c r="U38" s="67"/>
      <c r="V38" s="67"/>
      <c r="W38" s="67"/>
      <c r="X38" s="67"/>
      <c r="Y38" s="67"/>
      <c r="Z38" s="67"/>
      <c r="AA38" s="67"/>
    </row>
    <row r="39" spans="1:27" ht="19">
      <c r="A39" s="67"/>
      <c r="B39" s="67"/>
      <c r="C39" s="67"/>
      <c r="D39" s="67"/>
      <c r="E39" s="67"/>
      <c r="F39" s="67"/>
      <c r="J39" s="67"/>
      <c r="K39" s="67"/>
      <c r="L39" s="67"/>
      <c r="M39" s="67"/>
      <c r="N39" s="67"/>
      <c r="O39" s="133"/>
      <c r="P39" s="67"/>
      <c r="Q39" s="67"/>
      <c r="R39" s="67"/>
      <c r="S39" s="67"/>
      <c r="T39" s="67"/>
      <c r="U39" s="67"/>
      <c r="V39" s="67"/>
      <c r="W39" s="67"/>
      <c r="X39" s="67"/>
      <c r="Y39" s="67"/>
      <c r="Z39" s="67"/>
      <c r="AA39" s="67"/>
    </row>
    <row r="40" spans="1:27" ht="20" thickBot="1">
      <c r="A40" s="67"/>
      <c r="B40" s="67"/>
      <c r="C40" s="67"/>
      <c r="D40" s="67"/>
      <c r="E40" s="67"/>
      <c r="F40" s="67"/>
      <c r="J40" s="67"/>
      <c r="K40" s="67"/>
      <c r="L40" s="67"/>
      <c r="M40" s="67"/>
      <c r="N40" s="67"/>
      <c r="O40" s="133"/>
      <c r="P40" s="67"/>
      <c r="Q40" s="67"/>
      <c r="R40" s="67"/>
      <c r="S40" s="67"/>
      <c r="T40" s="67"/>
      <c r="U40" s="67"/>
      <c r="V40" s="67"/>
      <c r="W40" s="67"/>
      <c r="X40" s="67"/>
      <c r="Y40" s="67"/>
      <c r="Z40" s="67"/>
      <c r="AA40" s="67"/>
    </row>
    <row r="41" spans="1:27" ht="64" customHeight="1" thickBot="1">
      <c r="A41" s="67"/>
      <c r="B41" s="67"/>
      <c r="D41" s="134" t="s">
        <v>72</v>
      </c>
      <c r="E41" s="135" t="s">
        <v>73</v>
      </c>
      <c r="F41" s="136" t="s">
        <v>74</v>
      </c>
      <c r="G41" s="137" t="s">
        <v>75</v>
      </c>
      <c r="I41" s="67"/>
      <c r="J41" s="67"/>
      <c r="K41" s="67"/>
      <c r="L41" s="67"/>
      <c r="M41" s="67"/>
      <c r="N41" s="67"/>
      <c r="O41" s="67"/>
      <c r="P41" s="67"/>
      <c r="Q41" s="67"/>
      <c r="R41" s="67"/>
      <c r="S41" s="67"/>
      <c r="T41" s="67"/>
      <c r="U41" s="67"/>
      <c r="V41" s="67"/>
      <c r="W41" s="67"/>
      <c r="X41" s="67"/>
      <c r="Y41" s="67"/>
      <c r="Z41" s="67"/>
      <c r="AA41" s="67"/>
    </row>
    <row r="42" spans="1:27" ht="20" thickBot="1">
      <c r="A42" s="67"/>
      <c r="B42" s="67"/>
      <c r="C42" s="138">
        <v>1</v>
      </c>
      <c r="D42" s="139" t="s">
        <v>56</v>
      </c>
      <c r="E42" s="139" t="s">
        <v>56</v>
      </c>
      <c r="F42" s="139" t="s">
        <v>56</v>
      </c>
      <c r="G42" s="139" t="s">
        <v>56</v>
      </c>
      <c r="H42" s="140"/>
      <c r="K42" s="67"/>
      <c r="L42" s="67"/>
      <c r="M42" s="67"/>
      <c r="N42" s="67"/>
      <c r="O42" s="67"/>
      <c r="P42" s="67"/>
      <c r="Q42" s="67"/>
      <c r="R42" s="67"/>
      <c r="S42" s="67"/>
      <c r="T42" s="67"/>
      <c r="U42" s="67"/>
      <c r="V42" s="67"/>
      <c r="W42" s="67"/>
      <c r="X42" s="67"/>
      <c r="Y42" s="67"/>
      <c r="Z42" s="67"/>
      <c r="AA42" s="67"/>
    </row>
    <row r="43" spans="1:27" ht="19">
      <c r="A43" s="67"/>
      <c r="B43" s="67"/>
      <c r="C43" s="140"/>
      <c r="D43" s="67"/>
      <c r="E43" s="67"/>
      <c r="F43" s="141"/>
      <c r="G43" s="67"/>
      <c r="H43" s="140"/>
      <c r="K43" s="67"/>
      <c r="L43" s="67"/>
      <c r="M43" s="67"/>
      <c r="N43" s="67"/>
      <c r="O43" s="67"/>
      <c r="P43" s="67"/>
      <c r="Q43" s="67"/>
      <c r="R43" s="67"/>
      <c r="S43" s="67"/>
      <c r="T43" s="67"/>
      <c r="U43" s="67"/>
      <c r="V43" s="67"/>
      <c r="W43" s="67"/>
      <c r="X43" s="67"/>
      <c r="Y43" s="67"/>
      <c r="Z43" s="67"/>
      <c r="AA43" s="67"/>
    </row>
    <row r="44" spans="1:27" ht="20" thickBot="1">
      <c r="A44" s="67"/>
      <c r="B44" s="67"/>
      <c r="C44" s="140"/>
      <c r="D44" s="67"/>
      <c r="E44" s="67"/>
      <c r="F44" s="141"/>
      <c r="G44" s="67"/>
      <c r="H44" s="140"/>
      <c r="J44" s="142" t="s">
        <v>76</v>
      </c>
      <c r="M44" s="67"/>
      <c r="N44" s="67"/>
      <c r="O44" s="67"/>
      <c r="P44" s="67"/>
      <c r="Q44" s="67"/>
      <c r="R44" s="67"/>
      <c r="S44" s="67"/>
      <c r="T44" s="67"/>
      <c r="U44" s="67"/>
      <c r="V44" s="67"/>
      <c r="W44" s="67"/>
      <c r="X44" s="67"/>
      <c r="Y44" s="67"/>
      <c r="Z44" s="67"/>
      <c r="AA44" s="67"/>
    </row>
    <row r="45" spans="1:27" ht="20" thickBot="1">
      <c r="A45" s="67"/>
      <c r="B45" s="67"/>
      <c r="C45" s="140"/>
      <c r="D45" s="67"/>
      <c r="E45" s="67"/>
      <c r="F45" s="141"/>
      <c r="G45" s="67"/>
      <c r="H45" s="140"/>
      <c r="J45" s="143">
        <v>1</v>
      </c>
      <c r="K45" s="144">
        <f>J45+1</f>
        <v>2</v>
      </c>
      <c r="L45" s="140"/>
      <c r="M45" s="67"/>
      <c r="N45" s="67"/>
      <c r="O45" s="67"/>
      <c r="P45" s="67"/>
      <c r="Q45" s="67"/>
      <c r="R45" s="67"/>
      <c r="S45" s="67"/>
      <c r="T45" s="67"/>
      <c r="U45" s="67"/>
      <c r="V45" s="67"/>
      <c r="W45" s="67"/>
      <c r="X45" s="67"/>
      <c r="Y45" s="67"/>
      <c r="Z45" s="67"/>
      <c r="AA45" s="67"/>
    </row>
    <row r="46" spans="1:27" ht="20" thickBot="1">
      <c r="A46" s="67"/>
      <c r="B46" s="67"/>
      <c r="C46" s="140"/>
      <c r="D46" s="67"/>
      <c r="E46" s="67"/>
      <c r="F46" s="141"/>
      <c r="G46" s="67"/>
      <c r="H46" s="140"/>
      <c r="J46" s="145">
        <v>-0.50027278419099996</v>
      </c>
      <c r="K46" s="146">
        <v>-0.50027278419099996</v>
      </c>
      <c r="L46" s="147"/>
      <c r="M46" s="67"/>
      <c r="N46" s="67"/>
      <c r="O46" s="67"/>
      <c r="P46" s="67"/>
      <c r="Q46" s="67"/>
      <c r="R46" s="67"/>
      <c r="S46" s="67"/>
      <c r="T46" s="67"/>
      <c r="U46" s="67"/>
      <c r="V46" s="67"/>
      <c r="W46" s="67"/>
      <c r="X46" s="67"/>
      <c r="Y46" s="67"/>
      <c r="Z46" s="67"/>
      <c r="AA46" s="67"/>
    </row>
    <row r="47" spans="1:27" ht="19">
      <c r="A47" s="67"/>
      <c r="B47" s="67"/>
      <c r="C47" s="140"/>
      <c r="D47" s="67"/>
      <c r="E47" s="67"/>
      <c r="F47" s="141"/>
      <c r="G47" s="67"/>
      <c r="H47" s="140"/>
      <c r="K47" s="67"/>
      <c r="L47" s="67"/>
      <c r="M47" s="67"/>
      <c r="N47" s="67"/>
      <c r="O47" s="67"/>
      <c r="P47" s="67"/>
      <c r="Q47" s="67"/>
      <c r="R47" s="67"/>
      <c r="S47" s="67"/>
      <c r="T47" s="67"/>
      <c r="U47" s="67"/>
      <c r="V47" s="67"/>
      <c r="W47" s="67"/>
      <c r="X47" s="67"/>
      <c r="Y47" s="67"/>
      <c r="Z47" s="67"/>
      <c r="AA47" s="67"/>
    </row>
    <row r="48" spans="1:27" ht="19">
      <c r="A48" s="67"/>
      <c r="B48" s="67"/>
      <c r="C48" s="140"/>
      <c r="D48" s="67"/>
      <c r="E48" s="67"/>
      <c r="F48" s="141"/>
      <c r="G48" s="67"/>
      <c r="H48" s="140"/>
      <c r="K48" s="67"/>
      <c r="L48" s="67"/>
      <c r="M48" s="67"/>
      <c r="N48" s="67"/>
      <c r="O48" s="67"/>
      <c r="P48" s="67"/>
      <c r="Q48" s="67"/>
      <c r="R48" s="67"/>
      <c r="S48" s="67"/>
      <c r="T48" s="67"/>
      <c r="U48" s="67"/>
      <c r="V48" s="67"/>
      <c r="W48" s="67"/>
      <c r="X48" s="67"/>
      <c r="Y48" s="67"/>
      <c r="Z48" s="67"/>
      <c r="AA48" s="67"/>
    </row>
    <row r="49" spans="1:27" ht="19">
      <c r="A49" s="67"/>
      <c r="B49" s="67"/>
      <c r="C49" s="140"/>
      <c r="D49" s="67"/>
      <c r="E49" s="67"/>
      <c r="F49" s="141"/>
      <c r="G49" s="67"/>
      <c r="H49" s="140"/>
      <c r="K49" s="67"/>
      <c r="L49" s="67"/>
      <c r="M49" s="67"/>
      <c r="N49" s="67"/>
      <c r="O49" s="67"/>
      <c r="P49" s="67"/>
      <c r="Q49" s="67"/>
      <c r="R49" s="67"/>
      <c r="S49" s="67"/>
      <c r="T49" s="67"/>
      <c r="U49" s="67"/>
      <c r="V49" s="67"/>
      <c r="W49" s="67"/>
      <c r="X49" s="67"/>
      <c r="Y49" s="67"/>
      <c r="Z49" s="67"/>
      <c r="AA49" s="67"/>
    </row>
    <row r="50" spans="1:27" ht="19">
      <c r="A50" s="67"/>
      <c r="B50" s="67"/>
      <c r="C50" s="140"/>
      <c r="D50" s="67"/>
      <c r="E50" s="67"/>
      <c r="F50" s="141"/>
      <c r="G50" s="67"/>
      <c r="H50" s="140"/>
      <c r="K50" s="67"/>
      <c r="L50" s="67"/>
      <c r="M50" s="67"/>
      <c r="N50" s="67"/>
      <c r="O50" s="67"/>
      <c r="P50" s="67"/>
      <c r="Q50" s="67"/>
      <c r="R50" s="67"/>
      <c r="S50" s="67"/>
      <c r="T50" s="67"/>
      <c r="U50" s="67"/>
      <c r="V50" s="67"/>
      <c r="W50" s="67"/>
      <c r="X50" s="67"/>
      <c r="Y50" s="67"/>
      <c r="Z50" s="67"/>
      <c r="AA50" s="67"/>
    </row>
    <row r="51" spans="1:27" ht="19">
      <c r="A51" s="67"/>
      <c r="B51" s="67"/>
      <c r="C51" s="67"/>
      <c r="D51" s="67"/>
      <c r="E51" s="67"/>
      <c r="F51" s="67"/>
      <c r="G51" s="67"/>
      <c r="H51" s="67"/>
      <c r="K51" s="67"/>
      <c r="L51" s="67"/>
      <c r="M51" s="67"/>
      <c r="N51" s="67"/>
      <c r="O51" s="67"/>
      <c r="P51" s="67"/>
      <c r="Q51" s="67"/>
      <c r="R51" s="67"/>
      <c r="S51" s="67"/>
      <c r="T51" s="67"/>
      <c r="U51" s="67"/>
      <c r="V51" s="67"/>
      <c r="W51" s="67"/>
      <c r="X51" s="67"/>
      <c r="Y51" s="67"/>
      <c r="Z51" s="67"/>
      <c r="AA51" s="67"/>
    </row>
    <row r="52" spans="1:27" ht="19">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spans="1:27" ht="30" thickBot="1">
      <c r="A53" s="65" t="s">
        <v>77</v>
      </c>
      <c r="B53" s="65"/>
      <c r="C53" s="65"/>
      <c r="D53" s="65"/>
      <c r="E53" s="65"/>
      <c r="F53" s="65"/>
      <c r="G53" s="65"/>
      <c r="H53" s="65"/>
      <c r="I53" s="65"/>
      <c r="J53" s="65"/>
      <c r="K53" s="65"/>
      <c r="L53" s="65"/>
      <c r="M53" s="65"/>
      <c r="N53" s="65"/>
      <c r="O53" s="65"/>
      <c r="P53" s="65"/>
      <c r="Q53" s="65"/>
      <c r="R53" s="65"/>
      <c r="S53" s="65"/>
      <c r="T53" s="65"/>
      <c r="U53" s="65"/>
      <c r="V53" s="65"/>
      <c r="W53" s="67"/>
      <c r="X53" s="67"/>
      <c r="Y53" s="67"/>
      <c r="Z53" s="67"/>
      <c r="AA53" s="67"/>
    </row>
    <row r="54" spans="1:27" ht="20" thickTop="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spans="1:27" ht="19">
      <c r="A55" s="67"/>
      <c r="B55" s="67"/>
      <c r="C55" s="67"/>
      <c r="D55" s="67"/>
      <c r="E55" s="67"/>
      <c r="F55" s="67" t="s">
        <v>78</v>
      </c>
      <c r="G55" s="67"/>
      <c r="H55" s="67"/>
      <c r="I55" s="67"/>
      <c r="J55" s="67"/>
      <c r="K55" s="67"/>
      <c r="L55" s="67"/>
      <c r="M55" s="67"/>
      <c r="N55" s="67"/>
      <c r="O55" s="67"/>
      <c r="Q55" s="67"/>
      <c r="R55" s="67"/>
      <c r="S55" s="67"/>
      <c r="T55" s="67"/>
      <c r="U55" s="67"/>
      <c r="V55" s="67"/>
      <c r="W55" s="67"/>
      <c r="X55" s="67"/>
      <c r="Y55" s="67"/>
      <c r="Z55" s="67"/>
      <c r="AA55" s="67"/>
    </row>
    <row r="56" spans="1:27" ht="27">
      <c r="B56" s="67"/>
      <c r="C56" s="148" t="s">
        <v>79</v>
      </c>
      <c r="D56" s="149"/>
      <c r="E56" s="67"/>
      <c r="F56" s="67"/>
      <c r="G56" s="67"/>
      <c r="H56" s="67"/>
      <c r="I56" s="67"/>
      <c r="J56" s="67"/>
      <c r="K56" s="67"/>
      <c r="L56" s="67"/>
      <c r="M56" s="67"/>
      <c r="N56" s="67"/>
      <c r="O56" s="67"/>
      <c r="Q56" s="67"/>
      <c r="R56" s="67"/>
      <c r="S56" s="67"/>
      <c r="T56" s="67"/>
      <c r="U56" s="67"/>
      <c r="V56" s="67"/>
      <c r="W56" s="67"/>
      <c r="X56" s="67"/>
      <c r="Y56" s="67"/>
      <c r="Z56" s="67"/>
      <c r="AA56" s="67"/>
    </row>
    <row r="57" spans="1:27" ht="19">
      <c r="B57" s="67"/>
      <c r="C57" s="67"/>
      <c r="D57" s="67"/>
      <c r="E57" s="67"/>
      <c r="F57" s="67"/>
      <c r="G57" s="67"/>
      <c r="H57" s="67"/>
      <c r="I57" s="67"/>
      <c r="J57" s="67"/>
      <c r="K57" s="67"/>
      <c r="L57" s="67"/>
      <c r="M57" s="67"/>
      <c r="N57" s="67"/>
      <c r="O57" s="67"/>
      <c r="Q57" s="67"/>
      <c r="R57" s="67"/>
      <c r="S57" s="67"/>
      <c r="T57" s="67"/>
      <c r="U57" s="67"/>
      <c r="V57" s="67"/>
      <c r="W57" s="67"/>
      <c r="X57" s="67"/>
      <c r="Y57" s="67"/>
      <c r="Z57" s="67"/>
      <c r="AA57" s="67"/>
    </row>
    <row r="58" spans="1:27" ht="19">
      <c r="B58" s="67"/>
      <c r="C58" s="67"/>
      <c r="D58" s="67"/>
      <c r="E58" s="67"/>
      <c r="F58" s="67"/>
      <c r="G58" s="67"/>
      <c r="H58" s="67"/>
      <c r="I58" s="67"/>
      <c r="J58" s="67"/>
      <c r="K58" s="67"/>
      <c r="L58" s="67"/>
      <c r="M58" s="67"/>
      <c r="N58" s="67"/>
      <c r="O58" s="67"/>
      <c r="Q58" s="67"/>
      <c r="R58" s="67"/>
      <c r="S58" s="67"/>
      <c r="T58" s="67"/>
      <c r="U58" s="67"/>
      <c r="V58" s="67"/>
      <c r="W58" s="67"/>
      <c r="X58" s="67"/>
      <c r="Y58" s="67"/>
      <c r="Z58" s="67"/>
      <c r="AA58" s="67"/>
    </row>
    <row r="59" spans="1:27" ht="19">
      <c r="B59" s="67"/>
      <c r="D59" s="67"/>
      <c r="E59" s="67"/>
      <c r="F59" s="67"/>
      <c r="G59" s="67"/>
      <c r="H59" s="67"/>
      <c r="I59" s="67"/>
      <c r="J59" s="67"/>
      <c r="K59" s="67"/>
      <c r="L59" s="67"/>
      <c r="M59" s="67"/>
      <c r="N59" s="67"/>
      <c r="O59" s="67"/>
      <c r="Q59" s="67"/>
      <c r="R59" s="67"/>
      <c r="S59" s="67"/>
      <c r="T59" s="67"/>
      <c r="U59" s="67"/>
      <c r="V59" s="67"/>
      <c r="W59" s="67"/>
      <c r="X59" s="67"/>
      <c r="Y59" s="67"/>
      <c r="Z59" s="67"/>
      <c r="AA59" s="67"/>
    </row>
    <row r="60" spans="1:27" ht="19">
      <c r="B60" s="67"/>
      <c r="C60" s="67"/>
      <c r="D60" s="67"/>
      <c r="E60" s="67"/>
      <c r="F60" s="67"/>
      <c r="G60" s="67"/>
      <c r="H60" s="67"/>
      <c r="I60" s="67"/>
      <c r="J60" s="67"/>
      <c r="K60" s="67"/>
      <c r="L60" s="67"/>
      <c r="M60" s="67"/>
      <c r="N60" s="67"/>
      <c r="O60" s="67"/>
      <c r="Q60" s="67"/>
      <c r="R60" s="67"/>
      <c r="S60" s="67"/>
      <c r="T60" s="67"/>
      <c r="U60" s="67"/>
      <c r="V60" s="67"/>
      <c r="W60" s="67"/>
      <c r="X60" s="67"/>
      <c r="Y60" s="67"/>
      <c r="Z60" s="67"/>
      <c r="AA60" s="67"/>
    </row>
    <row r="61" spans="1:27" ht="19">
      <c r="B61" s="67"/>
      <c r="C61" s="67"/>
      <c r="D61" s="67"/>
      <c r="E61" s="67"/>
      <c r="F61" s="67"/>
      <c r="G61" s="67"/>
      <c r="H61" s="67"/>
      <c r="I61" s="67"/>
      <c r="J61" s="67"/>
      <c r="K61" s="67"/>
      <c r="L61" s="67"/>
      <c r="M61" s="67"/>
      <c r="N61" s="67"/>
      <c r="O61" s="67"/>
      <c r="Q61" s="67"/>
      <c r="R61" s="67"/>
      <c r="S61" s="67"/>
      <c r="T61" s="67"/>
      <c r="U61" s="67"/>
      <c r="V61" s="67"/>
      <c r="W61" s="67"/>
      <c r="X61" s="67"/>
      <c r="Y61" s="67"/>
      <c r="Z61" s="67"/>
      <c r="AA61" s="67"/>
    </row>
    <row r="62" spans="1:27" ht="19">
      <c r="B62" s="67"/>
      <c r="C62" s="67"/>
      <c r="D62" s="67"/>
      <c r="E62" s="67"/>
      <c r="F62" s="67"/>
      <c r="G62" s="67"/>
      <c r="H62" s="67"/>
      <c r="I62" s="67"/>
      <c r="J62" s="67"/>
      <c r="K62" s="67"/>
      <c r="L62" s="67"/>
      <c r="M62" s="67"/>
      <c r="N62" s="67"/>
      <c r="O62" s="67"/>
      <c r="Q62" s="67"/>
      <c r="R62" s="67"/>
      <c r="S62" s="67"/>
      <c r="T62" s="67"/>
      <c r="U62" s="67"/>
      <c r="V62" s="67"/>
      <c r="W62" s="67"/>
      <c r="X62" s="67"/>
      <c r="Y62" s="67"/>
      <c r="Z62" s="67"/>
      <c r="AA62" s="67"/>
    </row>
    <row r="63" spans="1:27" ht="20" thickBot="1">
      <c r="B63" s="67"/>
      <c r="C63" s="67"/>
      <c r="D63" s="67"/>
      <c r="E63" s="67"/>
      <c r="F63" s="67"/>
      <c r="G63" s="67"/>
      <c r="H63" s="67"/>
      <c r="I63" s="67"/>
      <c r="J63" s="67"/>
      <c r="K63" s="67"/>
      <c r="L63" s="67"/>
      <c r="M63" s="67"/>
      <c r="N63" s="67"/>
      <c r="O63" s="67"/>
      <c r="Q63" s="67"/>
      <c r="R63" s="67"/>
      <c r="S63" s="67"/>
      <c r="T63" s="67"/>
      <c r="U63" s="67"/>
      <c r="V63" s="67"/>
      <c r="W63" s="67"/>
      <c r="X63" s="67"/>
      <c r="Y63" s="67"/>
      <c r="Z63" s="67"/>
      <c r="AA63" s="67"/>
    </row>
    <row r="64" spans="1:27" ht="30" customHeight="1" thickBot="1">
      <c r="B64" s="67"/>
      <c r="C64" s="150" t="s">
        <v>80</v>
      </c>
      <c r="D64" s="151" t="s">
        <v>81</v>
      </c>
      <c r="E64" s="150" t="s">
        <v>82</v>
      </c>
      <c r="F64" s="67"/>
      <c r="G64" s="67"/>
      <c r="H64" s="152" t="s">
        <v>83</v>
      </c>
      <c r="I64" s="153"/>
      <c r="J64" s="153"/>
      <c r="K64" s="153"/>
      <c r="L64" s="153"/>
      <c r="M64" s="153"/>
      <c r="N64" s="153"/>
      <c r="O64" s="67"/>
      <c r="Q64" s="67"/>
      <c r="R64" s="67"/>
      <c r="S64" s="67"/>
      <c r="T64" s="67"/>
      <c r="U64" s="67"/>
      <c r="V64" s="67"/>
      <c r="W64" s="67"/>
      <c r="X64" s="67"/>
      <c r="Y64" s="67"/>
      <c r="Z64" s="67"/>
      <c r="AA64" s="67"/>
    </row>
    <row r="65" spans="2:27" ht="20" thickBot="1">
      <c r="B65" s="67"/>
      <c r="C65" s="154">
        <v>298.14999999999998</v>
      </c>
      <c r="D65" s="155">
        <f t="shared" ref="D65:D83" si="2">C65*$B$8/$B$16</f>
        <v>4.0625788058228471E-26</v>
      </c>
      <c r="E65" s="156">
        <f xml:space="preserve"> (2*PI()*$A$28*$U$9*$B$8*C65/($B$14^2))^(3/2)*D65</f>
        <v>39748.853510380723</v>
      </c>
      <c r="F65" s="141"/>
      <c r="G65" s="67"/>
      <c r="H65" s="67"/>
      <c r="I65" s="67"/>
      <c r="J65" s="67"/>
      <c r="K65" s="67"/>
      <c r="L65" s="67"/>
      <c r="M65" s="67"/>
      <c r="N65" s="67"/>
      <c r="O65" s="67"/>
      <c r="Q65" s="67"/>
      <c r="R65" s="67"/>
      <c r="S65" s="67"/>
      <c r="T65" s="67"/>
      <c r="U65" s="67"/>
      <c r="V65" s="67"/>
      <c r="W65" s="67"/>
      <c r="X65" s="67"/>
      <c r="Y65" s="67"/>
      <c r="Z65" s="67"/>
      <c r="AA65" s="67"/>
    </row>
    <row r="66" spans="2:27" ht="20" thickBot="1">
      <c r="B66" s="67"/>
      <c r="C66" s="154">
        <v>300</v>
      </c>
      <c r="D66" s="155">
        <f t="shared" si="2"/>
        <v>4.0877868245743891E-26</v>
      </c>
      <c r="E66" s="156">
        <f xml:space="preserve"> (2*PI()*$A$28*$U$9*$B$8*C66/($B$14^2))^(3/2)*D66</f>
        <v>40368.323106654447</v>
      </c>
      <c r="F66" s="67"/>
      <c r="G66" s="67"/>
      <c r="L66" s="150" t="s">
        <v>84</v>
      </c>
      <c r="M66" s="67"/>
      <c r="N66" s="67"/>
      <c r="O66" s="67"/>
      <c r="Q66" s="67"/>
      <c r="R66" s="67"/>
      <c r="S66" s="67"/>
      <c r="T66" s="67"/>
      <c r="U66" s="67"/>
      <c r="V66" s="67"/>
      <c r="W66" s="67"/>
      <c r="X66" s="67"/>
      <c r="Y66" s="67"/>
      <c r="Z66" s="67"/>
      <c r="AA66" s="67"/>
    </row>
    <row r="67" spans="2:27" ht="19">
      <c r="B67" s="67"/>
      <c r="C67" s="157">
        <f>C66+100</f>
        <v>400</v>
      </c>
      <c r="D67" s="158">
        <f t="shared" si="2"/>
        <v>5.4503824327658529E-26</v>
      </c>
      <c r="E67" s="159">
        <f t="shared" ref="E67:E83" si="3" xml:space="preserve"> (2*PI()*$A$28*$U$9*$B$8*C67/($B$14^2))^(3/2)*D67</f>
        <v>82868.132310616726</v>
      </c>
      <c r="F67" s="67"/>
      <c r="G67" s="67"/>
      <c r="K67" s="160" t="s">
        <v>85</v>
      </c>
      <c r="L67" s="161">
        <f>$E$65</f>
        <v>39748.853510380723</v>
      </c>
      <c r="M67" s="67"/>
      <c r="N67" s="67"/>
      <c r="O67" s="67"/>
      <c r="Q67" s="67"/>
      <c r="R67" s="67"/>
      <c r="S67" s="67"/>
      <c r="T67" s="67"/>
      <c r="U67" s="67"/>
      <c r="V67" s="67"/>
      <c r="W67" s="67"/>
      <c r="X67" s="67"/>
      <c r="Y67" s="67"/>
      <c r="Z67" s="67"/>
      <c r="AA67" s="67"/>
    </row>
    <row r="68" spans="2:27" ht="20" thickBot="1">
      <c r="B68" s="67"/>
      <c r="C68" s="157">
        <f t="shared" ref="C68:C83" si="4">C67+100</f>
        <v>500</v>
      </c>
      <c r="D68" s="158">
        <f t="shared" si="2"/>
        <v>6.812978040957315E-26</v>
      </c>
      <c r="E68" s="159">
        <f t="shared" si="3"/>
        <v>144764.66954295631</v>
      </c>
      <c r="F68" s="67"/>
      <c r="G68" s="67"/>
      <c r="K68" s="162" t="s">
        <v>86</v>
      </c>
      <c r="L68" s="163">
        <f>P33</f>
        <v>39767.9</v>
      </c>
      <c r="M68" s="67"/>
      <c r="N68" s="67"/>
      <c r="O68" s="67"/>
      <c r="Q68" s="67"/>
      <c r="R68" s="67"/>
      <c r="S68" s="67"/>
      <c r="T68" s="67"/>
      <c r="U68" s="67"/>
      <c r="V68" s="67"/>
      <c r="W68" s="67"/>
      <c r="X68" s="67"/>
      <c r="Y68" s="67"/>
      <c r="Z68" s="67"/>
      <c r="AA68" s="67"/>
    </row>
    <row r="69" spans="2:27" ht="22">
      <c r="B69" s="67"/>
      <c r="C69" s="157">
        <f t="shared" si="4"/>
        <v>600</v>
      </c>
      <c r="D69" s="158">
        <f t="shared" si="2"/>
        <v>8.1755736491487783E-26</v>
      </c>
      <c r="E69" s="159">
        <f t="shared" si="3"/>
        <v>228357.72011076027</v>
      </c>
      <c r="F69" s="67"/>
      <c r="G69" s="67"/>
      <c r="H69" s="67"/>
      <c r="I69" s="67"/>
      <c r="K69" s="164" t="s">
        <v>87</v>
      </c>
      <c r="L69" s="165">
        <f>ABS(L67-L68)/L67</f>
        <v>4.7917079204069958E-4</v>
      </c>
      <c r="M69" s="67"/>
      <c r="N69" s="67"/>
      <c r="O69" s="67"/>
      <c r="Q69" s="67"/>
      <c r="R69" s="67"/>
      <c r="S69" s="67"/>
      <c r="T69" s="67"/>
      <c r="U69" s="67"/>
      <c r="V69" s="67"/>
      <c r="W69" s="67"/>
      <c r="X69" s="67"/>
      <c r="Y69" s="67"/>
      <c r="Z69" s="67"/>
      <c r="AA69" s="67"/>
    </row>
    <row r="70" spans="2:27" ht="19">
      <c r="B70" s="67"/>
      <c r="C70" s="157">
        <f t="shared" si="4"/>
        <v>700</v>
      </c>
      <c r="D70" s="158">
        <f t="shared" si="2"/>
        <v>9.5381692573402415E-26</v>
      </c>
      <c r="E70" s="159">
        <f t="shared" si="3"/>
        <v>335724.21923775156</v>
      </c>
      <c r="F70" s="67"/>
      <c r="G70" s="67"/>
      <c r="Q70" s="67"/>
      <c r="R70" s="67"/>
      <c r="S70" s="67"/>
      <c r="T70" s="67"/>
      <c r="U70" s="67"/>
      <c r="V70" s="67"/>
      <c r="W70" s="67"/>
      <c r="X70" s="67"/>
      <c r="Y70" s="67"/>
      <c r="Z70" s="67"/>
      <c r="AA70" s="67"/>
    </row>
    <row r="71" spans="2:27" ht="19">
      <c r="B71" s="67"/>
      <c r="C71" s="157">
        <f t="shared" si="4"/>
        <v>800</v>
      </c>
      <c r="D71" s="158">
        <f t="shared" si="2"/>
        <v>1.0900764865531706E-25</v>
      </c>
      <c r="E71" s="159">
        <f t="shared" si="3"/>
        <v>468772.94640881027</v>
      </c>
      <c r="F71" s="67"/>
      <c r="G71" s="67"/>
      <c r="Q71" s="67"/>
      <c r="R71" s="67"/>
      <c r="S71" s="67"/>
      <c r="T71" s="67"/>
      <c r="U71" s="67"/>
      <c r="V71" s="67"/>
      <c r="W71" s="67"/>
      <c r="X71" s="67"/>
      <c r="Y71" s="67"/>
      <c r="Z71" s="67"/>
      <c r="AA71" s="67"/>
    </row>
    <row r="72" spans="2:27" ht="19">
      <c r="B72" s="67"/>
      <c r="C72" s="157">
        <f t="shared" si="4"/>
        <v>900</v>
      </c>
      <c r="D72" s="158">
        <f t="shared" si="2"/>
        <v>1.2263360473723168E-25</v>
      </c>
      <c r="E72" s="159">
        <f t="shared" si="3"/>
        <v>629279.87973373779</v>
      </c>
      <c r="F72" s="67"/>
      <c r="G72" s="67"/>
      <c r="Q72" s="67"/>
      <c r="R72" s="67"/>
      <c r="S72" s="67"/>
      <c r="T72" s="67"/>
      <c r="U72" s="67"/>
      <c r="V72" s="67"/>
      <c r="W72" s="67"/>
      <c r="X72" s="67"/>
      <c r="Y72" s="67"/>
      <c r="Z72" s="67"/>
      <c r="AA72" s="67"/>
    </row>
    <row r="73" spans="2:27" ht="19">
      <c r="C73" s="157">
        <f t="shared" si="4"/>
        <v>1000</v>
      </c>
      <c r="D73" s="158">
        <f t="shared" si="2"/>
        <v>1.362595608191463E-25</v>
      </c>
      <c r="E73" s="159">
        <f t="shared" si="3"/>
        <v>818912.6360804349</v>
      </c>
    </row>
    <row r="74" spans="2:27" ht="19">
      <c r="C74" s="157">
        <f t="shared" si="4"/>
        <v>1100</v>
      </c>
      <c r="D74" s="158">
        <f t="shared" si="2"/>
        <v>1.4988551690106094E-25</v>
      </c>
      <c r="E74" s="159">
        <f t="shared" si="3"/>
        <v>1039248.2105053912</v>
      </c>
    </row>
    <row r="75" spans="2:27" ht="19">
      <c r="C75" s="157">
        <f t="shared" si="4"/>
        <v>1200</v>
      </c>
      <c r="D75" s="158">
        <f t="shared" si="2"/>
        <v>1.6351147298297557E-25</v>
      </c>
      <c r="E75" s="159">
        <f t="shared" si="3"/>
        <v>1291786.3394129495</v>
      </c>
    </row>
    <row r="76" spans="2:27" ht="19">
      <c r="C76" s="157">
        <f t="shared" si="4"/>
        <v>1300</v>
      </c>
      <c r="D76" s="158">
        <f t="shared" si="2"/>
        <v>1.7713742906489019E-25</v>
      </c>
      <c r="E76" s="159">
        <f t="shared" si="3"/>
        <v>1577959.8664058954</v>
      </c>
    </row>
    <row r="77" spans="2:27" ht="19">
      <c r="C77" s="157">
        <f t="shared" si="4"/>
        <v>1400</v>
      </c>
      <c r="D77" s="158">
        <f t="shared" si="2"/>
        <v>1.9076338514680483E-25</v>
      </c>
      <c r="E77" s="159">
        <f t="shared" si="3"/>
        <v>1899142.9762525919</v>
      </c>
    </row>
    <row r="78" spans="2:27" ht="19">
      <c r="C78" s="157">
        <f t="shared" si="4"/>
        <v>1500</v>
      </c>
      <c r="D78" s="158">
        <f t="shared" si="2"/>
        <v>2.043893412287195E-25</v>
      </c>
      <c r="E78" s="159">
        <f t="shared" si="3"/>
        <v>2256657.865103865</v>
      </c>
    </row>
    <row r="79" spans="2:27" ht="19">
      <c r="C79" s="157">
        <f t="shared" si="4"/>
        <v>1600</v>
      </c>
      <c r="D79" s="158">
        <f t="shared" si="2"/>
        <v>2.1801529731063412E-25</v>
      </c>
      <c r="E79" s="159">
        <f t="shared" si="3"/>
        <v>2651780.2339397119</v>
      </c>
    </row>
    <row r="80" spans="2:27" ht="19">
      <c r="C80" s="157">
        <f t="shared" si="4"/>
        <v>1700</v>
      </c>
      <c r="D80" s="158">
        <f t="shared" si="2"/>
        <v>2.3164125339254876E-25</v>
      </c>
      <c r="E80" s="159">
        <f t="shared" si="3"/>
        <v>3085743.8770825602</v>
      </c>
    </row>
    <row r="81" spans="3:26" ht="19">
      <c r="C81" s="157">
        <f t="shared" si="4"/>
        <v>1800</v>
      </c>
      <c r="D81" s="158">
        <f t="shared" si="2"/>
        <v>2.4526720947446336E-25</v>
      </c>
      <c r="E81" s="159">
        <f t="shared" si="3"/>
        <v>3559744.5617918582</v>
      </c>
    </row>
    <row r="82" spans="3:26" ht="19">
      <c r="C82" s="157">
        <f t="shared" si="4"/>
        <v>1900</v>
      </c>
      <c r="D82" s="158">
        <f t="shared" si="2"/>
        <v>2.58893165556378E-25</v>
      </c>
      <c r="E82" s="159">
        <f t="shared" si="3"/>
        <v>4074943.3434961871</v>
      </c>
    </row>
    <row r="83" spans="3:26" ht="20" thickBot="1">
      <c r="C83" s="166">
        <f t="shared" si="4"/>
        <v>2000</v>
      </c>
      <c r="D83" s="167">
        <f t="shared" si="2"/>
        <v>2.725191216382926E-25</v>
      </c>
      <c r="E83" s="168">
        <f t="shared" si="3"/>
        <v>4632469.425374628</v>
      </c>
    </row>
    <row r="92" spans="3:26" ht="22" customHeight="1">
      <c r="F92" s="67" t="s">
        <v>78</v>
      </c>
      <c r="Y92" s="67" t="s">
        <v>78</v>
      </c>
    </row>
    <row r="93" spans="3:26" ht="27">
      <c r="C93" s="148" t="s">
        <v>88</v>
      </c>
      <c r="D93" s="169"/>
      <c r="E93" s="67"/>
      <c r="F93" s="67"/>
      <c r="G93" s="67"/>
      <c r="U93" s="170" t="s">
        <v>89</v>
      </c>
      <c r="V93" s="170"/>
      <c r="W93" s="170"/>
      <c r="X93" s="67"/>
      <c r="Y93" s="67"/>
      <c r="Z93" s="67"/>
    </row>
    <row r="94" spans="3:26" ht="19">
      <c r="E94" s="67"/>
      <c r="G94" s="67"/>
      <c r="X94" s="67"/>
      <c r="Z94" s="67"/>
    </row>
    <row r="95" spans="3:26" ht="20" thickBot="1">
      <c r="E95" s="67"/>
      <c r="F95" s="67"/>
      <c r="G95" s="67"/>
    </row>
    <row r="96" spans="3:26" ht="20" thickBot="1">
      <c r="C96" s="171" t="s">
        <v>90</v>
      </c>
      <c r="E96" s="67"/>
      <c r="F96" s="67"/>
      <c r="G96" s="67"/>
    </row>
    <row r="97" spans="3:34" ht="22" thickBot="1">
      <c r="C97" s="172" t="s">
        <v>91</v>
      </c>
      <c r="D97" s="173" t="str" cm="1">
        <f t="array" ref="D97">INDEX($E:$E,(COLUMN(D97)-4)*1+42)</f>
        <v>-</v>
      </c>
      <c r="E97" s="67"/>
      <c r="F97" s="67"/>
      <c r="G97" s="67"/>
      <c r="H97" s="67"/>
      <c r="I97" s="67"/>
      <c r="J97" s="67"/>
      <c r="K97" s="67"/>
      <c r="L97" s="67"/>
    </row>
    <row r="98" spans="3:34" ht="20" thickBot="1">
      <c r="C98" s="174" t="s">
        <v>92</v>
      </c>
      <c r="D98" s="175" t="s">
        <v>56</v>
      </c>
      <c r="E98" s="141"/>
      <c r="F98" s="141"/>
      <c r="G98" s="141"/>
      <c r="H98" s="141"/>
      <c r="I98" s="141"/>
      <c r="J98" s="141"/>
      <c r="K98" s="141"/>
      <c r="L98" s="141"/>
    </row>
    <row r="99" spans="3:34" ht="20" thickBot="1">
      <c r="L99" s="176" t="s">
        <v>93</v>
      </c>
      <c r="M99" s="177">
        <f>0</f>
        <v>0</v>
      </c>
    </row>
    <row r="100" spans="3:34" ht="30" customHeight="1" thickBot="1">
      <c r="C100" s="178" t="s">
        <v>94</v>
      </c>
      <c r="D100" s="179"/>
      <c r="E100" s="180" t="s">
        <v>95</v>
      </c>
    </row>
    <row r="101" spans="3:34" ht="38" customHeight="1" thickBot="1">
      <c r="C101" s="181" t="s">
        <v>96</v>
      </c>
      <c r="D101" s="182">
        <v>1</v>
      </c>
      <c r="E101" s="183"/>
      <c r="F101" s="184"/>
      <c r="G101" s="184"/>
      <c r="H101" s="184"/>
      <c r="I101" s="184"/>
      <c r="K101" s="152" t="s">
        <v>83</v>
      </c>
      <c r="L101" s="153"/>
      <c r="M101" s="153"/>
      <c r="N101" s="153"/>
      <c r="O101" s="153"/>
      <c r="Q101" s="67"/>
      <c r="U101" s="185" t="s">
        <v>80</v>
      </c>
      <c r="V101" s="186" t="s">
        <v>97</v>
      </c>
      <c r="W101" s="187" t="s">
        <v>98</v>
      </c>
      <c r="X101" s="187" t="s">
        <v>99</v>
      </c>
      <c r="Y101" s="188" t="s">
        <v>100</v>
      </c>
      <c r="Z101" s="189" t="s">
        <v>101</v>
      </c>
      <c r="AB101" s="190" t="s">
        <v>83</v>
      </c>
      <c r="AC101" s="190"/>
      <c r="AD101" s="190"/>
      <c r="AE101" s="190"/>
      <c r="AF101" s="190"/>
      <c r="AG101" s="190"/>
      <c r="AH101" s="190"/>
    </row>
    <row r="102" spans="3:34" ht="20" thickBot="1">
      <c r="C102" s="176">
        <v>298.14999999999998</v>
      </c>
      <c r="D102" s="191">
        <f>1</f>
        <v>1</v>
      </c>
      <c r="E102" s="192">
        <f xml:space="preserve"> PRODUCT(D102)</f>
        <v>1</v>
      </c>
      <c r="F102" s="193"/>
      <c r="G102" s="193"/>
      <c r="H102" s="193"/>
      <c r="I102" s="193"/>
      <c r="U102" s="176">
        <v>298.14999999999998</v>
      </c>
      <c r="V102" s="194">
        <f>$E65</f>
        <v>39748.853510380723</v>
      </c>
      <c r="W102" s="195">
        <f>1</f>
        <v>1</v>
      </c>
      <c r="X102" s="196">
        <f>$D137</f>
        <v>1</v>
      </c>
      <c r="Y102" s="197">
        <f>$D175</f>
        <v>2</v>
      </c>
      <c r="Z102" s="198">
        <f>PRODUCT(V102:Y102)</f>
        <v>79497.707020761445</v>
      </c>
    </row>
    <row r="103" spans="3:34" ht="22" thickBot="1">
      <c r="C103" s="199">
        <v>300</v>
      </c>
      <c r="D103" s="191">
        <f>1</f>
        <v>1</v>
      </c>
      <c r="E103" s="200">
        <f t="shared" ref="E103:E119" si="5" xml:space="preserve"> PRODUCT(D103)</f>
        <v>1</v>
      </c>
      <c r="F103" s="193"/>
      <c r="G103" s="193"/>
      <c r="H103" s="193"/>
      <c r="I103" s="193"/>
      <c r="M103" s="150" t="s">
        <v>102</v>
      </c>
      <c r="N103" s="185" t="s">
        <v>103</v>
      </c>
      <c r="O103" s="201" t="s">
        <v>104</v>
      </c>
      <c r="U103" s="199">
        <v>300</v>
      </c>
      <c r="V103" s="202">
        <f t="shared" ref="V103:V120" si="6">$E66</f>
        <v>40368.323106654447</v>
      </c>
      <c r="W103" s="67">
        <f>1</f>
        <v>1</v>
      </c>
      <c r="X103" s="141">
        <f t="shared" ref="X103:X120" si="7">$D138</f>
        <v>1</v>
      </c>
      <c r="Y103" s="203">
        <f t="shared" ref="Y103:Y120" si="8">$D176</f>
        <v>2</v>
      </c>
      <c r="Z103" s="198">
        <f t="shared" ref="Z103:Z120" si="9">PRODUCT(V103:Y103)</f>
        <v>80736.646213308893</v>
      </c>
    </row>
    <row r="104" spans="3:34" ht="20" thickBot="1">
      <c r="C104" s="204">
        <f>C103+100</f>
        <v>400</v>
      </c>
      <c r="D104" s="205">
        <f>1</f>
        <v>1</v>
      </c>
      <c r="E104" s="200">
        <f t="shared" si="5"/>
        <v>1</v>
      </c>
      <c r="F104" s="193"/>
      <c r="G104" s="193"/>
      <c r="H104" s="193"/>
      <c r="I104" s="193"/>
      <c r="L104" s="160" t="s">
        <v>85</v>
      </c>
      <c r="M104" s="161">
        <f>E102</f>
        <v>1</v>
      </c>
      <c r="N104" s="206">
        <f>E124</f>
        <v>1</v>
      </c>
      <c r="O104" s="206">
        <f>M99</f>
        <v>0</v>
      </c>
      <c r="U104" s="204">
        <f>U103+100</f>
        <v>400</v>
      </c>
      <c r="V104" s="202">
        <f t="shared" si="6"/>
        <v>82868.132310616726</v>
      </c>
      <c r="W104" s="67">
        <f>1</f>
        <v>1</v>
      </c>
      <c r="X104" s="141">
        <f t="shared" si="7"/>
        <v>1</v>
      </c>
      <c r="Y104" s="203">
        <f t="shared" si="8"/>
        <v>2</v>
      </c>
      <c r="Z104" s="198">
        <f t="shared" si="9"/>
        <v>165736.26462123345</v>
      </c>
    </row>
    <row r="105" spans="3:34" ht="23" thickBot="1">
      <c r="C105" s="204">
        <f t="shared" ref="C105:C120" si="10">C104+100</f>
        <v>500</v>
      </c>
      <c r="D105" s="205">
        <f>1</f>
        <v>1</v>
      </c>
      <c r="E105" s="200">
        <f t="shared" si="5"/>
        <v>1</v>
      </c>
      <c r="F105" s="193"/>
      <c r="G105" s="193"/>
      <c r="H105" s="193"/>
      <c r="I105" s="193"/>
      <c r="L105" s="162" t="s">
        <v>86</v>
      </c>
      <c r="M105" s="163">
        <f>P38</f>
        <v>1</v>
      </c>
      <c r="N105" s="207">
        <f>P37</f>
        <v>1</v>
      </c>
      <c r="O105" s="207">
        <f>D38</f>
        <v>0</v>
      </c>
      <c r="U105" s="204">
        <f t="shared" ref="U105:U120" si="11">U104+100</f>
        <v>500</v>
      </c>
      <c r="V105" s="202">
        <f t="shared" si="6"/>
        <v>144764.66954295631</v>
      </c>
      <c r="W105" s="67">
        <f>1</f>
        <v>1</v>
      </c>
      <c r="X105" s="141">
        <f t="shared" si="7"/>
        <v>1</v>
      </c>
      <c r="Y105" s="203">
        <f t="shared" si="8"/>
        <v>2</v>
      </c>
      <c r="Z105" s="198">
        <f t="shared" si="9"/>
        <v>289529.33908591262</v>
      </c>
      <c r="AE105" s="150" t="s">
        <v>105</v>
      </c>
      <c r="AF105" s="208" t="s">
        <v>106</v>
      </c>
    </row>
    <row r="106" spans="3:34" ht="23" thickBot="1">
      <c r="C106" s="204">
        <f t="shared" si="10"/>
        <v>600</v>
      </c>
      <c r="D106" s="205">
        <f>1</f>
        <v>1</v>
      </c>
      <c r="E106" s="200">
        <f t="shared" si="5"/>
        <v>1</v>
      </c>
      <c r="F106" s="193"/>
      <c r="G106" s="193"/>
      <c r="H106" s="193"/>
      <c r="I106" s="193"/>
      <c r="L106" s="164" t="s">
        <v>87</v>
      </c>
      <c r="M106" s="165">
        <f>ABS(M104-M105)/M104</f>
        <v>0</v>
      </c>
      <c r="N106" s="165">
        <f t="shared" ref="N106" si="12">ABS(N104-N105)/N104</f>
        <v>0</v>
      </c>
      <c r="O106" s="165">
        <f>0</f>
        <v>0</v>
      </c>
      <c r="U106" s="204">
        <f t="shared" si="11"/>
        <v>600</v>
      </c>
      <c r="V106" s="202">
        <f t="shared" si="6"/>
        <v>228357.72011076027</v>
      </c>
      <c r="W106" s="67">
        <f>1</f>
        <v>1</v>
      </c>
      <c r="X106" s="141">
        <f t="shared" si="7"/>
        <v>1</v>
      </c>
      <c r="Y106" s="203">
        <f t="shared" si="8"/>
        <v>2</v>
      </c>
      <c r="Z106" s="198">
        <f t="shared" si="9"/>
        <v>456715.44022152055</v>
      </c>
      <c r="AD106" s="160" t="s">
        <v>85</v>
      </c>
      <c r="AE106" s="209">
        <f>Z102</f>
        <v>79497.707020761445</v>
      </c>
      <c r="AF106" s="210">
        <f>V103*X103*Y103*E103</f>
        <v>80736.646213308893</v>
      </c>
    </row>
    <row r="107" spans="3:34" ht="20" thickBot="1">
      <c r="C107" s="204">
        <f t="shared" si="10"/>
        <v>700</v>
      </c>
      <c r="D107" s="205">
        <f>1</f>
        <v>1</v>
      </c>
      <c r="E107" s="200">
        <f t="shared" si="5"/>
        <v>1</v>
      </c>
      <c r="F107" s="193"/>
      <c r="G107" s="193"/>
      <c r="H107" s="193"/>
      <c r="I107" s="193"/>
      <c r="U107" s="204">
        <f t="shared" si="11"/>
        <v>700</v>
      </c>
      <c r="V107" s="202">
        <f t="shared" si="6"/>
        <v>335724.21923775156</v>
      </c>
      <c r="W107" s="67">
        <f>1</f>
        <v>1</v>
      </c>
      <c r="X107" s="141">
        <f t="shared" si="7"/>
        <v>1</v>
      </c>
      <c r="Y107" s="203">
        <f t="shared" si="8"/>
        <v>2</v>
      </c>
      <c r="Z107" s="198">
        <f t="shared" si="9"/>
        <v>671448.43847550312</v>
      </c>
      <c r="AD107" s="162" t="s">
        <v>86</v>
      </c>
      <c r="AE107" s="211">
        <f>$P35</f>
        <v>79535.8</v>
      </c>
      <c r="AF107" s="202"/>
    </row>
    <row r="108" spans="3:34" ht="23" thickBot="1">
      <c r="C108" s="204">
        <f t="shared" si="10"/>
        <v>800</v>
      </c>
      <c r="D108" s="205">
        <f>1</f>
        <v>1</v>
      </c>
      <c r="E108" s="200">
        <f t="shared" si="5"/>
        <v>1</v>
      </c>
      <c r="F108" s="193"/>
      <c r="G108" s="193"/>
      <c r="H108" s="193"/>
      <c r="I108" s="193"/>
      <c r="U108" s="204">
        <f t="shared" si="11"/>
        <v>800</v>
      </c>
      <c r="V108" s="202">
        <f t="shared" si="6"/>
        <v>468772.94640881027</v>
      </c>
      <c r="W108" s="67">
        <f>1</f>
        <v>1</v>
      </c>
      <c r="X108" s="141">
        <f t="shared" si="7"/>
        <v>1</v>
      </c>
      <c r="Y108" s="203">
        <f t="shared" si="8"/>
        <v>2</v>
      </c>
      <c r="Z108" s="198">
        <f t="shared" si="9"/>
        <v>937545.89281762054</v>
      </c>
      <c r="AD108" s="164" t="s">
        <v>87</v>
      </c>
      <c r="AE108" s="165">
        <f>ABS(AE106-AE107)/AE106</f>
        <v>4.7917079204069958E-4</v>
      </c>
      <c r="AF108" s="212"/>
    </row>
    <row r="109" spans="3:34" ht="20" thickBot="1">
      <c r="C109" s="204">
        <f t="shared" si="10"/>
        <v>900</v>
      </c>
      <c r="D109" s="205">
        <f>1</f>
        <v>1</v>
      </c>
      <c r="E109" s="200">
        <f t="shared" si="5"/>
        <v>1</v>
      </c>
      <c r="F109" s="193"/>
      <c r="G109" s="193"/>
      <c r="H109" s="193"/>
      <c r="I109" s="193"/>
      <c r="U109" s="204">
        <f t="shared" si="11"/>
        <v>900</v>
      </c>
      <c r="V109" s="202">
        <f t="shared" si="6"/>
        <v>629279.87973373779</v>
      </c>
      <c r="W109" s="67">
        <f>1</f>
        <v>1</v>
      </c>
      <c r="X109" s="141">
        <f t="shared" si="7"/>
        <v>1</v>
      </c>
      <c r="Y109" s="203">
        <f t="shared" si="8"/>
        <v>2</v>
      </c>
      <c r="Z109" s="198">
        <f t="shared" si="9"/>
        <v>1258559.7594674756</v>
      </c>
    </row>
    <row r="110" spans="3:34" ht="20" thickBot="1">
      <c r="C110" s="204">
        <f t="shared" si="10"/>
        <v>1000</v>
      </c>
      <c r="D110" s="205">
        <f>1</f>
        <v>1</v>
      </c>
      <c r="E110" s="200">
        <f t="shared" si="5"/>
        <v>1</v>
      </c>
      <c r="F110" s="193"/>
      <c r="G110" s="193"/>
      <c r="H110" s="193"/>
      <c r="I110" s="193"/>
      <c r="U110" s="204">
        <f t="shared" si="11"/>
        <v>1000</v>
      </c>
      <c r="V110" s="202">
        <f t="shared" si="6"/>
        <v>818912.6360804349</v>
      </c>
      <c r="W110" s="67">
        <f>1</f>
        <v>1</v>
      </c>
      <c r="X110" s="141">
        <f t="shared" si="7"/>
        <v>1</v>
      </c>
      <c r="Y110" s="203">
        <f t="shared" si="8"/>
        <v>2</v>
      </c>
      <c r="Z110" s="198">
        <f t="shared" si="9"/>
        <v>1637825.2721608698</v>
      </c>
    </row>
    <row r="111" spans="3:34" ht="20" thickBot="1">
      <c r="C111" s="204">
        <f t="shared" si="10"/>
        <v>1100</v>
      </c>
      <c r="D111" s="205">
        <f>1</f>
        <v>1</v>
      </c>
      <c r="E111" s="200">
        <f t="shared" si="5"/>
        <v>1</v>
      </c>
      <c r="F111" s="193"/>
      <c r="G111" s="193"/>
      <c r="H111" s="193"/>
      <c r="I111" s="193"/>
      <c r="U111" s="204">
        <f t="shared" si="11"/>
        <v>1100</v>
      </c>
      <c r="V111" s="202">
        <f t="shared" si="6"/>
        <v>1039248.2105053912</v>
      </c>
      <c r="W111" s="67">
        <f>1</f>
        <v>1</v>
      </c>
      <c r="X111" s="141">
        <f t="shared" si="7"/>
        <v>1</v>
      </c>
      <c r="Y111" s="203">
        <f t="shared" si="8"/>
        <v>2</v>
      </c>
      <c r="Z111" s="198">
        <f t="shared" si="9"/>
        <v>2078496.4210107825</v>
      </c>
    </row>
    <row r="112" spans="3:34" ht="20" thickBot="1">
      <c r="C112" s="204">
        <f t="shared" si="10"/>
        <v>1200</v>
      </c>
      <c r="D112" s="205">
        <f>1</f>
        <v>1</v>
      </c>
      <c r="E112" s="200">
        <f t="shared" si="5"/>
        <v>1</v>
      </c>
      <c r="F112" s="193"/>
      <c r="G112" s="193"/>
      <c r="H112" s="193"/>
      <c r="I112" s="193"/>
      <c r="U112" s="204">
        <f t="shared" si="11"/>
        <v>1200</v>
      </c>
      <c r="V112" s="202">
        <f t="shared" si="6"/>
        <v>1291786.3394129495</v>
      </c>
      <c r="W112" s="67">
        <f>1</f>
        <v>1</v>
      </c>
      <c r="X112" s="141">
        <f t="shared" si="7"/>
        <v>1</v>
      </c>
      <c r="Y112" s="203">
        <f t="shared" si="8"/>
        <v>2</v>
      </c>
      <c r="Z112" s="198">
        <f t="shared" si="9"/>
        <v>2583572.678825899</v>
      </c>
    </row>
    <row r="113" spans="2:26" ht="20" thickBot="1">
      <c r="C113" s="204">
        <f t="shared" si="10"/>
        <v>1300</v>
      </c>
      <c r="D113" s="205">
        <f>1</f>
        <v>1</v>
      </c>
      <c r="E113" s="200">
        <f t="shared" si="5"/>
        <v>1</v>
      </c>
      <c r="F113" s="193"/>
      <c r="G113" s="193"/>
      <c r="H113" s="193"/>
      <c r="I113" s="193"/>
      <c r="U113" s="204">
        <f t="shared" si="11"/>
        <v>1300</v>
      </c>
      <c r="V113" s="202">
        <f t="shared" si="6"/>
        <v>1577959.8664058954</v>
      </c>
      <c r="W113" s="67">
        <f>1</f>
        <v>1</v>
      </c>
      <c r="X113" s="141">
        <f t="shared" si="7"/>
        <v>1</v>
      </c>
      <c r="Y113" s="203">
        <f t="shared" si="8"/>
        <v>2</v>
      </c>
      <c r="Z113" s="198">
        <f t="shared" si="9"/>
        <v>3155919.7328117909</v>
      </c>
    </row>
    <row r="114" spans="2:26" ht="20" thickBot="1">
      <c r="C114" s="204">
        <f t="shared" si="10"/>
        <v>1400</v>
      </c>
      <c r="D114" s="205">
        <f>1</f>
        <v>1</v>
      </c>
      <c r="E114" s="200">
        <f t="shared" si="5"/>
        <v>1</v>
      </c>
      <c r="F114" s="193"/>
      <c r="G114" s="193"/>
      <c r="H114" s="193"/>
      <c r="I114" s="193"/>
      <c r="U114" s="204">
        <f t="shared" si="11"/>
        <v>1400</v>
      </c>
      <c r="V114" s="202">
        <f t="shared" si="6"/>
        <v>1899142.9762525919</v>
      </c>
      <c r="W114" s="67">
        <f>1</f>
        <v>1</v>
      </c>
      <c r="X114" s="141">
        <f t="shared" si="7"/>
        <v>1</v>
      </c>
      <c r="Y114" s="203">
        <f t="shared" si="8"/>
        <v>2</v>
      </c>
      <c r="Z114" s="198">
        <f t="shared" si="9"/>
        <v>3798285.9525051839</v>
      </c>
    </row>
    <row r="115" spans="2:26" ht="20" thickBot="1">
      <c r="C115" s="204">
        <f t="shared" si="10"/>
        <v>1500</v>
      </c>
      <c r="D115" s="205">
        <f>1</f>
        <v>1</v>
      </c>
      <c r="E115" s="200">
        <f t="shared" si="5"/>
        <v>1</v>
      </c>
      <c r="F115" s="193"/>
      <c r="G115" s="193"/>
      <c r="H115" s="193"/>
      <c r="I115" s="193"/>
      <c r="U115" s="204">
        <f t="shared" si="11"/>
        <v>1500</v>
      </c>
      <c r="V115" s="202">
        <f t="shared" si="6"/>
        <v>2256657.865103865</v>
      </c>
      <c r="W115" s="67">
        <f>1</f>
        <v>1</v>
      </c>
      <c r="X115" s="141">
        <f t="shared" si="7"/>
        <v>1</v>
      </c>
      <c r="Y115" s="203">
        <f t="shared" si="8"/>
        <v>2</v>
      </c>
      <c r="Z115" s="198">
        <f t="shared" si="9"/>
        <v>4513315.7302077301</v>
      </c>
    </row>
    <row r="116" spans="2:26" ht="20" thickBot="1">
      <c r="C116" s="204">
        <f t="shared" si="10"/>
        <v>1600</v>
      </c>
      <c r="D116" s="205">
        <f>1</f>
        <v>1</v>
      </c>
      <c r="E116" s="200">
        <f t="shared" si="5"/>
        <v>1</v>
      </c>
      <c r="F116" s="193"/>
      <c r="G116" s="193"/>
      <c r="H116" s="193"/>
      <c r="I116" s="193"/>
      <c r="U116" s="204">
        <f t="shared" si="11"/>
        <v>1600</v>
      </c>
      <c r="V116" s="202">
        <f t="shared" si="6"/>
        <v>2651780.2339397119</v>
      </c>
      <c r="W116" s="67">
        <f>1</f>
        <v>1</v>
      </c>
      <c r="X116" s="141">
        <f t="shared" si="7"/>
        <v>1</v>
      </c>
      <c r="Y116" s="203">
        <f t="shared" si="8"/>
        <v>2</v>
      </c>
      <c r="Z116" s="198">
        <f t="shared" si="9"/>
        <v>5303560.4678794239</v>
      </c>
    </row>
    <row r="117" spans="2:26" ht="20" thickBot="1">
      <c r="C117" s="204">
        <f t="shared" si="10"/>
        <v>1700</v>
      </c>
      <c r="D117" s="205">
        <f>1</f>
        <v>1</v>
      </c>
      <c r="E117" s="200">
        <f t="shared" si="5"/>
        <v>1</v>
      </c>
      <c r="F117" s="193"/>
      <c r="G117" s="193"/>
      <c r="H117" s="193"/>
      <c r="I117" s="193"/>
      <c r="U117" s="204">
        <f t="shared" si="11"/>
        <v>1700</v>
      </c>
      <c r="V117" s="202">
        <f t="shared" si="6"/>
        <v>3085743.8770825602</v>
      </c>
      <c r="W117" s="67">
        <f>1</f>
        <v>1</v>
      </c>
      <c r="X117" s="141">
        <f t="shared" si="7"/>
        <v>1</v>
      </c>
      <c r="Y117" s="203">
        <f t="shared" si="8"/>
        <v>2</v>
      </c>
      <c r="Z117" s="198">
        <f t="shared" si="9"/>
        <v>6171487.7541651204</v>
      </c>
    </row>
    <row r="118" spans="2:26" ht="20" thickBot="1">
      <c r="C118" s="204">
        <f t="shared" si="10"/>
        <v>1800</v>
      </c>
      <c r="D118" s="205">
        <f>1</f>
        <v>1</v>
      </c>
      <c r="E118" s="200">
        <f t="shared" si="5"/>
        <v>1</v>
      </c>
      <c r="F118" s="193"/>
      <c r="G118" s="193"/>
      <c r="H118" s="193"/>
      <c r="I118" s="193"/>
      <c r="U118" s="204">
        <f t="shared" si="11"/>
        <v>1800</v>
      </c>
      <c r="V118" s="202">
        <f t="shared" si="6"/>
        <v>3559744.5617918582</v>
      </c>
      <c r="W118" s="67">
        <f>1</f>
        <v>1</v>
      </c>
      <c r="X118" s="141">
        <f t="shared" si="7"/>
        <v>1</v>
      </c>
      <c r="Y118" s="203">
        <f t="shared" si="8"/>
        <v>2</v>
      </c>
      <c r="Z118" s="198">
        <f t="shared" si="9"/>
        <v>7119489.1235837163</v>
      </c>
    </row>
    <row r="119" spans="2:26" ht="20" thickBot="1">
      <c r="C119" s="204">
        <f t="shared" si="10"/>
        <v>1900</v>
      </c>
      <c r="D119" s="205">
        <f>1</f>
        <v>1</v>
      </c>
      <c r="E119" s="200">
        <f t="shared" si="5"/>
        <v>1</v>
      </c>
      <c r="F119" s="193"/>
      <c r="G119" s="193"/>
      <c r="H119" s="193"/>
      <c r="I119" s="193"/>
      <c r="U119" s="204">
        <f t="shared" si="11"/>
        <v>1900</v>
      </c>
      <c r="V119" s="202">
        <f t="shared" si="6"/>
        <v>4074943.3434961871</v>
      </c>
      <c r="W119" s="67">
        <f>1</f>
        <v>1</v>
      </c>
      <c r="X119" s="141">
        <f t="shared" si="7"/>
        <v>1</v>
      </c>
      <c r="Y119" s="203">
        <f t="shared" si="8"/>
        <v>2</v>
      </c>
      <c r="Z119" s="198">
        <f t="shared" si="9"/>
        <v>8149886.6869923742</v>
      </c>
    </row>
    <row r="120" spans="2:26" ht="20" thickBot="1">
      <c r="C120" s="213">
        <f t="shared" si="10"/>
        <v>2000</v>
      </c>
      <c r="D120" s="214">
        <f>1</f>
        <v>1</v>
      </c>
      <c r="E120" s="215">
        <f xml:space="preserve"> PRODUCT(D120)</f>
        <v>1</v>
      </c>
      <c r="F120" s="193"/>
      <c r="G120" s="193"/>
      <c r="H120" s="193"/>
      <c r="I120" s="193"/>
      <c r="U120" s="213">
        <f t="shared" si="11"/>
        <v>2000</v>
      </c>
      <c r="V120" s="216">
        <f t="shared" si="6"/>
        <v>4632469.425374628</v>
      </c>
      <c r="W120" s="217">
        <f>1</f>
        <v>1</v>
      </c>
      <c r="X120" s="218">
        <f t="shared" si="7"/>
        <v>1</v>
      </c>
      <c r="Y120" s="219">
        <f t="shared" si="8"/>
        <v>2</v>
      </c>
      <c r="Z120" s="198">
        <f t="shared" si="9"/>
        <v>9264938.8507492561</v>
      </c>
    </row>
    <row r="122" spans="2:26" ht="17" thickBot="1"/>
    <row r="123" spans="2:26" ht="32" thickBot="1">
      <c r="C123" s="220" t="s">
        <v>107</v>
      </c>
      <c r="D123" s="221">
        <v>1</v>
      </c>
      <c r="E123" s="180" t="s">
        <v>95</v>
      </c>
      <c r="F123" s="184"/>
      <c r="G123" s="184"/>
      <c r="H123" s="184"/>
      <c r="I123" s="184"/>
      <c r="J123" s="184"/>
      <c r="K123" s="184"/>
      <c r="L123" s="184"/>
      <c r="M123" s="222"/>
    </row>
    <row r="124" spans="2:26" ht="20" thickBot="1">
      <c r="C124" s="176">
        <v>298.14999999999998</v>
      </c>
      <c r="D124" s="223">
        <f>1</f>
        <v>1</v>
      </c>
      <c r="E124" s="224">
        <f>D124</f>
        <v>1</v>
      </c>
      <c r="F124" s="193"/>
      <c r="G124" s="193"/>
      <c r="H124" s="193"/>
      <c r="I124" s="193"/>
      <c r="J124" s="193"/>
      <c r="K124" s="193"/>
      <c r="L124" s="193"/>
    </row>
    <row r="127" spans="2:26" ht="19">
      <c r="B127" s="67"/>
      <c r="C127" s="67"/>
      <c r="D127" s="67"/>
      <c r="E127" s="67"/>
      <c r="F127" s="67" t="s">
        <v>78</v>
      </c>
      <c r="G127" s="67"/>
      <c r="H127" s="67"/>
      <c r="I127" s="67"/>
      <c r="J127" s="67"/>
      <c r="K127" s="67"/>
      <c r="L127" s="67"/>
      <c r="M127" s="67"/>
      <c r="N127" s="67"/>
      <c r="O127" s="67"/>
    </row>
    <row r="128" spans="2:26" ht="27">
      <c r="B128" s="67"/>
      <c r="C128" s="148" t="s">
        <v>108</v>
      </c>
      <c r="D128" s="149"/>
      <c r="E128" s="67"/>
      <c r="F128" s="67"/>
      <c r="G128" s="67"/>
      <c r="H128" s="67"/>
      <c r="I128" s="67"/>
      <c r="J128" s="67"/>
      <c r="K128" s="67"/>
      <c r="L128" s="67"/>
      <c r="M128" s="67"/>
      <c r="N128" s="67"/>
      <c r="O128" s="67"/>
    </row>
    <row r="129" spans="2:15" ht="20" thickBot="1">
      <c r="B129" s="67"/>
      <c r="C129" s="67"/>
      <c r="D129" s="67"/>
      <c r="E129" s="67"/>
      <c r="F129" s="67"/>
      <c r="G129" s="67"/>
      <c r="H129" s="67"/>
      <c r="I129" s="67"/>
      <c r="J129" s="67"/>
      <c r="K129" s="67"/>
      <c r="L129" s="67"/>
      <c r="M129" s="67"/>
      <c r="N129" s="67"/>
      <c r="O129" s="67"/>
    </row>
    <row r="130" spans="2:15" ht="20" thickBot="1">
      <c r="B130" s="67"/>
      <c r="C130" s="68" t="s">
        <v>34</v>
      </c>
      <c r="D130" s="69"/>
      <c r="E130" s="69"/>
      <c r="F130" s="70"/>
      <c r="G130" s="67"/>
      <c r="H130" s="67"/>
      <c r="I130" s="67"/>
      <c r="J130" s="67"/>
      <c r="K130" s="67"/>
      <c r="L130" s="67"/>
      <c r="M130" s="67"/>
      <c r="N130" s="67"/>
      <c r="O130" s="67"/>
    </row>
    <row r="131" spans="2:15" ht="20" thickBot="1">
      <c r="B131" s="67"/>
      <c r="C131" s="73"/>
      <c r="D131" s="74" t="s">
        <v>37</v>
      </c>
      <c r="E131" s="75" t="s">
        <v>38</v>
      </c>
      <c r="F131" s="76" t="s">
        <v>39</v>
      </c>
      <c r="G131" s="67"/>
      <c r="H131" s="67"/>
      <c r="I131" s="67"/>
      <c r="J131" s="67"/>
      <c r="K131" s="67"/>
      <c r="L131" s="67"/>
      <c r="M131" s="67"/>
      <c r="N131" s="67"/>
      <c r="O131" s="67"/>
    </row>
    <row r="132" spans="2:15" ht="22" thickBot="1">
      <c r="B132" s="67"/>
      <c r="C132" s="225" t="s">
        <v>109</v>
      </c>
      <c r="D132" s="103">
        <f>D24*($Q$8)^2</f>
        <v>1.1170140000000001E-48</v>
      </c>
      <c r="E132" s="103">
        <f t="shared" ref="E132:F132" si="13">E24*($Q$8)^2</f>
        <v>1.7883014000000001E-47</v>
      </c>
      <c r="F132" s="103">
        <f t="shared" si="13"/>
        <v>3.8712694000000007E-47</v>
      </c>
      <c r="G132" s="67"/>
      <c r="H132" s="67"/>
      <c r="I132" s="67"/>
      <c r="J132" s="67"/>
      <c r="K132" s="67"/>
      <c r="L132" s="67"/>
      <c r="M132" s="67"/>
      <c r="N132" s="67"/>
      <c r="O132" s="67"/>
    </row>
    <row r="133" spans="2:15" ht="19">
      <c r="B133" s="67"/>
      <c r="C133" s="67"/>
      <c r="D133" s="67"/>
      <c r="E133" s="67"/>
      <c r="F133" s="67"/>
      <c r="G133" s="67"/>
      <c r="H133" s="67"/>
      <c r="I133" s="67"/>
      <c r="J133" s="67"/>
      <c r="K133" s="67"/>
      <c r="L133" s="67"/>
      <c r="M133" s="67"/>
      <c r="N133" s="67"/>
      <c r="O133" s="67"/>
    </row>
    <row r="134" spans="2:15" ht="19">
      <c r="B134" s="67"/>
      <c r="C134" s="67"/>
      <c r="D134" s="67"/>
      <c r="E134" s="67"/>
      <c r="F134" s="67"/>
      <c r="G134" s="67"/>
      <c r="H134" s="67"/>
      <c r="I134" s="67"/>
      <c r="J134" s="67"/>
      <c r="K134" s="67"/>
      <c r="L134" s="67"/>
      <c r="M134" s="67"/>
      <c r="N134" s="67"/>
      <c r="O134" s="67"/>
    </row>
    <row r="135" spans="2:15" ht="20" thickBot="1">
      <c r="B135" s="67"/>
      <c r="C135" s="67"/>
      <c r="D135" s="67"/>
      <c r="E135" s="67"/>
      <c r="F135" s="67"/>
      <c r="G135" s="67"/>
      <c r="H135" s="67"/>
      <c r="I135" s="67"/>
      <c r="J135" s="67"/>
      <c r="K135" s="67"/>
      <c r="L135" s="67"/>
      <c r="M135" s="67"/>
      <c r="N135" s="67"/>
      <c r="O135" s="67"/>
    </row>
    <row r="136" spans="2:15" ht="23" thickBot="1">
      <c r="B136" s="67"/>
      <c r="C136" s="226" t="s">
        <v>80</v>
      </c>
      <c r="D136" s="150" t="s">
        <v>110</v>
      </c>
      <c r="E136" s="227"/>
      <c r="F136" s="67"/>
      <c r="G136" s="67"/>
      <c r="H136" s="152" t="s">
        <v>83</v>
      </c>
      <c r="I136" s="153"/>
      <c r="J136" s="153"/>
      <c r="K136" s="153"/>
      <c r="L136" s="153"/>
      <c r="M136" s="153"/>
      <c r="N136" s="153"/>
      <c r="O136" s="67"/>
    </row>
    <row r="137" spans="2:15" ht="20" thickBot="1">
      <c r="B137" s="67"/>
      <c r="C137" s="154">
        <v>298.14999999999998</v>
      </c>
      <c r="D137" s="156">
        <f>1</f>
        <v>1</v>
      </c>
      <c r="E137" s="141"/>
      <c r="F137" s="141"/>
      <c r="G137" s="67"/>
      <c r="H137" s="67"/>
      <c r="I137" s="67"/>
      <c r="J137" s="67"/>
      <c r="K137" s="67"/>
      <c r="L137" s="67"/>
      <c r="M137" s="67"/>
      <c r="N137" s="67"/>
      <c r="O137" s="67"/>
    </row>
    <row r="138" spans="2:15" ht="20" thickBot="1">
      <c r="B138" s="67"/>
      <c r="C138" s="154">
        <v>300</v>
      </c>
      <c r="D138" s="156">
        <f>1</f>
        <v>1</v>
      </c>
      <c r="E138" s="141"/>
      <c r="F138" s="67"/>
      <c r="G138" s="67"/>
      <c r="L138" s="150" t="s">
        <v>84</v>
      </c>
      <c r="M138" s="227"/>
      <c r="N138" s="67"/>
      <c r="O138" s="67"/>
    </row>
    <row r="139" spans="2:15" ht="19">
      <c r="B139" s="67"/>
      <c r="C139" s="157">
        <f>C138+100</f>
        <v>400</v>
      </c>
      <c r="D139" s="159">
        <f>1</f>
        <v>1</v>
      </c>
      <c r="E139" s="141"/>
      <c r="F139" s="67"/>
      <c r="G139" s="124"/>
      <c r="H139" s="67"/>
      <c r="K139" s="160" t="s">
        <v>85</v>
      </c>
      <c r="L139" s="161">
        <f>1</f>
        <v>1</v>
      </c>
      <c r="M139" s="141"/>
      <c r="N139" s="67"/>
      <c r="O139" s="67"/>
    </row>
    <row r="140" spans="2:15" ht="20" thickBot="1">
      <c r="B140" s="67"/>
      <c r="C140" s="157">
        <f t="shared" ref="C140:C155" si="14">C139+100</f>
        <v>500</v>
      </c>
      <c r="D140" s="159">
        <f>1</f>
        <v>1</v>
      </c>
      <c r="E140" s="141"/>
      <c r="F140" s="67"/>
      <c r="G140" s="67"/>
      <c r="K140" s="162" t="s">
        <v>86</v>
      </c>
      <c r="L140" s="163">
        <f>P34</f>
        <v>1</v>
      </c>
      <c r="M140" s="141"/>
      <c r="N140" s="67"/>
      <c r="O140" s="67"/>
    </row>
    <row r="141" spans="2:15" ht="22">
      <c r="B141" s="67"/>
      <c r="C141" s="157">
        <f t="shared" si="14"/>
        <v>600</v>
      </c>
      <c r="D141" s="159">
        <f>1</f>
        <v>1</v>
      </c>
      <c r="E141" s="141"/>
      <c r="F141" s="67"/>
      <c r="G141" s="67"/>
      <c r="H141" s="67"/>
      <c r="I141" s="67"/>
      <c r="K141" s="164" t="s">
        <v>87</v>
      </c>
      <c r="L141" s="165">
        <f>ABS(L139-L140)/L139</f>
        <v>0</v>
      </c>
      <c r="M141" s="228"/>
      <c r="N141" s="67"/>
      <c r="O141" s="67"/>
    </row>
    <row r="142" spans="2:15" ht="19">
      <c r="B142" s="67"/>
      <c r="C142" s="157">
        <f t="shared" si="14"/>
        <v>700</v>
      </c>
      <c r="D142" s="159">
        <f>1</f>
        <v>1</v>
      </c>
      <c r="E142" s="141"/>
      <c r="F142" s="67"/>
      <c r="G142" s="67"/>
    </row>
    <row r="143" spans="2:15" ht="19">
      <c r="B143" s="67"/>
      <c r="C143" s="157">
        <f t="shared" si="14"/>
        <v>800</v>
      </c>
      <c r="D143" s="159">
        <f>1</f>
        <v>1</v>
      </c>
      <c r="E143" s="141"/>
      <c r="F143" s="67"/>
      <c r="G143" s="67"/>
    </row>
    <row r="144" spans="2:15" ht="19">
      <c r="B144" s="67"/>
      <c r="C144" s="157">
        <f t="shared" si="14"/>
        <v>900</v>
      </c>
      <c r="D144" s="159">
        <f>1</f>
        <v>1</v>
      </c>
      <c r="E144" s="141"/>
      <c r="F144" s="67"/>
      <c r="G144" s="67"/>
    </row>
    <row r="145" spans="3:5" ht="19">
      <c r="C145" s="157">
        <f t="shared" si="14"/>
        <v>1000</v>
      </c>
      <c r="D145" s="159">
        <f>1</f>
        <v>1</v>
      </c>
      <c r="E145" s="141"/>
    </row>
    <row r="146" spans="3:5" ht="19">
      <c r="C146" s="157">
        <f t="shared" si="14"/>
        <v>1100</v>
      </c>
      <c r="D146" s="159">
        <f>1</f>
        <v>1</v>
      </c>
      <c r="E146" s="141"/>
    </row>
    <row r="147" spans="3:5" ht="19">
      <c r="C147" s="157">
        <f t="shared" si="14"/>
        <v>1200</v>
      </c>
      <c r="D147" s="159">
        <f>1</f>
        <v>1</v>
      </c>
      <c r="E147" s="141"/>
    </row>
    <row r="148" spans="3:5" ht="19">
      <c r="C148" s="157">
        <f t="shared" si="14"/>
        <v>1300</v>
      </c>
      <c r="D148" s="159">
        <f>1</f>
        <v>1</v>
      </c>
      <c r="E148" s="141"/>
    </row>
    <row r="149" spans="3:5" ht="19">
      <c r="C149" s="157">
        <f t="shared" si="14"/>
        <v>1400</v>
      </c>
      <c r="D149" s="159">
        <f>1</f>
        <v>1</v>
      </c>
      <c r="E149" s="141"/>
    </row>
    <row r="150" spans="3:5" ht="19">
      <c r="C150" s="157">
        <f t="shared" si="14"/>
        <v>1500</v>
      </c>
      <c r="D150" s="159">
        <f>1</f>
        <v>1</v>
      </c>
      <c r="E150" s="141"/>
    </row>
    <row r="151" spans="3:5" ht="19">
      <c r="C151" s="157">
        <f t="shared" si="14"/>
        <v>1600</v>
      </c>
      <c r="D151" s="159">
        <f>1</f>
        <v>1</v>
      </c>
      <c r="E151" s="141"/>
    </row>
    <row r="152" spans="3:5" ht="19">
      <c r="C152" s="157">
        <f t="shared" si="14"/>
        <v>1700</v>
      </c>
      <c r="D152" s="159">
        <f>1</f>
        <v>1</v>
      </c>
      <c r="E152" s="141"/>
    </row>
    <row r="153" spans="3:5" ht="19">
      <c r="C153" s="157">
        <f t="shared" si="14"/>
        <v>1800</v>
      </c>
      <c r="D153" s="159">
        <f>1</f>
        <v>1</v>
      </c>
      <c r="E153" s="141"/>
    </row>
    <row r="154" spans="3:5" ht="19">
      <c r="C154" s="157">
        <f t="shared" si="14"/>
        <v>1900</v>
      </c>
      <c r="D154" s="159">
        <f>1</f>
        <v>1</v>
      </c>
      <c r="E154" s="141"/>
    </row>
    <row r="155" spans="3:5" ht="20" thickBot="1">
      <c r="C155" s="166">
        <f t="shared" si="14"/>
        <v>2000</v>
      </c>
      <c r="D155" s="168">
        <f>1</f>
        <v>1</v>
      </c>
    </row>
    <row r="162" spans="2:16" ht="19">
      <c r="B162" s="67"/>
      <c r="C162" s="67"/>
      <c r="D162" s="67"/>
      <c r="E162" s="67"/>
      <c r="F162" s="67"/>
      <c r="G162" s="67"/>
      <c r="H162" s="67"/>
      <c r="I162" s="67"/>
      <c r="J162" s="67"/>
      <c r="K162" s="67"/>
      <c r="L162" s="67"/>
      <c r="M162" s="67"/>
      <c r="N162" s="67"/>
      <c r="O162" s="67"/>
      <c r="P162" s="67"/>
    </row>
    <row r="163" spans="2:16" ht="19">
      <c r="B163" s="67"/>
      <c r="C163" s="67"/>
      <c r="D163" s="67"/>
      <c r="E163" s="67"/>
      <c r="F163" s="67" t="s">
        <v>78</v>
      </c>
      <c r="G163" s="67"/>
      <c r="H163" s="67"/>
      <c r="I163" s="67"/>
      <c r="J163" s="67"/>
      <c r="K163" s="67"/>
      <c r="L163" s="67"/>
      <c r="M163" s="67"/>
      <c r="N163" s="67"/>
      <c r="O163" s="67"/>
    </row>
    <row r="164" spans="2:16" ht="27">
      <c r="B164" s="67"/>
      <c r="C164" s="148" t="s">
        <v>111</v>
      </c>
      <c r="D164" s="149"/>
      <c r="E164" s="67"/>
      <c r="F164" s="67"/>
      <c r="G164" s="67"/>
      <c r="H164" s="67"/>
      <c r="I164" s="67"/>
      <c r="J164" s="67"/>
      <c r="K164" s="67"/>
      <c r="L164" s="67"/>
      <c r="M164" s="67"/>
      <c r="N164" s="67"/>
      <c r="O164" s="67"/>
    </row>
    <row r="165" spans="2:16" ht="19">
      <c r="B165" s="67"/>
      <c r="C165" s="67"/>
      <c r="D165" s="67"/>
      <c r="E165" s="67"/>
      <c r="F165" s="67"/>
      <c r="G165" s="67"/>
      <c r="H165" s="67"/>
      <c r="I165" s="67"/>
      <c r="J165" s="67"/>
      <c r="K165" s="67"/>
      <c r="L165" s="67"/>
      <c r="M165" s="67"/>
      <c r="N165" s="67"/>
      <c r="O165" s="67"/>
    </row>
    <row r="166" spans="2:16" ht="20" thickBot="1">
      <c r="B166" s="67"/>
      <c r="C166" s="142" t="s">
        <v>112</v>
      </c>
      <c r="F166" s="67"/>
      <c r="G166" s="67"/>
      <c r="H166" s="67"/>
      <c r="I166" s="67"/>
      <c r="J166" s="67"/>
      <c r="K166" s="67"/>
      <c r="L166" s="67"/>
      <c r="M166" s="67"/>
      <c r="N166" s="67"/>
      <c r="O166" s="67"/>
    </row>
    <row r="167" spans="2:16" ht="20" thickBot="1">
      <c r="B167" s="67"/>
      <c r="C167" s="229"/>
      <c r="D167" s="143">
        <v>1</v>
      </c>
      <c r="E167" s="144" t="s">
        <v>113</v>
      </c>
      <c r="G167" s="67"/>
      <c r="H167" s="67"/>
      <c r="I167" s="67"/>
      <c r="J167" s="67"/>
      <c r="K167" s="67"/>
      <c r="L167" s="67"/>
      <c r="M167" s="67"/>
      <c r="N167" s="67"/>
      <c r="O167" s="67"/>
    </row>
    <row r="168" spans="2:16" ht="20" thickBot="1">
      <c r="B168" s="67"/>
      <c r="C168" s="230" t="s">
        <v>114</v>
      </c>
      <c r="D168" s="231">
        <f>J$46</f>
        <v>-0.50027278419099996</v>
      </c>
      <c r="E168" s="231">
        <f t="shared" ref="E168" si="15">K$46</f>
        <v>-0.50027278419099996</v>
      </c>
      <c r="F168" s="232"/>
      <c r="G168" s="67"/>
      <c r="H168" s="67"/>
      <c r="I168" s="67"/>
      <c r="J168" s="67"/>
      <c r="K168" s="67"/>
      <c r="L168" s="67"/>
      <c r="M168" s="67"/>
      <c r="N168" s="67"/>
      <c r="O168" s="67"/>
    </row>
    <row r="169" spans="2:16" ht="20" thickBot="1">
      <c r="B169" s="67"/>
      <c r="C169" s="233" t="s">
        <v>115</v>
      </c>
      <c r="D169" s="175">
        <f>D168*$K$7</f>
        <v>-2.1811893390727599E-18</v>
      </c>
      <c r="E169" s="175">
        <f t="shared" ref="E169:F169" si="16">E168*$K$7</f>
        <v>-2.1811893390727599E-18</v>
      </c>
      <c r="F169" s="234"/>
      <c r="G169" s="67"/>
      <c r="H169" s="67"/>
      <c r="I169" s="67"/>
      <c r="J169" s="67"/>
      <c r="K169" s="67"/>
      <c r="L169" s="67"/>
      <c r="M169" s="67"/>
      <c r="N169" s="67"/>
      <c r="O169" s="67"/>
    </row>
    <row r="170" spans="2:16" ht="20" thickBot="1">
      <c r="B170" s="67"/>
      <c r="D170" s="67"/>
      <c r="E170" s="67"/>
      <c r="F170" s="67"/>
      <c r="G170" s="67"/>
      <c r="H170" s="67"/>
      <c r="I170" s="67"/>
      <c r="J170" s="67"/>
      <c r="K170" s="67"/>
      <c r="L170" s="67"/>
      <c r="M170" s="67"/>
      <c r="N170" s="67"/>
      <c r="O170" s="67"/>
    </row>
    <row r="171" spans="2:16" ht="22" thickBot="1">
      <c r="B171" s="67"/>
      <c r="C171" s="208" t="s">
        <v>116</v>
      </c>
      <c r="D171" s="67"/>
      <c r="E171" s="67"/>
      <c r="F171" s="67"/>
      <c r="G171" s="67"/>
      <c r="H171" s="67"/>
      <c r="I171" s="67"/>
      <c r="J171" s="67"/>
      <c r="K171" s="67"/>
      <c r="L171" s="67"/>
      <c r="M171" s="67"/>
      <c r="N171" s="67"/>
      <c r="O171" s="67"/>
    </row>
    <row r="172" spans="2:16" ht="23" thickBot="1">
      <c r="B172" s="67"/>
      <c r="C172" s="235">
        <f>E169+L23</f>
        <v>-2.1811893390727599E-18</v>
      </c>
      <c r="F172" s="67"/>
      <c r="G172" s="67"/>
      <c r="H172" s="152" t="s">
        <v>83</v>
      </c>
      <c r="I172" s="153"/>
      <c r="J172" s="153"/>
      <c r="K172" s="153"/>
      <c r="L172" s="153"/>
      <c r="M172" s="153"/>
      <c r="N172" s="67"/>
      <c r="O172" s="67"/>
    </row>
    <row r="173" spans="2:16" ht="20" thickBot="1">
      <c r="B173" s="67"/>
      <c r="F173" s="141"/>
      <c r="G173" s="67"/>
      <c r="H173" s="67"/>
      <c r="I173" s="67"/>
      <c r="J173" s="67"/>
      <c r="K173" s="67"/>
      <c r="L173" s="67"/>
      <c r="M173" s="67"/>
      <c r="N173" s="67"/>
      <c r="O173" s="67"/>
    </row>
    <row r="174" spans="2:16" ht="22" thickBot="1">
      <c r="B174" s="67"/>
      <c r="C174" s="226" t="s">
        <v>80</v>
      </c>
      <c r="D174" s="236" t="s">
        <v>117</v>
      </c>
      <c r="F174" s="67"/>
      <c r="G174" s="67"/>
      <c r="L174" s="150" t="s">
        <v>84</v>
      </c>
      <c r="M174" s="67"/>
      <c r="N174" s="67"/>
      <c r="O174" s="67"/>
    </row>
    <row r="175" spans="2:16" ht="20" thickBot="1">
      <c r="B175" s="67"/>
      <c r="C175" s="154">
        <v>298.14999999999998</v>
      </c>
      <c r="D175" s="156">
        <f>2</f>
        <v>2</v>
      </c>
      <c r="F175" s="67"/>
      <c r="G175" s="67"/>
      <c r="K175" s="160" t="s">
        <v>85</v>
      </c>
      <c r="L175" s="161">
        <f>2</f>
        <v>2</v>
      </c>
      <c r="M175" s="67"/>
      <c r="N175" s="67"/>
      <c r="O175" s="67"/>
    </row>
    <row r="176" spans="2:16" ht="20" thickBot="1">
      <c r="B176" s="67"/>
      <c r="C176" s="154">
        <v>300</v>
      </c>
      <c r="D176" s="156">
        <f>2</f>
        <v>2</v>
      </c>
      <c r="F176" s="67"/>
      <c r="G176" s="67"/>
      <c r="K176" s="162" t="s">
        <v>86</v>
      </c>
      <c r="L176" s="163">
        <f>P32</f>
        <v>2</v>
      </c>
      <c r="M176" s="67"/>
      <c r="N176" s="67"/>
      <c r="O176" s="67"/>
    </row>
    <row r="177" spans="2:15" ht="22">
      <c r="B177" s="67"/>
      <c r="C177" s="157">
        <f>C176+100</f>
        <v>400</v>
      </c>
      <c r="D177" s="159">
        <f>2</f>
        <v>2</v>
      </c>
      <c r="F177" s="67"/>
      <c r="G177" s="67"/>
      <c r="H177" s="67"/>
      <c r="I177" s="67"/>
      <c r="K177" s="164" t="s">
        <v>87</v>
      </c>
      <c r="L177" s="165">
        <f>ABS(L175-L176)/L175</f>
        <v>0</v>
      </c>
      <c r="M177" s="67"/>
      <c r="N177" s="67"/>
      <c r="O177" s="67"/>
    </row>
    <row r="178" spans="2:15" ht="19">
      <c r="B178" s="67"/>
      <c r="C178" s="157">
        <f t="shared" ref="C178:C193" si="17">C177+100</f>
        <v>500</v>
      </c>
      <c r="D178" s="159">
        <f>2</f>
        <v>2</v>
      </c>
      <c r="F178" s="67"/>
      <c r="G178" s="67"/>
    </row>
    <row r="179" spans="2:15" ht="19">
      <c r="B179" s="67"/>
      <c r="C179" s="157">
        <f t="shared" si="17"/>
        <v>600</v>
      </c>
      <c r="D179" s="159">
        <f>2</f>
        <v>2</v>
      </c>
      <c r="F179" s="67"/>
      <c r="G179" s="67"/>
    </row>
    <row r="180" spans="2:15" ht="19">
      <c r="B180" s="67"/>
      <c r="C180" s="157">
        <f t="shared" si="17"/>
        <v>700</v>
      </c>
      <c r="D180" s="159">
        <f>2</f>
        <v>2</v>
      </c>
      <c r="F180" s="67"/>
      <c r="G180" s="67"/>
    </row>
    <row r="181" spans="2:15" ht="19">
      <c r="C181" s="157">
        <f t="shared" si="17"/>
        <v>800</v>
      </c>
      <c r="D181" s="159">
        <f>2</f>
        <v>2</v>
      </c>
    </row>
    <row r="182" spans="2:15" ht="19">
      <c r="C182" s="157">
        <f t="shared" si="17"/>
        <v>900</v>
      </c>
      <c r="D182" s="159">
        <f>2</f>
        <v>2</v>
      </c>
    </row>
    <row r="183" spans="2:15" ht="19">
      <c r="C183" s="157">
        <f t="shared" si="17"/>
        <v>1000</v>
      </c>
      <c r="D183" s="159">
        <f>2</f>
        <v>2</v>
      </c>
    </row>
    <row r="184" spans="2:15" ht="19">
      <c r="C184" s="157">
        <f t="shared" si="17"/>
        <v>1100</v>
      </c>
      <c r="D184" s="159">
        <f>2</f>
        <v>2</v>
      </c>
    </row>
    <row r="185" spans="2:15" ht="19">
      <c r="C185" s="157">
        <f t="shared" si="17"/>
        <v>1200</v>
      </c>
      <c r="D185" s="159">
        <f>2</f>
        <v>2</v>
      </c>
    </row>
    <row r="186" spans="2:15" ht="19">
      <c r="C186" s="157">
        <f t="shared" si="17"/>
        <v>1300</v>
      </c>
      <c r="D186" s="159">
        <f>2</f>
        <v>2</v>
      </c>
    </row>
    <row r="187" spans="2:15" ht="19">
      <c r="C187" s="157">
        <f t="shared" si="17"/>
        <v>1400</v>
      </c>
      <c r="D187" s="159">
        <f>2</f>
        <v>2</v>
      </c>
    </row>
    <row r="188" spans="2:15" ht="19">
      <c r="C188" s="157">
        <f t="shared" si="17"/>
        <v>1500</v>
      </c>
      <c r="D188" s="159">
        <f>2</f>
        <v>2</v>
      </c>
    </row>
    <row r="189" spans="2:15" ht="19">
      <c r="C189" s="157">
        <f t="shared" si="17"/>
        <v>1600</v>
      </c>
      <c r="D189" s="159">
        <f>2</f>
        <v>2</v>
      </c>
    </row>
    <row r="190" spans="2:15" ht="19">
      <c r="C190" s="157">
        <f t="shared" si="17"/>
        <v>1700</v>
      </c>
      <c r="D190" s="159">
        <f>2</f>
        <v>2</v>
      </c>
    </row>
    <row r="191" spans="2:15" ht="19">
      <c r="C191" s="157">
        <f t="shared" si="17"/>
        <v>1800</v>
      </c>
      <c r="D191" s="159">
        <f>2</f>
        <v>2</v>
      </c>
    </row>
    <row r="192" spans="2:15" ht="19">
      <c r="C192" s="157">
        <f t="shared" si="17"/>
        <v>1900</v>
      </c>
      <c r="D192" s="159">
        <f>2</f>
        <v>2</v>
      </c>
    </row>
    <row r="193" spans="3:11" ht="20" thickBot="1">
      <c r="C193" s="166">
        <f t="shared" si="17"/>
        <v>2000</v>
      </c>
      <c r="D193" s="168">
        <f>2</f>
        <v>2</v>
      </c>
    </row>
    <row r="197" spans="3:11" ht="17" thickBot="1"/>
    <row r="198" spans="3:11" ht="20" thickBot="1">
      <c r="E198" s="67"/>
      <c r="F198" s="67" t="s">
        <v>78</v>
      </c>
      <c r="G198" s="67"/>
      <c r="H198" s="237" t="s">
        <v>118</v>
      </c>
      <c r="I198" s="238"/>
      <c r="J198" s="238"/>
      <c r="K198" s="239"/>
    </row>
    <row r="199" spans="3:11" ht="28" thickBot="1">
      <c r="C199" s="148" t="s">
        <v>119</v>
      </c>
      <c r="D199" s="149"/>
      <c r="E199" s="67"/>
      <c r="F199" s="67"/>
      <c r="G199" s="67"/>
      <c r="H199" s="138" t="s">
        <v>120</v>
      </c>
      <c r="I199" s="138" t="s">
        <v>121</v>
      </c>
      <c r="J199" s="138" t="s">
        <v>122</v>
      </c>
      <c r="K199" s="138" t="s">
        <v>123</v>
      </c>
    </row>
    <row r="202" spans="3:11" ht="17" thickBot="1"/>
    <row r="203" spans="3:11" ht="20" thickBot="1">
      <c r="D203" s="240" t="s">
        <v>124</v>
      </c>
      <c r="E203" s="241"/>
    </row>
    <row r="204" spans="3:11" ht="20" thickBot="1">
      <c r="D204" s="174" t="s">
        <v>125</v>
      </c>
      <c r="E204" s="242" t="s">
        <v>126</v>
      </c>
    </row>
    <row r="205" spans="3:11" ht="19">
      <c r="C205" s="93" t="s">
        <v>45</v>
      </c>
      <c r="D205" s="243">
        <f>$Q23</f>
        <v>2.9809999999999999</v>
      </c>
      <c r="E205" s="161">
        <f>D205*4.184</f>
        <v>12.472504000000001</v>
      </c>
    </row>
    <row r="206" spans="3:11" ht="19">
      <c r="C206" s="101" t="s">
        <v>48</v>
      </c>
      <c r="D206" s="244">
        <f t="shared" ref="D206:D209" si="18">$Q24</f>
        <v>0</v>
      </c>
      <c r="E206" s="245">
        <f t="shared" ref="E206:E209" si="19">D206*4.184</f>
        <v>0</v>
      </c>
    </row>
    <row r="207" spans="3:11" ht="19">
      <c r="C207" s="101" t="s">
        <v>50</v>
      </c>
      <c r="D207" s="244">
        <f t="shared" si="18"/>
        <v>2.9809999999999999</v>
      </c>
      <c r="E207" s="245">
        <f t="shared" si="19"/>
        <v>12.472504000000001</v>
      </c>
    </row>
    <row r="208" spans="3:11" ht="19">
      <c r="C208" s="101" t="s">
        <v>52</v>
      </c>
      <c r="D208" s="244">
        <f t="shared" si="18"/>
        <v>0</v>
      </c>
      <c r="E208" s="245">
        <f t="shared" si="19"/>
        <v>0</v>
      </c>
    </row>
    <row r="209" spans="3:16" ht="20" thickBot="1">
      <c r="C209" s="106" t="s">
        <v>55</v>
      </c>
      <c r="D209" s="103">
        <f t="shared" si="18"/>
        <v>0</v>
      </c>
      <c r="E209" s="163">
        <f t="shared" si="19"/>
        <v>0</v>
      </c>
      <c r="K209">
        <f>COLUMN(E205)</f>
        <v>5</v>
      </c>
    </row>
    <row r="210" spans="3:16" ht="24" customHeight="1"/>
    <row r="211" spans="3:16" ht="17" thickBot="1"/>
    <row r="212" spans="3:16" ht="23" thickBot="1">
      <c r="D212" s="246" t="s">
        <v>126</v>
      </c>
      <c r="E212" s="247"/>
      <c r="F212" s="247"/>
      <c r="G212" s="247"/>
      <c r="H212" s="248"/>
      <c r="J212" s="152" t="s">
        <v>83</v>
      </c>
      <c r="K212" s="153"/>
      <c r="L212" s="153"/>
      <c r="M212" s="153"/>
      <c r="N212" s="153"/>
      <c r="O212" s="153"/>
      <c r="P212" s="67"/>
    </row>
    <row r="213" spans="3:16" ht="20" thickBot="1">
      <c r="C213" s="226" t="s">
        <v>80</v>
      </c>
      <c r="D213" s="249" t="s">
        <v>127</v>
      </c>
      <c r="E213" s="250" t="s">
        <v>128</v>
      </c>
      <c r="F213" s="250" t="s">
        <v>129</v>
      </c>
      <c r="G213" s="251" t="s">
        <v>130</v>
      </c>
      <c r="H213" s="208" t="s">
        <v>131</v>
      </c>
      <c r="J213" s="67"/>
      <c r="K213" s="67"/>
      <c r="L213" s="67"/>
      <c r="M213" s="67"/>
      <c r="N213" s="67"/>
      <c r="O213" s="67"/>
      <c r="P213" s="67"/>
    </row>
    <row r="214" spans="3:16" ht="20" thickBot="1">
      <c r="C214" s="176">
        <v>298.14999999999998</v>
      </c>
      <c r="D214" s="252">
        <f>3*$B$7/2</f>
        <v>12.471599999999999</v>
      </c>
      <c r="E214" s="253">
        <v>0</v>
      </c>
      <c r="F214" s="253">
        <v>0</v>
      </c>
      <c r="G214" s="253">
        <v>0</v>
      </c>
      <c r="H214" s="254">
        <f t="shared" ref="H214:H232" si="20">SUM(D214:G214)</f>
        <v>12.471599999999999</v>
      </c>
      <c r="K214" s="249" t="s">
        <v>127</v>
      </c>
      <c r="L214" s="250" t="s">
        <v>128</v>
      </c>
      <c r="M214" s="250" t="s">
        <v>129</v>
      </c>
      <c r="N214" s="251" t="s">
        <v>130</v>
      </c>
      <c r="O214" s="208" t="s">
        <v>131</v>
      </c>
      <c r="P214" s="67"/>
    </row>
    <row r="215" spans="3:16" ht="19">
      <c r="C215" s="154">
        <v>300</v>
      </c>
      <c r="D215" s="252">
        <f>3*$B$7/2</f>
        <v>12.471599999999999</v>
      </c>
      <c r="E215" s="253">
        <v>0</v>
      </c>
      <c r="F215" s="253">
        <v>0</v>
      </c>
      <c r="G215" s="255">
        <v>0</v>
      </c>
      <c r="H215" s="254">
        <f t="shared" si="20"/>
        <v>12.471599999999999</v>
      </c>
      <c r="J215" s="160" t="s">
        <v>85</v>
      </c>
      <c r="K215" s="161">
        <f>D$214</f>
        <v>12.471599999999999</v>
      </c>
      <c r="L215" s="161">
        <f t="shared" ref="L215:O215" si="21">E$214</f>
        <v>0</v>
      </c>
      <c r="M215" s="161">
        <f t="shared" si="21"/>
        <v>0</v>
      </c>
      <c r="N215" s="161">
        <f t="shared" si="21"/>
        <v>0</v>
      </c>
      <c r="O215" s="161">
        <f t="shared" si="21"/>
        <v>12.471599999999999</v>
      </c>
      <c r="P215" s="67"/>
    </row>
    <row r="216" spans="3:16" ht="20" thickBot="1">
      <c r="C216" s="157">
        <f>C215+100</f>
        <v>400</v>
      </c>
      <c r="D216" s="234">
        <f t="shared" ref="D216:D232" si="22">3*$B$7/2</f>
        <v>12.471599999999999</v>
      </c>
      <c r="E216" s="256">
        <v>0</v>
      </c>
      <c r="F216" s="256">
        <v>0</v>
      </c>
      <c r="G216" s="257">
        <v>0</v>
      </c>
      <c r="H216" s="258">
        <f t="shared" si="20"/>
        <v>12.471599999999999</v>
      </c>
      <c r="J216" s="162" t="s">
        <v>86</v>
      </c>
      <c r="K216" s="163">
        <f>E207</f>
        <v>12.472504000000001</v>
      </c>
      <c r="L216" s="163">
        <f>E209</f>
        <v>0</v>
      </c>
      <c r="M216" s="163">
        <f>E208</f>
        <v>0</v>
      </c>
      <c r="N216" s="163">
        <f>E206</f>
        <v>0</v>
      </c>
      <c r="O216" s="163">
        <f>E205</f>
        <v>12.472504000000001</v>
      </c>
      <c r="P216" s="67"/>
    </row>
    <row r="217" spans="3:16" ht="22">
      <c r="C217" s="157">
        <f t="shared" ref="C217:C232" si="23">C216+100</f>
        <v>500</v>
      </c>
      <c r="D217" s="234">
        <f t="shared" si="22"/>
        <v>12.471599999999999</v>
      </c>
      <c r="E217" s="256">
        <v>0</v>
      </c>
      <c r="F217" s="256">
        <v>0</v>
      </c>
      <c r="G217" s="257">
        <v>0</v>
      </c>
      <c r="H217" s="258">
        <f t="shared" si="20"/>
        <v>12.471599999999999</v>
      </c>
      <c r="J217" s="164" t="s">
        <v>87</v>
      </c>
      <c r="K217" s="165">
        <f>IFERROR(ABS(K215-K216)/K215,0)</f>
        <v>7.2484685204946797E-5</v>
      </c>
      <c r="L217" s="165">
        <f t="shared" ref="L217:O217" si="24">IFERROR(ABS(L215-L216)/L215,0)</f>
        <v>0</v>
      </c>
      <c r="M217" s="165">
        <f t="shared" si="24"/>
        <v>0</v>
      </c>
      <c r="N217" s="165">
        <f t="shared" si="24"/>
        <v>0</v>
      </c>
      <c r="O217" s="165">
        <f t="shared" si="24"/>
        <v>7.2484685204946797E-5</v>
      </c>
      <c r="P217" s="67"/>
    </row>
    <row r="218" spans="3:16" ht="19">
      <c r="C218" s="157">
        <f t="shared" si="23"/>
        <v>600</v>
      </c>
      <c r="D218" s="234">
        <f t="shared" si="22"/>
        <v>12.471599999999999</v>
      </c>
      <c r="E218" s="256">
        <v>0</v>
      </c>
      <c r="F218" s="256">
        <v>0</v>
      </c>
      <c r="G218" s="257">
        <v>0</v>
      </c>
      <c r="H218" s="258">
        <f t="shared" si="20"/>
        <v>12.471599999999999</v>
      </c>
    </row>
    <row r="219" spans="3:16" ht="19">
      <c r="C219" s="157">
        <f t="shared" si="23"/>
        <v>700</v>
      </c>
      <c r="D219" s="234">
        <f t="shared" si="22"/>
        <v>12.471599999999999</v>
      </c>
      <c r="E219" s="256">
        <v>0</v>
      </c>
      <c r="F219" s="256">
        <v>0</v>
      </c>
      <c r="G219" s="257">
        <v>0</v>
      </c>
      <c r="H219" s="258">
        <f t="shared" si="20"/>
        <v>12.471599999999999</v>
      </c>
    </row>
    <row r="220" spans="3:16" ht="19">
      <c r="C220" s="157">
        <f t="shared" si="23"/>
        <v>800</v>
      </c>
      <c r="D220" s="234">
        <f t="shared" si="22"/>
        <v>12.471599999999999</v>
      </c>
      <c r="E220" s="256">
        <v>0</v>
      </c>
      <c r="F220" s="256">
        <v>0</v>
      </c>
      <c r="G220" s="257">
        <v>0</v>
      </c>
      <c r="H220" s="258">
        <f t="shared" si="20"/>
        <v>12.471599999999999</v>
      </c>
    </row>
    <row r="221" spans="3:16" ht="19">
      <c r="C221" s="157">
        <f t="shared" si="23"/>
        <v>900</v>
      </c>
      <c r="D221" s="234">
        <f t="shared" si="22"/>
        <v>12.471599999999999</v>
      </c>
      <c r="E221" s="256">
        <v>0</v>
      </c>
      <c r="F221" s="256">
        <v>0</v>
      </c>
      <c r="G221" s="257">
        <v>0</v>
      </c>
      <c r="H221" s="258">
        <f t="shared" si="20"/>
        <v>12.471599999999999</v>
      </c>
    </row>
    <row r="222" spans="3:16" ht="19">
      <c r="C222" s="157">
        <f t="shared" si="23"/>
        <v>1000</v>
      </c>
      <c r="D222" s="234">
        <f t="shared" si="22"/>
        <v>12.471599999999999</v>
      </c>
      <c r="E222" s="256">
        <v>0</v>
      </c>
      <c r="F222" s="256">
        <v>0</v>
      </c>
      <c r="G222" s="257">
        <v>0</v>
      </c>
      <c r="H222" s="258">
        <f t="shared" si="20"/>
        <v>12.471599999999999</v>
      </c>
    </row>
    <row r="223" spans="3:16" ht="19">
      <c r="C223" s="157">
        <f t="shared" si="23"/>
        <v>1100</v>
      </c>
      <c r="D223" s="234">
        <f t="shared" si="22"/>
        <v>12.471599999999999</v>
      </c>
      <c r="E223" s="256">
        <v>0</v>
      </c>
      <c r="F223" s="256">
        <v>0</v>
      </c>
      <c r="G223" s="257">
        <v>0</v>
      </c>
      <c r="H223" s="258">
        <f t="shared" si="20"/>
        <v>12.471599999999999</v>
      </c>
    </row>
    <row r="224" spans="3:16" ht="19">
      <c r="C224" s="157">
        <f t="shared" si="23"/>
        <v>1200</v>
      </c>
      <c r="D224" s="234">
        <f t="shared" si="22"/>
        <v>12.471599999999999</v>
      </c>
      <c r="E224" s="256">
        <v>0</v>
      </c>
      <c r="F224" s="256">
        <v>0</v>
      </c>
      <c r="G224" s="257">
        <v>0</v>
      </c>
      <c r="H224" s="258">
        <f t="shared" si="20"/>
        <v>12.471599999999999</v>
      </c>
    </row>
    <row r="225" spans="3:11" ht="19">
      <c r="C225" s="157">
        <f t="shared" si="23"/>
        <v>1300</v>
      </c>
      <c r="D225" s="234">
        <f t="shared" si="22"/>
        <v>12.471599999999999</v>
      </c>
      <c r="E225" s="256">
        <v>0</v>
      </c>
      <c r="F225" s="256">
        <v>0</v>
      </c>
      <c r="G225" s="257">
        <v>0</v>
      </c>
      <c r="H225" s="258">
        <f t="shared" si="20"/>
        <v>12.471599999999999</v>
      </c>
    </row>
    <row r="226" spans="3:11" ht="19">
      <c r="C226" s="157">
        <f t="shared" si="23"/>
        <v>1400</v>
      </c>
      <c r="D226" s="234">
        <f t="shared" si="22"/>
        <v>12.471599999999999</v>
      </c>
      <c r="E226" s="256">
        <v>0</v>
      </c>
      <c r="F226" s="256">
        <v>0</v>
      </c>
      <c r="G226" s="257">
        <v>0</v>
      </c>
      <c r="H226" s="258">
        <f t="shared" si="20"/>
        <v>12.471599999999999</v>
      </c>
    </row>
    <row r="227" spans="3:11" ht="19">
      <c r="C227" s="157">
        <f t="shared" si="23"/>
        <v>1500</v>
      </c>
      <c r="D227" s="234">
        <f t="shared" si="22"/>
        <v>12.471599999999999</v>
      </c>
      <c r="E227" s="256">
        <v>0</v>
      </c>
      <c r="F227" s="256">
        <v>0</v>
      </c>
      <c r="G227" s="257">
        <v>0</v>
      </c>
      <c r="H227" s="258">
        <f t="shared" si="20"/>
        <v>12.471599999999999</v>
      </c>
    </row>
    <row r="228" spans="3:11" ht="19">
      <c r="C228" s="157">
        <f t="shared" si="23"/>
        <v>1600</v>
      </c>
      <c r="D228" s="234">
        <f t="shared" si="22"/>
        <v>12.471599999999999</v>
      </c>
      <c r="E228" s="256">
        <v>0</v>
      </c>
      <c r="F228" s="256">
        <v>0</v>
      </c>
      <c r="G228" s="257">
        <v>0</v>
      </c>
      <c r="H228" s="258">
        <f t="shared" si="20"/>
        <v>12.471599999999999</v>
      </c>
    </row>
    <row r="229" spans="3:11" ht="19">
      <c r="C229" s="157">
        <f t="shared" si="23"/>
        <v>1700</v>
      </c>
      <c r="D229" s="234">
        <f t="shared" si="22"/>
        <v>12.471599999999999</v>
      </c>
      <c r="E229" s="256">
        <v>0</v>
      </c>
      <c r="F229" s="256">
        <v>0</v>
      </c>
      <c r="G229" s="257">
        <v>0</v>
      </c>
      <c r="H229" s="258">
        <f t="shared" si="20"/>
        <v>12.471599999999999</v>
      </c>
    </row>
    <row r="230" spans="3:11" ht="19">
      <c r="C230" s="157">
        <f t="shared" si="23"/>
        <v>1800</v>
      </c>
      <c r="D230" s="234">
        <f t="shared" si="22"/>
        <v>12.471599999999999</v>
      </c>
      <c r="E230" s="256">
        <v>0</v>
      </c>
      <c r="F230" s="256">
        <v>0</v>
      </c>
      <c r="G230" s="257">
        <v>0</v>
      </c>
      <c r="H230" s="258">
        <f t="shared" si="20"/>
        <v>12.471599999999999</v>
      </c>
    </row>
    <row r="231" spans="3:11" ht="19">
      <c r="C231" s="157">
        <f t="shared" si="23"/>
        <v>1900</v>
      </c>
      <c r="D231" s="234">
        <f t="shared" si="22"/>
        <v>12.471599999999999</v>
      </c>
      <c r="E231" s="256">
        <v>0</v>
      </c>
      <c r="F231" s="256">
        <v>0</v>
      </c>
      <c r="G231" s="257">
        <v>0</v>
      </c>
      <c r="H231" s="258">
        <f t="shared" si="20"/>
        <v>12.471599999999999</v>
      </c>
    </row>
    <row r="232" spans="3:11" ht="20" thickBot="1">
      <c r="C232" s="166">
        <f t="shared" si="23"/>
        <v>2000</v>
      </c>
      <c r="D232" s="259">
        <f t="shared" si="22"/>
        <v>12.471599999999999</v>
      </c>
      <c r="E232" s="260">
        <v>0</v>
      </c>
      <c r="F232" s="260">
        <v>0</v>
      </c>
      <c r="G232" s="261">
        <v>0</v>
      </c>
      <c r="H232" s="262">
        <f t="shared" si="20"/>
        <v>12.471599999999999</v>
      </c>
    </row>
    <row r="238" spans="3:11" ht="17" thickBot="1"/>
    <row r="239" spans="3:11" ht="20" thickBot="1">
      <c r="E239" s="67"/>
      <c r="F239" s="67" t="s">
        <v>78</v>
      </c>
      <c r="G239" s="67"/>
      <c r="H239" s="237" t="s">
        <v>118</v>
      </c>
      <c r="I239" s="238"/>
      <c r="J239" s="238"/>
      <c r="K239" s="239"/>
    </row>
    <row r="240" spans="3:11" ht="28" thickBot="1">
      <c r="C240" s="148" t="s">
        <v>132</v>
      </c>
      <c r="D240" s="149"/>
      <c r="E240" s="67"/>
      <c r="F240" s="67"/>
      <c r="G240" s="67"/>
      <c r="H240" s="138" t="s">
        <v>120</v>
      </c>
      <c r="I240" s="138" t="s">
        <v>121</v>
      </c>
      <c r="J240" s="138" t="s">
        <v>122</v>
      </c>
      <c r="K240" s="138" t="s">
        <v>123</v>
      </c>
    </row>
    <row r="244" spans="3:10" ht="20" thickBot="1">
      <c r="D244" s="263"/>
      <c r="E244" s="263"/>
    </row>
    <row r="245" spans="3:10" ht="20" thickBot="1">
      <c r="D245" s="240" t="s">
        <v>133</v>
      </c>
      <c r="E245" s="241"/>
    </row>
    <row r="246" spans="3:10" ht="20" thickBot="1">
      <c r="D246" s="174" t="s">
        <v>125</v>
      </c>
      <c r="E246" s="242" t="s">
        <v>126</v>
      </c>
    </row>
    <row r="247" spans="3:10" ht="19">
      <c r="C247" s="93" t="s">
        <v>45</v>
      </c>
      <c r="D247" s="209">
        <f>$R23</f>
        <v>27.391999999999999</v>
      </c>
      <c r="E247" s="161">
        <f>D247*4.184</f>
        <v>114.60812800000001</v>
      </c>
    </row>
    <row r="248" spans="3:10" ht="19">
      <c r="C248" s="101" t="s">
        <v>48</v>
      </c>
      <c r="D248" s="264">
        <f t="shared" ref="D248:D251" si="25">$R24</f>
        <v>1.377</v>
      </c>
      <c r="E248" s="245">
        <f t="shared" ref="E248:E251" si="26">D248*4.184</f>
        <v>5.761368</v>
      </c>
    </row>
    <row r="249" spans="3:10" ht="19">
      <c r="C249" s="101" t="s">
        <v>50</v>
      </c>
      <c r="D249" s="264">
        <f t="shared" si="25"/>
        <v>26.013999999999999</v>
      </c>
      <c r="E249" s="245">
        <f t="shared" si="26"/>
        <v>108.84257600000001</v>
      </c>
    </row>
    <row r="250" spans="3:10" ht="19">
      <c r="C250" s="101" t="s">
        <v>52</v>
      </c>
      <c r="D250" s="264">
        <f t="shared" si="25"/>
        <v>0</v>
      </c>
      <c r="E250" s="245">
        <f t="shared" si="26"/>
        <v>0</v>
      </c>
    </row>
    <row r="251" spans="3:10" ht="20" thickBot="1">
      <c r="C251" s="106" t="s">
        <v>55</v>
      </c>
      <c r="D251" s="265">
        <f t="shared" si="25"/>
        <v>0</v>
      </c>
      <c r="E251" s="163">
        <f t="shared" si="26"/>
        <v>0</v>
      </c>
    </row>
    <row r="253" spans="3:10" ht="17" thickBot="1"/>
    <row r="254" spans="3:10" ht="20" thickBot="1">
      <c r="C254" s="68" t="s">
        <v>34</v>
      </c>
      <c r="D254" s="266"/>
      <c r="E254" s="266"/>
      <c r="F254" s="266"/>
      <c r="G254" s="267"/>
      <c r="I254" s="77" t="s">
        <v>134</v>
      </c>
      <c r="J254" s="268">
        <f>($B$14^2)/(8*PI()*PI()*$G$258*$B$8)</f>
        <v>9.4413881949532694</v>
      </c>
    </row>
    <row r="255" spans="3:10" ht="20" thickBot="1">
      <c r="C255" s="269"/>
      <c r="D255" s="74" t="s">
        <v>37</v>
      </c>
      <c r="E255" s="75" t="s">
        <v>38</v>
      </c>
      <c r="F255" s="76" t="s">
        <v>39</v>
      </c>
      <c r="G255" s="208" t="s">
        <v>131</v>
      </c>
      <c r="I255" s="124"/>
      <c r="J255" s="124"/>
    </row>
    <row r="256" spans="3:10" ht="22" thickBot="1">
      <c r="C256" s="85" t="s">
        <v>44</v>
      </c>
      <c r="D256" s="270">
        <f>D$23</f>
        <v>6.7290000000000003E-2</v>
      </c>
      <c r="E256" s="87">
        <f t="shared" ref="E256:F256" si="27">E$23</f>
        <v>1.0772900000000001</v>
      </c>
      <c r="F256" s="271">
        <f t="shared" si="27"/>
        <v>2.33209</v>
      </c>
      <c r="G256" s="198">
        <f>SQRT(F256^2 + E256^2 + D256^2)</f>
        <v>2.569771479392672</v>
      </c>
      <c r="J256" s="124"/>
    </row>
    <row r="257" spans="1:18" ht="22" thickBot="1">
      <c r="C257" s="97" t="s">
        <v>47</v>
      </c>
      <c r="D257" s="98">
        <f>D256*$U$9</f>
        <v>1.117014E-28</v>
      </c>
      <c r="E257" s="99">
        <f t="shared" ref="E257:F257" si="28">E256*$U$9</f>
        <v>1.7883014E-27</v>
      </c>
      <c r="F257" s="272">
        <f t="shared" si="28"/>
        <v>3.8712694000000001E-27</v>
      </c>
      <c r="G257" s="198">
        <f t="shared" ref="G257:G258" si="29">SQRT(F257^2 + E257^2 + D257^2)</f>
        <v>4.2658206557918347E-27</v>
      </c>
    </row>
    <row r="258" spans="1:18" ht="22" thickBot="1">
      <c r="C258" s="102" t="s">
        <v>49</v>
      </c>
      <c r="D258" s="103">
        <f>D257*($Q$8)^2</f>
        <v>1.1170140000000001E-48</v>
      </c>
      <c r="E258" s="104">
        <f>E257*($Q$8)^2</f>
        <v>1.7883014000000001E-47</v>
      </c>
      <c r="F258" s="273">
        <f t="shared" ref="F258" si="30">F257*($Q$8)^2</f>
        <v>3.8712694000000007E-47</v>
      </c>
      <c r="G258" s="198">
        <f t="shared" si="29"/>
        <v>4.2658206557918358E-47</v>
      </c>
    </row>
    <row r="259" spans="1:18" ht="17" thickBot="1"/>
    <row r="260" spans="1:18" ht="20" thickBot="1">
      <c r="F260" s="274" t="s">
        <v>126</v>
      </c>
      <c r="G260" s="275"/>
      <c r="H260" s="275"/>
      <c r="I260" s="275"/>
      <c r="J260" s="276"/>
    </row>
    <row r="261" spans="1:18" ht="23" thickBot="1">
      <c r="C261" s="226" t="s">
        <v>80</v>
      </c>
      <c r="D261" s="277" t="s">
        <v>135</v>
      </c>
      <c r="E261" s="176" t="s">
        <v>136</v>
      </c>
      <c r="F261" s="278" t="s">
        <v>127</v>
      </c>
      <c r="G261" s="279" t="s">
        <v>128</v>
      </c>
      <c r="H261" s="279" t="s">
        <v>129</v>
      </c>
      <c r="I261" s="280" t="s">
        <v>130</v>
      </c>
      <c r="J261" s="208" t="s">
        <v>131</v>
      </c>
      <c r="L261" s="152" t="s">
        <v>83</v>
      </c>
      <c r="M261" s="153"/>
      <c r="N261" s="153"/>
      <c r="O261" s="153"/>
      <c r="P261" s="153"/>
      <c r="Q261" s="153"/>
    </row>
    <row r="262" spans="1:18" ht="20" thickBot="1">
      <c r="C262" s="176">
        <v>298.14999999999998</v>
      </c>
      <c r="D262" s="281">
        <f>$B$7*C262/$B$16</f>
        <v>2.4465219442388352E-2</v>
      </c>
      <c r="E262" s="282">
        <f>((2*PI()*$A$28*$U$9*$B$8*$C262)/($B$14*$B$14))^(3/2)</f>
        <v>9.7841433754858247E+29</v>
      </c>
      <c r="F262" s="283">
        <f t="shared" ref="F262:F280" si="31">$B$7*LN(($D262/$B$6)*EXP(5/2)*E262)</f>
        <v>108.83822435209699</v>
      </c>
      <c r="G262" s="284">
        <f>0</f>
        <v>0</v>
      </c>
      <c r="H262" s="284">
        <f>0</f>
        <v>0</v>
      </c>
      <c r="I262" s="285">
        <f xml:space="preserve"> $B$7*LN(2)</f>
        <v>5.7631029180476085</v>
      </c>
      <c r="J262" s="286">
        <f t="shared" ref="J262:J280" si="32">SUM(F262:I262)</f>
        <v>114.60132727014459</v>
      </c>
      <c r="L262" s="67"/>
      <c r="M262" s="67"/>
      <c r="N262" s="67"/>
      <c r="O262" s="67"/>
      <c r="P262" s="67"/>
      <c r="Q262" s="67"/>
    </row>
    <row r="263" spans="1:18" ht="20" thickBot="1">
      <c r="C263" s="154">
        <v>300</v>
      </c>
      <c r="D263" s="281">
        <f>$B$7*C263/$B$16</f>
        <v>2.4617024426350848E-2</v>
      </c>
      <c r="E263" s="282">
        <f>((2*PI()*$A$28*$U$9*$B$8*$C263)/($B$14*$B$14))^(3/2)</f>
        <v>9.8753493856317975E+29</v>
      </c>
      <c r="F263" s="234">
        <f t="shared" si="31"/>
        <v>108.9668015404812</v>
      </c>
      <c r="G263" s="256">
        <f>0</f>
        <v>0</v>
      </c>
      <c r="H263" s="256">
        <f>0</f>
        <v>0</v>
      </c>
      <c r="I263" s="255">
        <f t="shared" ref="I263:I280" si="33" xml:space="preserve"> $B$7*LN(2)</f>
        <v>5.7631029180476085</v>
      </c>
      <c r="J263" s="286">
        <f t="shared" si="32"/>
        <v>114.72990445852881</v>
      </c>
      <c r="N263" s="249" t="s">
        <v>127</v>
      </c>
      <c r="O263" s="250" t="s">
        <v>128</v>
      </c>
      <c r="P263" s="250" t="s">
        <v>129</v>
      </c>
      <c r="Q263" s="251" t="s">
        <v>130</v>
      </c>
      <c r="R263" s="208" t="s">
        <v>131</v>
      </c>
    </row>
    <row r="264" spans="1:18" ht="20" thickBot="1">
      <c r="C264" s="157">
        <f>C263+100</f>
        <v>400</v>
      </c>
      <c r="D264" s="287">
        <f t="shared" ref="D264:D280" si="34">$B$7*C264/$B$16</f>
        <v>3.2822699235134464E-2</v>
      </c>
      <c r="E264" s="288">
        <f t="shared" ref="E264:E280" si="35">(2*PI()*$A$28*$U$9*$B$8*$C264/($B$14)^2)^(3/2)</f>
        <v>1.5204095003029802E+30</v>
      </c>
      <c r="F264" s="234">
        <f t="shared" si="31"/>
        <v>114.94656109846397</v>
      </c>
      <c r="G264" s="256">
        <f>0</f>
        <v>0</v>
      </c>
      <c r="H264" s="256">
        <f>0</f>
        <v>0</v>
      </c>
      <c r="I264" s="257">
        <f t="shared" si="33"/>
        <v>5.7631029180476085</v>
      </c>
      <c r="J264" s="289">
        <f t="shared" si="32"/>
        <v>120.70966401651158</v>
      </c>
      <c r="M264" s="160" t="s">
        <v>85</v>
      </c>
      <c r="N264" s="290">
        <f>F$262</f>
        <v>108.83822435209699</v>
      </c>
      <c r="O264" s="290">
        <f>G$262</f>
        <v>0</v>
      </c>
      <c r="P264" s="290">
        <f>H$262</f>
        <v>0</v>
      </c>
      <c r="Q264" s="290">
        <f>I$262</f>
        <v>5.7631029180476085</v>
      </c>
      <c r="R264" s="290">
        <f>J$262</f>
        <v>114.60132727014459</v>
      </c>
    </row>
    <row r="265" spans="1:18" ht="20" thickBot="1">
      <c r="C265" s="157">
        <f t="shared" ref="C265:C280" si="36">C264+100</f>
        <v>500</v>
      </c>
      <c r="D265" s="287">
        <f t="shared" si="34"/>
        <v>4.1028374043918084E-2</v>
      </c>
      <c r="E265" s="288">
        <f t="shared" si="35"/>
        <v>2.124836872696201E+30</v>
      </c>
      <c r="F265" s="234">
        <f t="shared" si="31"/>
        <v>119.58482295608108</v>
      </c>
      <c r="G265" s="256">
        <f>0</f>
        <v>0</v>
      </c>
      <c r="H265" s="256">
        <f>0</f>
        <v>0</v>
      </c>
      <c r="I265" s="257">
        <f t="shared" si="33"/>
        <v>5.7631029180476085</v>
      </c>
      <c r="J265" s="289">
        <f t="shared" si="32"/>
        <v>125.34792587412869</v>
      </c>
      <c r="M265" s="162" t="s">
        <v>86</v>
      </c>
      <c r="N265" s="290">
        <f>E249</f>
        <v>108.84257600000001</v>
      </c>
      <c r="O265" s="290">
        <f>E251</f>
        <v>0</v>
      </c>
      <c r="P265" s="290">
        <f>E250</f>
        <v>0</v>
      </c>
      <c r="Q265" s="290">
        <f>E248</f>
        <v>5.761368</v>
      </c>
      <c r="R265" s="290">
        <f>E247</f>
        <v>114.60812800000001</v>
      </c>
    </row>
    <row r="266" spans="1:18" ht="22">
      <c r="C266" s="157">
        <f t="shared" si="36"/>
        <v>600</v>
      </c>
      <c r="D266" s="287">
        <f t="shared" si="34"/>
        <v>4.9234048852701696E-2</v>
      </c>
      <c r="E266" s="288">
        <f t="shared" si="35"/>
        <v>2.7931706068666675E+30</v>
      </c>
      <c r="F266" s="234">
        <f t="shared" si="31"/>
        <v>123.37455883560023</v>
      </c>
      <c r="G266" s="256">
        <f>0</f>
        <v>0</v>
      </c>
      <c r="H266" s="256">
        <f>0</f>
        <v>0</v>
      </c>
      <c r="I266" s="257">
        <f t="shared" si="33"/>
        <v>5.7631029180476085</v>
      </c>
      <c r="J266" s="289">
        <f t="shared" si="32"/>
        <v>129.13766175364785</v>
      </c>
      <c r="L266" s="67"/>
      <c r="M266" s="164" t="s">
        <v>87</v>
      </c>
      <c r="N266" s="165">
        <f>IFERROR(ABS(N264-N265)/N264,0)</f>
        <v>3.9982716815958679E-5</v>
      </c>
      <c r="O266" s="165">
        <f t="shared" ref="O266:R266" si="37">IFERROR(ABS(O264-O265)/O264,0)</f>
        <v>0</v>
      </c>
      <c r="P266" s="165">
        <f t="shared" si="37"/>
        <v>0</v>
      </c>
      <c r="Q266" s="165">
        <f t="shared" si="37"/>
        <v>3.0103887997132075E-4</v>
      </c>
      <c r="R266" s="165">
        <f t="shared" si="37"/>
        <v>5.9342505164730958E-5</v>
      </c>
    </row>
    <row r="267" spans="1:18" ht="19">
      <c r="A267" s="193"/>
      <c r="C267" s="157">
        <f t="shared" si="36"/>
        <v>700</v>
      </c>
      <c r="D267" s="287">
        <f t="shared" si="34"/>
        <v>5.7439723661485309E-2</v>
      </c>
      <c r="E267" s="288">
        <f t="shared" si="35"/>
        <v>3.5197972501839381E+30</v>
      </c>
      <c r="F267" s="234">
        <f t="shared" si="31"/>
        <v>126.57873486648963</v>
      </c>
      <c r="G267" s="256">
        <f>0</f>
        <v>0</v>
      </c>
      <c r="H267" s="256">
        <f>0</f>
        <v>0</v>
      </c>
      <c r="I267" s="257">
        <f t="shared" si="33"/>
        <v>5.7631029180476085</v>
      </c>
      <c r="J267" s="289">
        <f t="shared" si="32"/>
        <v>132.34183778453723</v>
      </c>
    </row>
    <row r="268" spans="1:18" ht="19">
      <c r="A268" s="193"/>
      <c r="C268" s="157">
        <f t="shared" si="36"/>
        <v>800</v>
      </c>
      <c r="D268" s="287">
        <f t="shared" si="34"/>
        <v>6.5645398470268929E-2</v>
      </c>
      <c r="E268" s="288">
        <f t="shared" si="35"/>
        <v>4.3003674713787616E+30</v>
      </c>
      <c r="F268" s="234">
        <f t="shared" si="31"/>
        <v>129.35431839358301</v>
      </c>
      <c r="G268" s="256">
        <f>0</f>
        <v>0</v>
      </c>
      <c r="H268" s="256">
        <f>0</f>
        <v>0</v>
      </c>
      <c r="I268" s="257">
        <f t="shared" si="33"/>
        <v>5.7631029180476085</v>
      </c>
      <c r="J268" s="289">
        <f t="shared" si="32"/>
        <v>135.11742131163064</v>
      </c>
    </row>
    <row r="269" spans="1:18" ht="19">
      <c r="C269" s="157">
        <f t="shared" si="36"/>
        <v>900</v>
      </c>
      <c r="D269" s="287">
        <f t="shared" si="34"/>
        <v>7.3851073279052548E-2</v>
      </c>
      <c r="E269" s="288">
        <f t="shared" si="35"/>
        <v>5.1313820635224936E+30</v>
      </c>
      <c r="F269" s="234">
        <f t="shared" si="31"/>
        <v>131.80255657273648</v>
      </c>
      <c r="G269" s="256">
        <f>0</f>
        <v>0</v>
      </c>
      <c r="H269" s="256">
        <f>0</f>
        <v>0</v>
      </c>
      <c r="I269" s="257">
        <f t="shared" si="33"/>
        <v>5.7631029180476085</v>
      </c>
      <c r="J269" s="289">
        <f t="shared" si="32"/>
        <v>137.5656594907841</v>
      </c>
    </row>
    <row r="270" spans="1:18" ht="19">
      <c r="C270" s="157">
        <f t="shared" si="36"/>
        <v>1000</v>
      </c>
      <c r="D270" s="287">
        <f t="shared" si="34"/>
        <v>8.2056748087836168E-2</v>
      </c>
      <c r="E270" s="288">
        <f t="shared" si="35"/>
        <v>6.0099462463948192E+30</v>
      </c>
      <c r="F270" s="234">
        <f t="shared" si="31"/>
        <v>133.99258025120014</v>
      </c>
      <c r="G270" s="256">
        <f>0</f>
        <v>0</v>
      </c>
      <c r="H270" s="256">
        <f>0</f>
        <v>0</v>
      </c>
      <c r="I270" s="257">
        <f t="shared" si="33"/>
        <v>5.7631029180476085</v>
      </c>
      <c r="J270" s="289">
        <f t="shared" si="32"/>
        <v>139.75568316924776</v>
      </c>
    </row>
    <row r="271" spans="1:18" ht="19">
      <c r="C271" s="157">
        <f t="shared" si="36"/>
        <v>1100</v>
      </c>
      <c r="D271" s="287">
        <f t="shared" si="34"/>
        <v>9.0262422896619773E-2</v>
      </c>
      <c r="E271" s="288">
        <f t="shared" si="35"/>
        <v>6.9336132802704108E+30</v>
      </c>
      <c r="F271" s="234">
        <f t="shared" si="31"/>
        <v>135.97369764861276</v>
      </c>
      <c r="G271" s="256">
        <f>0</f>
        <v>0</v>
      </c>
      <c r="H271" s="256">
        <f>0</f>
        <v>0</v>
      </c>
      <c r="I271" s="257">
        <f t="shared" si="33"/>
        <v>5.7631029180476085</v>
      </c>
      <c r="J271" s="289">
        <f t="shared" si="32"/>
        <v>141.73680056666038</v>
      </c>
    </row>
    <row r="272" spans="1:18" ht="19">
      <c r="C272" s="157">
        <f t="shared" si="36"/>
        <v>1200</v>
      </c>
      <c r="D272" s="287">
        <f t="shared" si="34"/>
        <v>9.8468097705403393E-2</v>
      </c>
      <c r="E272" s="288">
        <f t="shared" si="35"/>
        <v>7.9002795085054819E+30</v>
      </c>
      <c r="F272" s="234">
        <f t="shared" si="31"/>
        <v>137.78231613071929</v>
      </c>
      <c r="G272" s="256">
        <f>0</f>
        <v>0</v>
      </c>
      <c r="H272" s="256">
        <f>0</f>
        <v>0</v>
      </c>
      <c r="I272" s="257">
        <f t="shared" si="33"/>
        <v>5.7631029180476085</v>
      </c>
      <c r="J272" s="289">
        <f t="shared" si="32"/>
        <v>143.54541904876692</v>
      </c>
    </row>
    <row r="273" spans="3:10" ht="19">
      <c r="C273" s="157">
        <f t="shared" si="36"/>
        <v>1300</v>
      </c>
      <c r="D273" s="287">
        <f t="shared" si="34"/>
        <v>0.10667377251418701</v>
      </c>
      <c r="E273" s="288">
        <f t="shared" si="35"/>
        <v>8.9081109211980625E+30</v>
      </c>
      <c r="F273" s="234">
        <f t="shared" si="31"/>
        <v>139.4460838524214</v>
      </c>
      <c r="G273" s="256">
        <f>0</f>
        <v>0</v>
      </c>
      <c r="H273" s="256">
        <f>0</f>
        <v>0</v>
      </c>
      <c r="I273" s="257">
        <f t="shared" si="33"/>
        <v>5.7631029180476085</v>
      </c>
      <c r="J273" s="289">
        <f t="shared" si="32"/>
        <v>145.20918677046902</v>
      </c>
    </row>
    <row r="274" spans="3:10" ht="19">
      <c r="C274" s="157">
        <f t="shared" si="36"/>
        <v>1400</v>
      </c>
      <c r="D274" s="287">
        <f t="shared" si="34"/>
        <v>0.11487944732297062</v>
      </c>
      <c r="E274" s="288">
        <f t="shared" si="35"/>
        <v>9.9554900160273307E+30</v>
      </c>
      <c r="F274" s="234">
        <f t="shared" si="31"/>
        <v>140.98649216160868</v>
      </c>
      <c r="G274" s="256">
        <f>0</f>
        <v>0</v>
      </c>
      <c r="H274" s="256">
        <f>0</f>
        <v>0</v>
      </c>
      <c r="I274" s="257">
        <f t="shared" si="33"/>
        <v>5.7631029180476085</v>
      </c>
      <c r="J274" s="289">
        <f t="shared" si="32"/>
        <v>146.7495950796563</v>
      </c>
    </row>
    <row r="275" spans="3:10" ht="19">
      <c r="C275" s="157">
        <f t="shared" si="36"/>
        <v>1500</v>
      </c>
      <c r="D275" s="287">
        <f t="shared" si="34"/>
        <v>0.12308512213175424</v>
      </c>
      <c r="E275" s="288">
        <f t="shared" si="35"/>
        <v>1.104097626391671E+31</v>
      </c>
      <c r="F275" s="234">
        <f t="shared" si="31"/>
        <v>142.42057798833636</v>
      </c>
      <c r="G275" s="256">
        <f>0</f>
        <v>0</v>
      </c>
      <c r="H275" s="256">
        <f>0</f>
        <v>0</v>
      </c>
      <c r="I275" s="257">
        <f t="shared" si="33"/>
        <v>5.7631029180476085</v>
      </c>
      <c r="J275" s="289">
        <f t="shared" si="32"/>
        <v>148.18368090638398</v>
      </c>
    </row>
    <row r="276" spans="3:10" ht="19">
      <c r="C276" s="157">
        <f t="shared" si="36"/>
        <v>1600</v>
      </c>
      <c r="D276" s="287">
        <f t="shared" si="34"/>
        <v>0.13129079694053786</v>
      </c>
      <c r="E276" s="288">
        <f t="shared" si="35"/>
        <v>1.2163276002423735E+31</v>
      </c>
      <c r="F276" s="234">
        <f t="shared" si="31"/>
        <v>143.76207568870194</v>
      </c>
      <c r="G276" s="256">
        <f>0</f>
        <v>0</v>
      </c>
      <c r="H276" s="256">
        <f>0</f>
        <v>0</v>
      </c>
      <c r="I276" s="257">
        <f t="shared" si="33"/>
        <v>5.7631029180476085</v>
      </c>
      <c r="J276" s="289">
        <f t="shared" si="32"/>
        <v>149.52517860674956</v>
      </c>
    </row>
    <row r="277" spans="3:10" ht="19">
      <c r="C277" s="157">
        <f t="shared" si="36"/>
        <v>1700</v>
      </c>
      <c r="D277" s="287">
        <f t="shared" si="34"/>
        <v>0.13949647174932148</v>
      </c>
      <c r="E277" s="288">
        <f t="shared" si="35"/>
        <v>1.3321219048376207E+31</v>
      </c>
      <c r="F277" s="234">
        <f t="shared" si="31"/>
        <v>145.02221907777843</v>
      </c>
      <c r="G277" s="256">
        <f>0</f>
        <v>0</v>
      </c>
      <c r="H277" s="256">
        <f>0</f>
        <v>0</v>
      </c>
      <c r="I277" s="257">
        <f t="shared" si="33"/>
        <v>5.7631029180476085</v>
      </c>
      <c r="J277" s="289">
        <f t="shared" si="32"/>
        <v>150.78532199582605</v>
      </c>
    </row>
    <row r="278" spans="3:10" ht="19">
      <c r="C278" s="157">
        <f t="shared" si="36"/>
        <v>1800</v>
      </c>
      <c r="D278" s="287">
        <f t="shared" si="34"/>
        <v>0.1477021465581051</v>
      </c>
      <c r="E278" s="288">
        <f t="shared" si="35"/>
        <v>1.4513740215903139E+31</v>
      </c>
      <c r="F278" s="234">
        <f t="shared" si="31"/>
        <v>146.21031386785552</v>
      </c>
      <c r="G278" s="256">
        <f>0</f>
        <v>0</v>
      </c>
      <c r="H278" s="256">
        <f>0</f>
        <v>0</v>
      </c>
      <c r="I278" s="257">
        <f t="shared" si="33"/>
        <v>5.7631029180476085</v>
      </c>
      <c r="J278" s="289">
        <f t="shared" si="32"/>
        <v>151.97341678590314</v>
      </c>
    </row>
    <row r="279" spans="3:10" ht="19">
      <c r="C279" s="157">
        <f t="shared" si="36"/>
        <v>1900</v>
      </c>
      <c r="D279" s="287">
        <f t="shared" si="34"/>
        <v>0.15590782136688872</v>
      </c>
      <c r="E279" s="288">
        <f t="shared" si="35"/>
        <v>1.5739864490972069E+31</v>
      </c>
      <c r="F279" s="234">
        <f t="shared" si="31"/>
        <v>147.33415512917952</v>
      </c>
      <c r="G279" s="256">
        <f>0</f>
        <v>0</v>
      </c>
      <c r="H279" s="256">
        <f>0</f>
        <v>0</v>
      </c>
      <c r="I279" s="257">
        <f t="shared" si="33"/>
        <v>5.7631029180476085</v>
      </c>
      <c r="J279" s="289">
        <f t="shared" si="32"/>
        <v>153.09725804722714</v>
      </c>
    </row>
    <row r="280" spans="3:10" ht="20" thickBot="1">
      <c r="C280" s="166">
        <f t="shared" si="36"/>
        <v>2000</v>
      </c>
      <c r="D280" s="291">
        <f t="shared" si="34"/>
        <v>0.16411349617567234</v>
      </c>
      <c r="E280" s="292">
        <f t="shared" si="35"/>
        <v>1.6998694981569705E+31</v>
      </c>
      <c r="F280" s="259">
        <f t="shared" si="31"/>
        <v>148.40033754631915</v>
      </c>
      <c r="G280" s="260">
        <f>0</f>
        <v>0</v>
      </c>
      <c r="H280" s="260">
        <f>0</f>
        <v>0</v>
      </c>
      <c r="I280" s="261">
        <f t="shared" si="33"/>
        <v>5.7631029180476085</v>
      </c>
      <c r="J280" s="293">
        <f t="shared" si="32"/>
        <v>154.16344046436677</v>
      </c>
    </row>
  </sheetData>
  <mergeCells count="11">
    <mergeCell ref="D203:E203"/>
    <mergeCell ref="D212:H212"/>
    <mergeCell ref="H239:K239"/>
    <mergeCell ref="D244:E244"/>
    <mergeCell ref="D245:E245"/>
    <mergeCell ref="A18:V18"/>
    <mergeCell ref="A53:V53"/>
    <mergeCell ref="U93:W93"/>
    <mergeCell ref="C100:D100"/>
    <mergeCell ref="AB101:AH101"/>
    <mergeCell ref="H198:K19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44262-FF0D-3844-9577-B6B0807D87D9}">
  <dimension ref="A3:AH280"/>
  <sheetViews>
    <sheetView tabSelected="1" zoomScale="81" workbookViewId="0">
      <selection activeCell="M16" sqref="M16"/>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7.83203125" customWidth="1"/>
    <col min="9" max="9" width="13.66406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20.33203125" customWidth="1"/>
    <col min="33" max="33" width="15.16406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65" t="s">
        <v>160</v>
      </c>
      <c r="B18" s="65"/>
      <c r="C18" s="65"/>
      <c r="D18" s="65"/>
      <c r="E18" s="65"/>
      <c r="F18" s="65"/>
      <c r="G18" s="65"/>
      <c r="H18" s="65"/>
      <c r="I18" s="65"/>
      <c r="J18" s="65"/>
      <c r="K18" s="65"/>
      <c r="L18" s="65"/>
      <c r="M18" s="65"/>
      <c r="N18" s="65"/>
      <c r="O18" s="65"/>
      <c r="P18" s="65"/>
      <c r="Q18" s="65"/>
      <c r="R18" s="65"/>
      <c r="S18" s="65"/>
      <c r="T18" s="65"/>
      <c r="U18" s="65"/>
      <c r="V18" s="65"/>
    </row>
    <row r="19" spans="1:27" ht="17" thickTop="1"/>
    <row r="20" spans="1:27" ht="17" thickBot="1"/>
    <row r="21" spans="1:27" ht="20" thickBot="1">
      <c r="A21" s="66" t="s">
        <v>33</v>
      </c>
      <c r="B21" s="67"/>
      <c r="C21" s="68" t="s">
        <v>34</v>
      </c>
      <c r="D21" s="69"/>
      <c r="E21" s="69"/>
      <c r="F21" s="70"/>
      <c r="G21" s="67"/>
      <c r="H21" s="66" t="s">
        <v>35</v>
      </c>
      <c r="I21" s="67"/>
      <c r="J21" s="67"/>
      <c r="M21" s="67"/>
      <c r="N21" s="67"/>
      <c r="O21" s="71" t="s">
        <v>36</v>
      </c>
      <c r="P21" s="69"/>
      <c r="Q21" s="69"/>
      <c r="R21" s="70"/>
      <c r="S21" s="67"/>
      <c r="T21" s="67"/>
      <c r="U21" s="67"/>
      <c r="V21" s="67"/>
      <c r="W21" s="67"/>
      <c r="X21" s="67"/>
      <c r="Y21" s="67"/>
      <c r="Z21" s="67"/>
      <c r="AA21" s="67"/>
    </row>
    <row r="22" spans="1:27" ht="20" thickBot="1">
      <c r="A22" s="72">
        <v>298.14999999999998</v>
      </c>
      <c r="B22" s="67"/>
      <c r="C22" s="73"/>
      <c r="D22" s="74" t="s">
        <v>37</v>
      </c>
      <c r="E22" s="75" t="s">
        <v>38</v>
      </c>
      <c r="F22" s="76" t="s">
        <v>39</v>
      </c>
      <c r="G22" s="67"/>
      <c r="H22" s="77" t="s">
        <v>40</v>
      </c>
      <c r="I22" s="78" t="s">
        <v>9</v>
      </c>
      <c r="J22" s="78" t="s">
        <v>10</v>
      </c>
      <c r="K22" s="79" t="s">
        <v>7</v>
      </c>
      <c r="L22" s="80" t="s">
        <v>12</v>
      </c>
      <c r="M22" s="67"/>
      <c r="N22" s="67"/>
      <c r="O22" s="81"/>
      <c r="P22" s="82" t="s">
        <v>41</v>
      </c>
      <c r="Q22" s="83" t="s">
        <v>42</v>
      </c>
      <c r="R22" s="84" t="s">
        <v>43</v>
      </c>
      <c r="S22" s="67"/>
      <c r="T22" s="67"/>
      <c r="U22" s="67"/>
      <c r="V22" s="67"/>
      <c r="W22" s="67"/>
      <c r="X22" s="67"/>
      <c r="Y22" s="67"/>
      <c r="Z22" s="67"/>
      <c r="AA22" s="67"/>
    </row>
    <row r="23" spans="1:27" ht="22" thickBot="1">
      <c r="A23" s="67"/>
      <c r="B23" s="67"/>
      <c r="C23" s="85" t="s">
        <v>44</v>
      </c>
      <c r="D23" s="86">
        <v>2.4227300000000001</v>
      </c>
      <c r="E23" s="87">
        <v>4.9976700000000003</v>
      </c>
      <c r="F23" s="88">
        <v>7.4203999999999999</v>
      </c>
      <c r="G23" s="67"/>
      <c r="H23" s="89">
        <v>1.8574E-2</v>
      </c>
      <c r="I23" s="90">
        <f>H23*$H$7</f>
        <v>11.655240722</v>
      </c>
      <c r="J23" s="90">
        <f>H23*$I$7</f>
        <v>48.766036999999997</v>
      </c>
      <c r="K23" s="91">
        <f>H23*$F$7</f>
        <v>0.50541154180000003</v>
      </c>
      <c r="L23" s="92">
        <f>H23*$K$7</f>
        <v>8.098264E-20</v>
      </c>
      <c r="M23" s="67"/>
      <c r="N23" s="67"/>
      <c r="O23" s="93" t="s">
        <v>45</v>
      </c>
      <c r="P23" s="94">
        <v>13.436</v>
      </c>
      <c r="Q23" s="95">
        <v>6.0359999999999996</v>
      </c>
      <c r="R23" s="96">
        <v>46.542999999999999</v>
      </c>
      <c r="S23" s="67"/>
      <c r="T23" s="67"/>
      <c r="U23" s="67"/>
      <c r="V23" s="67"/>
      <c r="W23" s="67"/>
      <c r="X23" s="67"/>
      <c r="Y23" s="67"/>
      <c r="Z23" s="67"/>
      <c r="AA23" s="67"/>
    </row>
    <row r="24" spans="1:27" ht="22" thickBot="1">
      <c r="A24" s="66" t="s">
        <v>46</v>
      </c>
      <c r="B24" s="67"/>
      <c r="C24" s="97" t="s">
        <v>47</v>
      </c>
      <c r="D24" s="98">
        <f>D23*$U$9</f>
        <v>4.0217318E-27</v>
      </c>
      <c r="E24" s="99">
        <f t="shared" ref="E24:F24" si="0">E23*$U$9</f>
        <v>8.2961321999999993E-27</v>
      </c>
      <c r="F24" s="100">
        <f t="shared" si="0"/>
        <v>1.2317863999999999E-26</v>
      </c>
      <c r="G24" s="67"/>
      <c r="M24" s="67"/>
      <c r="N24" s="67"/>
      <c r="O24" s="101" t="s">
        <v>48</v>
      </c>
      <c r="P24" s="94">
        <v>0</v>
      </c>
      <c r="Q24" s="95">
        <v>0</v>
      </c>
      <c r="R24" s="96">
        <v>1.377</v>
      </c>
      <c r="S24" s="67"/>
      <c r="T24" s="67"/>
      <c r="U24" s="67"/>
      <c r="V24" s="67"/>
      <c r="W24" s="67"/>
      <c r="X24" s="67"/>
      <c r="Y24" s="67"/>
      <c r="Z24" s="67"/>
      <c r="AA24" s="67"/>
    </row>
    <row r="25" spans="1:27" ht="22" thickBot="1">
      <c r="A25" s="72">
        <v>1</v>
      </c>
      <c r="B25" s="67"/>
      <c r="C25" s="102" t="s">
        <v>49</v>
      </c>
      <c r="D25" s="103">
        <f>D24*($Q$8)^2</f>
        <v>4.0217318000000003E-47</v>
      </c>
      <c r="E25" s="104">
        <f>E24*($Q$8)^2</f>
        <v>8.2961322E-47</v>
      </c>
      <c r="F25" s="105">
        <f t="shared" ref="F25" si="1">F24*($Q$8)^2</f>
        <v>1.2317863999999999E-46</v>
      </c>
      <c r="G25" s="67"/>
      <c r="M25" s="67"/>
      <c r="N25" s="67"/>
      <c r="O25" s="101" t="s">
        <v>50</v>
      </c>
      <c r="P25" s="94">
        <v>0.88900000000000001</v>
      </c>
      <c r="Q25" s="95">
        <v>2.9809999999999999</v>
      </c>
      <c r="R25" s="96">
        <v>34.259</v>
      </c>
      <c r="S25" s="67"/>
      <c r="T25" s="67"/>
      <c r="U25" s="67"/>
      <c r="V25" s="67"/>
      <c r="W25" s="67"/>
      <c r="X25" s="67"/>
      <c r="Y25" s="67"/>
      <c r="Z25" s="67"/>
      <c r="AA25" s="67"/>
    </row>
    <row r="26" spans="1:27" ht="20" thickBot="1">
      <c r="A26" s="67"/>
      <c r="B26" s="67"/>
      <c r="C26" s="67"/>
      <c r="D26" s="67"/>
      <c r="E26" s="67"/>
      <c r="F26" s="67"/>
      <c r="G26" s="67"/>
      <c r="H26" s="66" t="s">
        <v>51</v>
      </c>
      <c r="I26" s="67"/>
      <c r="J26" s="67"/>
      <c r="K26" s="67"/>
      <c r="M26" s="67"/>
      <c r="N26" s="67"/>
      <c r="O26" s="101" t="s">
        <v>52</v>
      </c>
      <c r="P26" s="94">
        <v>0.88900000000000001</v>
      </c>
      <c r="Q26" s="95">
        <v>2.9809999999999999</v>
      </c>
      <c r="R26" s="96">
        <v>10.895</v>
      </c>
      <c r="S26" s="67"/>
      <c r="T26" s="67"/>
      <c r="U26" s="67"/>
      <c r="V26" s="67"/>
      <c r="W26" s="67"/>
      <c r="X26" s="67"/>
      <c r="Y26" s="67"/>
      <c r="Z26" s="67"/>
      <c r="AA26" s="67"/>
    </row>
    <row r="27" spans="1:27" ht="20" thickBot="1">
      <c r="A27" s="66" t="s">
        <v>53</v>
      </c>
      <c r="B27" s="67"/>
      <c r="C27" s="66" t="s">
        <v>54</v>
      </c>
      <c r="D27" s="67"/>
      <c r="E27" s="67"/>
      <c r="F27" s="67"/>
      <c r="G27" s="67"/>
      <c r="H27" s="77" t="s">
        <v>40</v>
      </c>
      <c r="I27" s="78" t="s">
        <v>9</v>
      </c>
      <c r="J27" s="78" t="s">
        <v>10</v>
      </c>
      <c r="K27" s="79" t="s">
        <v>7</v>
      </c>
      <c r="L27" s="80" t="s">
        <v>12</v>
      </c>
      <c r="M27" s="67"/>
      <c r="N27" s="67"/>
      <c r="O27" s="106" t="s">
        <v>55</v>
      </c>
      <c r="P27" s="107">
        <v>11.659000000000001</v>
      </c>
      <c r="Q27" s="108">
        <v>7.4999999999999997E-2</v>
      </c>
      <c r="R27" s="109">
        <v>1.2E-2</v>
      </c>
      <c r="S27" s="67"/>
      <c r="T27" s="67"/>
      <c r="U27" s="67"/>
      <c r="V27" s="67"/>
      <c r="W27" s="67"/>
      <c r="X27" s="67"/>
      <c r="Y27" s="67"/>
      <c r="Z27" s="67"/>
      <c r="AA27" s="67"/>
    </row>
    <row r="28" spans="1:27" ht="20" thickBot="1">
      <c r="A28" s="72">
        <v>16.018719999999998</v>
      </c>
      <c r="B28" s="67"/>
      <c r="C28" s="110" t="s">
        <v>37</v>
      </c>
      <c r="D28" s="111" t="s">
        <v>38</v>
      </c>
      <c r="E28" s="112" t="s">
        <v>39</v>
      </c>
      <c r="F28" s="67"/>
      <c r="G28" s="67"/>
      <c r="H28" s="113">
        <v>2.1412E-2</v>
      </c>
      <c r="I28" s="90">
        <f>H28*$H$7</f>
        <v>13.436094236000001</v>
      </c>
      <c r="J28" s="90">
        <f>H28*$I$7</f>
        <v>56.217206000000004</v>
      </c>
      <c r="K28" s="114">
        <f>H28*$F$7</f>
        <v>0.5826355084</v>
      </c>
      <c r="L28" s="92">
        <f>H28*$K$7</f>
        <v>9.3356320000000005E-20</v>
      </c>
      <c r="M28" s="67"/>
      <c r="N28" s="67"/>
      <c r="O28" s="67"/>
      <c r="P28" s="67"/>
      <c r="Q28" s="67"/>
      <c r="R28" s="67"/>
      <c r="S28" s="67"/>
      <c r="T28" s="67"/>
      <c r="U28" s="67"/>
      <c r="V28" s="67"/>
      <c r="W28" s="67"/>
      <c r="X28" s="67"/>
      <c r="Y28" s="67"/>
      <c r="Z28" s="67"/>
      <c r="AA28" s="67"/>
    </row>
    <row r="29" spans="1:27" ht="20" thickBot="1">
      <c r="A29" s="67"/>
      <c r="B29" s="67"/>
      <c r="C29" s="113">
        <v>35.750489999999999</v>
      </c>
      <c r="D29" s="343">
        <v>17.330839999999998</v>
      </c>
      <c r="E29" s="327">
        <v>11.67239</v>
      </c>
      <c r="F29" s="67"/>
      <c r="G29" s="67"/>
      <c r="L29" s="67"/>
      <c r="M29" s="67"/>
      <c r="N29" s="67"/>
      <c r="O29" s="67"/>
      <c r="P29" s="67"/>
      <c r="Q29" s="67"/>
      <c r="R29" s="67"/>
      <c r="S29" s="67"/>
      <c r="T29" s="67"/>
      <c r="U29" s="67"/>
      <c r="V29" s="67"/>
      <c r="W29" s="67"/>
      <c r="X29" s="67"/>
      <c r="Y29" s="67"/>
      <c r="Z29" s="67"/>
      <c r="AA29" s="67"/>
    </row>
    <row r="30" spans="1:27" ht="20" thickBot="1">
      <c r="A30" s="66" t="s">
        <v>57</v>
      </c>
      <c r="B30" s="67"/>
      <c r="F30" s="67"/>
      <c r="G30" s="67"/>
      <c r="M30" s="67"/>
      <c r="O30" s="117" t="s">
        <v>58</v>
      </c>
      <c r="P30" s="118"/>
      <c r="Q30" s="118"/>
      <c r="R30" s="119"/>
      <c r="S30" s="67"/>
      <c r="T30" s="67"/>
      <c r="U30" s="67"/>
      <c r="V30" s="67"/>
      <c r="W30" s="67"/>
      <c r="X30" s="67"/>
      <c r="Y30" s="67"/>
      <c r="Z30" s="67"/>
      <c r="AA30" s="67"/>
    </row>
    <row r="31" spans="1:27" ht="20" thickBot="1">
      <c r="A31" s="72">
        <v>2</v>
      </c>
      <c r="B31" s="67"/>
      <c r="C31" s="66" t="s">
        <v>59</v>
      </c>
      <c r="D31" s="67"/>
      <c r="E31" s="67"/>
      <c r="F31" s="67"/>
      <c r="G31" s="67"/>
      <c r="H31" s="66" t="s">
        <v>60</v>
      </c>
      <c r="I31" s="67"/>
      <c r="J31" s="67"/>
      <c r="K31" s="67"/>
      <c r="L31" s="67"/>
      <c r="M31" s="67"/>
      <c r="N31" s="67"/>
      <c r="O31" s="120"/>
      <c r="P31" s="121" t="s">
        <v>61</v>
      </c>
      <c r="Q31" s="122" t="s">
        <v>62</v>
      </c>
      <c r="R31" s="123" t="s">
        <v>63</v>
      </c>
      <c r="S31" s="67"/>
      <c r="T31" s="67"/>
      <c r="U31" s="67"/>
      <c r="V31" s="67"/>
      <c r="W31" s="67"/>
      <c r="X31" s="67"/>
      <c r="Y31" s="67"/>
      <c r="Z31" s="67"/>
      <c r="AA31" s="67"/>
    </row>
    <row r="32" spans="1:27" ht="20" thickBot="1">
      <c r="A32" s="67"/>
      <c r="B32" s="67"/>
      <c r="C32" s="124" t="s">
        <v>37</v>
      </c>
      <c r="D32" s="124" t="s">
        <v>38</v>
      </c>
      <c r="E32" s="124" t="s">
        <v>39</v>
      </c>
      <c r="F32" s="67"/>
      <c r="G32" s="67"/>
      <c r="H32" s="77" t="s">
        <v>40</v>
      </c>
      <c r="I32" s="78" t="s">
        <v>9</v>
      </c>
      <c r="J32" s="78" t="s">
        <v>10</v>
      </c>
      <c r="K32" s="79" t="s">
        <v>7</v>
      </c>
      <c r="L32" s="80" t="s">
        <v>12</v>
      </c>
      <c r="M32" s="67"/>
      <c r="N32" s="67"/>
      <c r="O32" s="93" t="s">
        <v>48</v>
      </c>
      <c r="P32" s="125">
        <v>2</v>
      </c>
      <c r="Q32" s="126">
        <v>0.30103000000000002</v>
      </c>
      <c r="R32" s="126">
        <v>0.69314699999999996</v>
      </c>
      <c r="S32" s="67"/>
      <c r="T32" s="67"/>
      <c r="U32" s="67"/>
      <c r="V32" s="67"/>
      <c r="W32" s="67"/>
      <c r="X32" s="67"/>
      <c r="Y32" s="67"/>
      <c r="Z32" s="67"/>
      <c r="AA32" s="67"/>
    </row>
    <row r="33" spans="1:27" ht="20" thickBot="1">
      <c r="A33" s="67"/>
      <c r="B33" s="67"/>
      <c r="C33" s="296">
        <v>744.92024000000004</v>
      </c>
      <c r="D33" s="297">
        <v>361.11658999999997</v>
      </c>
      <c r="E33" s="298">
        <v>243.21347</v>
      </c>
      <c r="F33" s="67"/>
      <c r="G33" s="67"/>
      <c r="H33" s="113">
        <v>2.2356000000000001E-2</v>
      </c>
      <c r="I33" s="90">
        <f>H33*$H$7</f>
        <v>14.028457068000002</v>
      </c>
      <c r="J33" s="90">
        <f>H33*$I$7</f>
        <v>58.695678000000001</v>
      </c>
      <c r="K33" s="114">
        <f>H33*$F$7</f>
        <v>0.60832240920000002</v>
      </c>
      <c r="L33" s="92">
        <f>H33*$K$7</f>
        <v>9.7472159999999996E-20</v>
      </c>
      <c r="M33" s="67"/>
      <c r="N33" s="67"/>
      <c r="O33" s="101" t="s">
        <v>50</v>
      </c>
      <c r="P33" s="94">
        <v>2519980</v>
      </c>
      <c r="Q33" s="95">
        <v>6.4013970000000002</v>
      </c>
      <c r="R33" s="95">
        <v>14.739762000000001</v>
      </c>
      <c r="S33" s="67"/>
      <c r="T33" s="67"/>
      <c r="U33" s="67"/>
      <c r="V33" s="67"/>
      <c r="W33" s="67"/>
      <c r="X33" s="67"/>
      <c r="Y33" s="67"/>
      <c r="Z33" s="67"/>
      <c r="AA33" s="67"/>
    </row>
    <row r="34" spans="1:27" ht="19">
      <c r="A34" s="67"/>
      <c r="B34" s="67"/>
      <c r="E34" s="67"/>
      <c r="F34" s="67"/>
      <c r="G34" s="67"/>
      <c r="M34" s="67"/>
      <c r="N34" s="67"/>
      <c r="O34" s="101" t="s">
        <v>52</v>
      </c>
      <c r="P34" s="94">
        <v>53.6496</v>
      </c>
      <c r="Q34" s="95">
        <v>1.7295659999999999</v>
      </c>
      <c r="R34" s="95">
        <v>3.9824739999999998</v>
      </c>
      <c r="S34" s="67"/>
      <c r="T34" s="67"/>
      <c r="U34" s="67"/>
      <c r="V34" s="67"/>
      <c r="W34" s="67"/>
      <c r="X34" s="67"/>
      <c r="Y34" s="67"/>
      <c r="Z34" s="67"/>
      <c r="AA34" s="67"/>
    </row>
    <row r="35" spans="1:27" ht="19">
      <c r="A35" s="67"/>
      <c r="B35" s="67"/>
      <c r="E35" s="67"/>
      <c r="F35" s="67"/>
      <c r="H35" s="67"/>
      <c r="I35" s="67"/>
      <c r="J35" s="67"/>
      <c r="K35" s="67"/>
      <c r="L35" s="67"/>
      <c r="M35" s="67"/>
      <c r="N35" s="67"/>
      <c r="O35" s="101" t="s">
        <v>64</v>
      </c>
      <c r="P35" s="94">
        <v>0.77384500000000001</v>
      </c>
      <c r="Q35" s="95">
        <v>-0.111346</v>
      </c>
      <c r="R35" s="95">
        <v>-0.256384</v>
      </c>
      <c r="S35" s="67"/>
      <c r="T35" s="67"/>
      <c r="U35" s="67"/>
      <c r="V35" s="67"/>
      <c r="W35" s="67"/>
      <c r="X35" s="67"/>
      <c r="Y35" s="67"/>
      <c r="Z35" s="67"/>
      <c r="AA35" s="67"/>
    </row>
    <row r="36" spans="1:27" ht="20" thickBot="1">
      <c r="A36" s="67"/>
      <c r="B36" s="67"/>
      <c r="C36" s="66" t="s">
        <v>65</v>
      </c>
      <c r="D36" s="67"/>
      <c r="E36" s="67"/>
      <c r="F36" s="67"/>
      <c r="H36" s="66" t="s">
        <v>66</v>
      </c>
      <c r="I36" s="67"/>
      <c r="J36" s="67"/>
      <c r="K36" s="67"/>
      <c r="L36" s="67"/>
      <c r="M36" s="67"/>
      <c r="N36" s="67"/>
      <c r="O36" s="101" t="s">
        <v>67</v>
      </c>
      <c r="P36" s="94">
        <v>270585000</v>
      </c>
      <c r="Q36" s="95">
        <v>8.4323029999999992</v>
      </c>
      <c r="R36" s="95">
        <v>19.416096</v>
      </c>
      <c r="S36" s="67"/>
      <c r="T36" s="67"/>
      <c r="U36" s="67"/>
      <c r="V36" s="67"/>
      <c r="W36" s="67"/>
      <c r="X36" s="67"/>
      <c r="Y36" s="67"/>
      <c r="Z36" s="67"/>
      <c r="AA36" s="67"/>
    </row>
    <row r="37" spans="1:27" ht="20" thickBot="1">
      <c r="A37" s="67"/>
      <c r="B37" s="67"/>
      <c r="C37" s="129" t="s">
        <v>68</v>
      </c>
      <c r="D37" s="130">
        <v>48767.3</v>
      </c>
      <c r="E37" s="67"/>
      <c r="F37" s="67"/>
      <c r="H37" s="77" t="s">
        <v>40</v>
      </c>
      <c r="I37" s="78" t="s">
        <v>9</v>
      </c>
      <c r="J37" s="78" t="s">
        <v>10</v>
      </c>
      <c r="K37" s="80" t="s">
        <v>7</v>
      </c>
      <c r="L37" s="80" t="s">
        <v>12</v>
      </c>
      <c r="M37" s="67"/>
      <c r="N37" s="67"/>
      <c r="O37" s="101" t="s">
        <v>69</v>
      </c>
      <c r="P37" s="94">
        <v>2.8619400000000001E-9</v>
      </c>
      <c r="Q37" s="95">
        <v>-8.5433400000000006</v>
      </c>
      <c r="R37" s="95">
        <v>-19.671766000000002</v>
      </c>
      <c r="S37" s="67"/>
      <c r="T37" s="67"/>
      <c r="U37" s="67"/>
      <c r="V37" s="67"/>
      <c r="W37" s="67"/>
      <c r="X37" s="67"/>
      <c r="Y37" s="67"/>
      <c r="Z37" s="67"/>
      <c r="AA37" s="67"/>
    </row>
    <row r="38" spans="1:27" ht="20" thickBot="1">
      <c r="A38" s="67"/>
      <c r="B38" s="67"/>
      <c r="C38" s="131" t="s">
        <v>70</v>
      </c>
      <c r="D38" s="132">
        <v>11.655659999999999</v>
      </c>
      <c r="E38" s="67"/>
      <c r="F38" s="67"/>
      <c r="H38" s="113">
        <v>2.42E-4</v>
      </c>
      <c r="I38" s="90">
        <f>H38*$H$7</f>
        <v>0.15185572600000002</v>
      </c>
      <c r="J38" s="90">
        <f>H38*$I$7</f>
        <v>0.63537100000000002</v>
      </c>
      <c r="K38" s="114">
        <f>H38*$F$7</f>
        <v>6.5849893999999996E-3</v>
      </c>
      <c r="L38" s="92">
        <f>H38*$K$7</f>
        <v>1.05512E-21</v>
      </c>
      <c r="M38" s="67"/>
      <c r="N38" s="67"/>
      <c r="O38" s="106" t="s">
        <v>71</v>
      </c>
      <c r="P38" s="94">
        <v>1.00071</v>
      </c>
      <c r="Q38" s="95">
        <v>3.1E-4</v>
      </c>
      <c r="R38" s="95">
        <v>7.1400000000000001E-4</v>
      </c>
      <c r="S38" s="67"/>
      <c r="T38" s="67"/>
      <c r="U38" s="67"/>
      <c r="V38" s="67"/>
      <c r="W38" s="67"/>
      <c r="X38" s="67"/>
      <c r="Y38" s="67"/>
      <c r="Z38" s="67"/>
      <c r="AA38" s="67"/>
    </row>
    <row r="39" spans="1:27" ht="19">
      <c r="A39" s="67"/>
      <c r="B39" s="67"/>
      <c r="C39" s="67"/>
      <c r="D39" s="67"/>
      <c r="E39" s="67"/>
      <c r="F39" s="67"/>
      <c r="J39" s="67"/>
      <c r="K39" s="67"/>
      <c r="L39" s="67"/>
      <c r="M39" s="67"/>
      <c r="N39" s="67"/>
      <c r="O39" s="133"/>
      <c r="P39" s="67"/>
      <c r="Q39" s="67"/>
      <c r="R39" s="67"/>
      <c r="S39" s="67"/>
      <c r="T39" s="67"/>
      <c r="U39" s="67"/>
      <c r="V39" s="67"/>
      <c r="W39" s="67"/>
      <c r="X39" s="67"/>
      <c r="Y39" s="67"/>
      <c r="Z39" s="67"/>
      <c r="AA39" s="67"/>
    </row>
    <row r="40" spans="1:27" ht="20" thickBot="1">
      <c r="A40" s="67"/>
      <c r="B40" s="67"/>
      <c r="C40" s="67"/>
      <c r="D40" s="67"/>
      <c r="E40" s="67"/>
      <c r="F40" s="67"/>
      <c r="J40" s="67"/>
      <c r="K40" s="67"/>
      <c r="L40" s="67"/>
      <c r="M40" s="67"/>
      <c r="N40" s="67"/>
      <c r="O40" s="133"/>
      <c r="P40" s="67"/>
      <c r="Q40" s="67"/>
      <c r="R40" s="67"/>
      <c r="S40" s="67"/>
      <c r="T40" s="67"/>
      <c r="U40" s="67"/>
      <c r="V40" s="67"/>
      <c r="W40" s="67"/>
      <c r="X40" s="67"/>
      <c r="Y40" s="67"/>
      <c r="Z40" s="67"/>
      <c r="AA40" s="67"/>
    </row>
    <row r="41" spans="1:27" ht="64" customHeight="1" thickBot="1">
      <c r="A41" s="67"/>
      <c r="B41" s="67"/>
      <c r="D41" s="134" t="s">
        <v>72</v>
      </c>
      <c r="E41" s="135" t="s">
        <v>73</v>
      </c>
      <c r="F41" s="136" t="s">
        <v>74</v>
      </c>
      <c r="G41" s="137" t="s">
        <v>75</v>
      </c>
      <c r="I41" s="67"/>
      <c r="J41" s="67"/>
      <c r="K41" s="67"/>
      <c r="L41" s="67"/>
      <c r="M41" s="67"/>
      <c r="N41" s="67"/>
      <c r="O41" s="67"/>
      <c r="P41" s="67"/>
      <c r="Q41" s="67"/>
      <c r="R41" s="67"/>
      <c r="S41" s="67"/>
      <c r="T41" s="67"/>
      <c r="U41" s="67"/>
      <c r="V41" s="67"/>
      <c r="W41" s="67"/>
      <c r="X41" s="67"/>
      <c r="Y41" s="67"/>
      <c r="Z41" s="67"/>
      <c r="AA41" s="67"/>
    </row>
    <row r="42" spans="1:27" ht="19">
      <c r="A42" s="67"/>
      <c r="B42" s="67"/>
      <c r="C42" s="344">
        <v>1</v>
      </c>
      <c r="D42" s="376">
        <v>2160.33</v>
      </c>
      <c r="E42" s="377">
        <v>1501.5064</v>
      </c>
      <c r="F42" s="161">
        <f>E42*$L$9</f>
        <v>45014110817520</v>
      </c>
      <c r="G42" s="347">
        <v>1.0993999999999999</v>
      </c>
      <c r="H42" s="140"/>
      <c r="K42" s="67"/>
      <c r="L42" s="67"/>
      <c r="M42" s="67"/>
      <c r="N42" s="67"/>
      <c r="O42" s="67"/>
      <c r="P42" s="67"/>
      <c r="Q42" s="67"/>
      <c r="R42" s="67"/>
      <c r="S42" s="67"/>
      <c r="T42" s="67"/>
      <c r="U42" s="67"/>
      <c r="V42" s="67"/>
      <c r="W42" s="67"/>
      <c r="X42" s="67"/>
      <c r="Y42" s="67"/>
      <c r="Z42" s="67"/>
      <c r="AA42" s="67"/>
    </row>
    <row r="43" spans="1:27" ht="19">
      <c r="B43" s="67"/>
      <c r="C43" s="348">
        <f>C42+1</f>
        <v>2</v>
      </c>
      <c r="D43" s="349">
        <v>4693.2700000000004</v>
      </c>
      <c r="E43" s="350">
        <v>3261.9922999999999</v>
      </c>
      <c r="F43" s="245">
        <f t="shared" ref="F43:F47" si="2">E43*$L$9</f>
        <v>97792245759390</v>
      </c>
      <c r="G43" s="351">
        <v>1.0427999999999999</v>
      </c>
      <c r="H43" s="140"/>
      <c r="K43" s="67"/>
      <c r="L43" s="67"/>
      <c r="M43" s="67"/>
      <c r="N43" s="67"/>
      <c r="O43" s="67"/>
      <c r="P43" s="67"/>
      <c r="Q43" s="67"/>
      <c r="R43" s="67"/>
      <c r="S43" s="67"/>
      <c r="T43" s="67"/>
      <c r="U43" s="67"/>
      <c r="V43" s="67"/>
      <c r="W43" s="67"/>
      <c r="X43" s="67"/>
      <c r="Y43" s="67"/>
      <c r="Z43" s="67"/>
      <c r="AA43" s="67"/>
    </row>
    <row r="44" spans="1:27" ht="20" thickBot="1">
      <c r="B44" s="67"/>
      <c r="C44" s="383">
        <f t="shared" ref="C44:C47" si="3">C43+1</f>
        <v>3</v>
      </c>
      <c r="D44" s="384">
        <v>4877.1000000000004</v>
      </c>
      <c r="E44" s="385">
        <v>3389.7557000000002</v>
      </c>
      <c r="F44" s="386">
        <f t="shared" si="2"/>
        <v>101622503057010</v>
      </c>
      <c r="G44" s="387">
        <v>1.0939000000000001</v>
      </c>
      <c r="H44" s="140"/>
      <c r="J44" s="142" t="s">
        <v>76</v>
      </c>
      <c r="M44" s="67"/>
      <c r="N44" s="67"/>
      <c r="O44" s="67"/>
      <c r="P44" s="67"/>
      <c r="Q44" s="67"/>
      <c r="R44" s="67"/>
      <c r="S44" s="67"/>
      <c r="T44" s="67"/>
      <c r="U44" s="67"/>
      <c r="V44" s="67"/>
      <c r="W44" s="67"/>
      <c r="X44" s="67"/>
      <c r="Y44" s="67"/>
      <c r="Z44" s="67"/>
      <c r="AA44" s="67"/>
    </row>
    <row r="45" spans="1:27" ht="20" thickBot="1">
      <c r="B45" s="67"/>
      <c r="C45" s="388"/>
      <c r="D45" s="389"/>
      <c r="E45" s="389"/>
      <c r="F45" s="390"/>
      <c r="G45" s="389"/>
      <c r="H45" s="140"/>
      <c r="J45" s="143">
        <v>1</v>
      </c>
      <c r="K45" s="305">
        <f>J45+1</f>
        <v>2</v>
      </c>
      <c r="L45" s="144">
        <f>K45+1</f>
        <v>3</v>
      </c>
      <c r="M45" s="144">
        <f>L45+1</f>
        <v>4</v>
      </c>
      <c r="N45" s="67"/>
      <c r="O45" s="67"/>
      <c r="P45" s="67"/>
      <c r="Q45" s="67"/>
      <c r="R45" s="67"/>
      <c r="S45" s="67"/>
      <c r="T45" s="67"/>
      <c r="U45" s="67"/>
      <c r="V45" s="67"/>
      <c r="W45" s="67"/>
      <c r="X45" s="67"/>
      <c r="Y45" s="67"/>
      <c r="Z45" s="67"/>
      <c r="AA45" s="67"/>
    </row>
    <row r="46" spans="1:27" ht="20" thickBot="1">
      <c r="C46" s="391"/>
      <c r="D46" s="392"/>
      <c r="E46" s="392"/>
      <c r="F46" s="393"/>
      <c r="G46" s="392"/>
      <c r="H46" s="140"/>
      <c r="J46" s="145">
        <v>-55.860119611899997</v>
      </c>
      <c r="K46" s="306">
        <v>-55.860346330299997</v>
      </c>
      <c r="L46" s="394">
        <v>-55.860361070000003</v>
      </c>
      <c r="M46" s="395">
        <v>-55.860361070000003</v>
      </c>
      <c r="N46" s="67"/>
      <c r="O46" s="67"/>
      <c r="P46" s="67"/>
      <c r="Q46" s="67"/>
      <c r="R46" s="67"/>
      <c r="S46" s="67"/>
      <c r="T46" s="67"/>
      <c r="U46" s="67"/>
      <c r="V46" s="67"/>
      <c r="W46" s="67"/>
      <c r="X46" s="67"/>
      <c r="Y46" s="67"/>
      <c r="Z46" s="67"/>
      <c r="AA46" s="67"/>
    </row>
    <row r="47" spans="1:27" ht="19">
      <c r="A47" s="67"/>
      <c r="C47" s="391"/>
      <c r="D47" s="392"/>
      <c r="E47" s="392"/>
      <c r="F47" s="393"/>
      <c r="G47" s="392"/>
      <c r="H47" s="140"/>
      <c r="K47" s="67"/>
      <c r="L47" s="67"/>
      <c r="M47" s="67"/>
      <c r="N47" s="67"/>
      <c r="O47" s="67"/>
      <c r="P47" s="67"/>
      <c r="Q47" s="67"/>
      <c r="R47" s="67"/>
      <c r="S47" s="67"/>
      <c r="T47" s="67"/>
      <c r="U47" s="67"/>
      <c r="V47" s="67"/>
      <c r="W47" s="67"/>
      <c r="X47" s="67"/>
      <c r="Y47" s="67"/>
      <c r="Z47" s="67"/>
      <c r="AA47" s="67"/>
    </row>
    <row r="48" spans="1:27" ht="19">
      <c r="A48" s="67"/>
      <c r="C48" s="140"/>
      <c r="D48" s="67"/>
      <c r="E48" s="67"/>
      <c r="F48" s="141"/>
      <c r="G48" s="67"/>
      <c r="H48" s="140"/>
      <c r="K48" s="67"/>
      <c r="L48" s="67"/>
      <c r="M48" s="67"/>
      <c r="N48" s="67"/>
      <c r="O48" s="67"/>
      <c r="P48" s="67"/>
      <c r="Q48" s="67"/>
      <c r="R48" s="67"/>
      <c r="S48" s="67"/>
      <c r="T48" s="67"/>
      <c r="U48" s="67"/>
      <c r="V48" s="67"/>
      <c r="W48" s="67"/>
      <c r="X48" s="67"/>
      <c r="Y48" s="67"/>
      <c r="Z48" s="67"/>
      <c r="AA48" s="67"/>
    </row>
    <row r="49" spans="1:27" ht="19">
      <c r="A49" s="67"/>
      <c r="B49" s="67"/>
      <c r="C49" s="140"/>
      <c r="D49" s="67"/>
      <c r="E49" s="67"/>
      <c r="F49" s="141"/>
      <c r="G49" s="67"/>
      <c r="H49" s="140"/>
      <c r="N49" s="67"/>
      <c r="O49" s="67"/>
      <c r="P49" s="67"/>
      <c r="Q49" s="67"/>
      <c r="R49" s="67"/>
      <c r="S49" s="67"/>
      <c r="T49" s="67"/>
      <c r="U49" s="67"/>
      <c r="V49" s="67"/>
      <c r="W49" s="67"/>
      <c r="X49" s="67"/>
      <c r="Y49" s="67"/>
      <c r="Z49" s="67"/>
      <c r="AA49" s="67"/>
    </row>
    <row r="50" spans="1:27" ht="19">
      <c r="A50" s="67"/>
      <c r="B50" s="67"/>
      <c r="C50" s="140"/>
      <c r="D50" s="67"/>
      <c r="E50" s="67"/>
      <c r="F50" s="141"/>
      <c r="G50" s="67"/>
      <c r="H50" s="140"/>
      <c r="K50" s="67"/>
      <c r="L50" s="67"/>
      <c r="M50" s="67"/>
      <c r="N50" s="67"/>
      <c r="O50" s="67"/>
      <c r="P50" s="67"/>
      <c r="Q50" s="67"/>
      <c r="R50" s="67"/>
      <c r="S50" s="67"/>
      <c r="T50" s="67"/>
      <c r="U50" s="67"/>
      <c r="V50" s="67"/>
      <c r="W50" s="67"/>
      <c r="X50" s="67"/>
      <c r="Y50" s="67"/>
      <c r="Z50" s="67"/>
      <c r="AA50" s="67"/>
    </row>
    <row r="51" spans="1:27" ht="19">
      <c r="A51" s="67"/>
      <c r="B51" s="67"/>
      <c r="C51" s="67"/>
      <c r="D51" s="67"/>
      <c r="E51" s="67"/>
      <c r="F51" s="67"/>
      <c r="G51" s="67"/>
      <c r="H51" s="67"/>
      <c r="K51" s="67"/>
      <c r="L51" s="67"/>
      <c r="M51" s="67"/>
      <c r="N51" s="67"/>
      <c r="O51" s="67"/>
      <c r="P51" s="67"/>
      <c r="Q51" s="67"/>
      <c r="R51" s="67"/>
      <c r="S51" s="67"/>
      <c r="T51" s="67"/>
      <c r="U51" s="67"/>
      <c r="V51" s="67"/>
      <c r="W51" s="67"/>
      <c r="X51" s="67"/>
      <c r="Y51" s="67"/>
      <c r="Z51" s="67"/>
      <c r="AA51" s="67"/>
    </row>
    <row r="52" spans="1:27" ht="19">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spans="1:27" ht="34" thickBot="1">
      <c r="A53" s="65" t="s">
        <v>159</v>
      </c>
      <c r="B53" s="65"/>
      <c r="C53" s="65"/>
      <c r="D53" s="65"/>
      <c r="E53" s="65"/>
      <c r="F53" s="65"/>
      <c r="G53" s="65"/>
      <c r="H53" s="65"/>
      <c r="I53" s="65"/>
      <c r="J53" s="65"/>
      <c r="K53" s="65"/>
      <c r="L53" s="65"/>
      <c r="M53" s="65"/>
      <c r="N53" s="65"/>
      <c r="O53" s="65"/>
      <c r="P53" s="65"/>
      <c r="Q53" s="65"/>
      <c r="R53" s="65"/>
      <c r="S53" s="65"/>
      <c r="T53" s="65"/>
      <c r="U53" s="65"/>
      <c r="V53" s="65"/>
      <c r="W53" s="67"/>
      <c r="X53" s="67"/>
      <c r="Y53" s="67"/>
      <c r="Z53" s="67"/>
      <c r="AA53" s="67"/>
    </row>
    <row r="54" spans="1:27" ht="20" thickTop="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spans="1:27" ht="19">
      <c r="A55" s="67"/>
      <c r="B55" s="67"/>
      <c r="C55" s="67"/>
      <c r="D55" s="67"/>
      <c r="E55" s="67"/>
      <c r="F55" s="67" t="s">
        <v>78</v>
      </c>
      <c r="G55" s="67"/>
      <c r="H55" s="67"/>
      <c r="I55" s="67"/>
      <c r="J55" s="67"/>
      <c r="K55" s="67"/>
      <c r="L55" s="67"/>
      <c r="M55" s="67"/>
      <c r="N55" s="67"/>
      <c r="O55" s="67"/>
      <c r="Q55" s="67"/>
      <c r="R55" s="67"/>
      <c r="S55" s="67"/>
      <c r="T55" s="67"/>
      <c r="U55" s="67"/>
      <c r="V55" s="67"/>
      <c r="W55" s="67"/>
      <c r="X55" s="67"/>
      <c r="Y55" s="67"/>
      <c r="Z55" s="67"/>
      <c r="AA55" s="67"/>
    </row>
    <row r="56" spans="1:27" ht="27">
      <c r="B56" s="67"/>
      <c r="C56" s="148" t="s">
        <v>79</v>
      </c>
      <c r="D56" s="149"/>
      <c r="E56" s="67"/>
      <c r="F56" s="67"/>
      <c r="G56" s="67"/>
      <c r="H56" s="67"/>
      <c r="I56" s="67"/>
      <c r="J56" s="67"/>
      <c r="K56" s="67"/>
      <c r="L56" s="67"/>
      <c r="M56" s="67"/>
      <c r="N56" s="67"/>
      <c r="O56" s="67"/>
      <c r="Q56" s="67"/>
      <c r="R56" s="67"/>
      <c r="S56" s="67"/>
      <c r="T56" s="67"/>
      <c r="U56" s="67"/>
      <c r="V56" s="67"/>
      <c r="W56" s="67"/>
      <c r="X56" s="67"/>
      <c r="Y56" s="67"/>
      <c r="Z56" s="67"/>
      <c r="AA56" s="67"/>
    </row>
    <row r="57" spans="1:27" ht="19">
      <c r="B57" s="67"/>
      <c r="C57" s="67"/>
      <c r="D57" s="67"/>
      <c r="E57" s="67"/>
      <c r="F57" s="67"/>
      <c r="G57" s="67"/>
      <c r="H57" s="67"/>
      <c r="I57" s="67"/>
      <c r="J57" s="67"/>
      <c r="K57" s="67"/>
      <c r="L57" s="67"/>
      <c r="M57" s="67"/>
      <c r="N57" s="67"/>
      <c r="O57" s="67"/>
      <c r="Q57" s="67"/>
      <c r="R57" s="67"/>
      <c r="S57" s="67"/>
      <c r="T57" s="67"/>
      <c r="U57" s="67"/>
      <c r="V57" s="67"/>
      <c r="W57" s="67"/>
      <c r="X57" s="67"/>
      <c r="Y57" s="67"/>
      <c r="Z57" s="67"/>
      <c r="AA57" s="67"/>
    </row>
    <row r="58" spans="1:27" ht="19">
      <c r="B58" s="67"/>
      <c r="C58" s="67"/>
      <c r="D58" s="67"/>
      <c r="E58" s="67"/>
      <c r="F58" s="67"/>
      <c r="G58" s="67"/>
      <c r="H58" s="67"/>
      <c r="I58" s="67"/>
      <c r="J58" s="67"/>
      <c r="K58" s="67"/>
      <c r="L58" s="67"/>
      <c r="M58" s="67"/>
      <c r="N58" s="67"/>
      <c r="O58" s="67"/>
      <c r="Q58" s="67"/>
      <c r="R58" s="67"/>
      <c r="S58" s="67"/>
      <c r="T58" s="67"/>
      <c r="U58" s="67"/>
      <c r="V58" s="67"/>
      <c r="W58" s="67"/>
      <c r="X58" s="67"/>
      <c r="Y58" s="67"/>
      <c r="Z58" s="67"/>
      <c r="AA58" s="67"/>
    </row>
    <row r="59" spans="1:27" ht="19">
      <c r="B59" s="67"/>
      <c r="D59" s="67"/>
      <c r="E59" s="67"/>
      <c r="F59" s="67"/>
      <c r="G59" s="67"/>
      <c r="H59" s="67"/>
      <c r="I59" s="67"/>
      <c r="J59" s="67"/>
      <c r="K59" s="67"/>
      <c r="L59" s="67"/>
      <c r="M59" s="67"/>
      <c r="N59" s="67"/>
      <c r="O59" s="67"/>
      <c r="Q59" s="67"/>
      <c r="R59" s="67"/>
      <c r="S59" s="67"/>
      <c r="T59" s="67"/>
      <c r="U59" s="67"/>
      <c r="V59" s="67"/>
      <c r="W59" s="67"/>
      <c r="X59" s="67"/>
      <c r="Y59" s="67"/>
      <c r="Z59" s="67"/>
      <c r="AA59" s="67"/>
    </row>
    <row r="60" spans="1:27" ht="19">
      <c r="B60" s="67"/>
      <c r="C60" s="67"/>
      <c r="D60" s="67"/>
      <c r="E60" s="67"/>
      <c r="F60" s="67"/>
      <c r="G60" s="67"/>
      <c r="H60" s="67"/>
      <c r="I60" s="67"/>
      <c r="J60" s="67"/>
      <c r="K60" s="67"/>
      <c r="L60" s="67"/>
      <c r="M60" s="67"/>
      <c r="N60" s="67"/>
      <c r="O60" s="67"/>
      <c r="Q60" s="67"/>
      <c r="R60" s="67"/>
      <c r="S60" s="67"/>
      <c r="T60" s="67"/>
      <c r="U60" s="67"/>
      <c r="V60" s="67"/>
      <c r="W60" s="67"/>
      <c r="X60" s="67"/>
      <c r="Y60" s="67"/>
      <c r="Z60" s="67"/>
      <c r="AA60" s="67"/>
    </row>
    <row r="61" spans="1:27" ht="19">
      <c r="B61" s="67"/>
      <c r="C61" s="67"/>
      <c r="D61" s="67"/>
      <c r="E61" s="67"/>
      <c r="F61" s="67"/>
      <c r="G61" s="67"/>
      <c r="H61" s="67"/>
      <c r="I61" s="67"/>
      <c r="J61" s="67"/>
      <c r="K61" s="67"/>
      <c r="L61" s="67"/>
      <c r="M61" s="67"/>
      <c r="N61" s="67"/>
      <c r="O61" s="67"/>
      <c r="Q61" s="67"/>
      <c r="R61" s="67"/>
      <c r="S61" s="67"/>
      <c r="T61" s="67"/>
      <c r="U61" s="67"/>
      <c r="V61" s="67"/>
      <c r="W61" s="67"/>
      <c r="X61" s="67"/>
      <c r="Y61" s="67"/>
      <c r="Z61" s="67"/>
      <c r="AA61" s="67"/>
    </row>
    <row r="62" spans="1:27" ht="19">
      <c r="B62" s="67"/>
      <c r="C62" s="67"/>
      <c r="D62" s="67"/>
      <c r="E62" s="67"/>
      <c r="F62" s="67"/>
      <c r="G62" s="67"/>
      <c r="H62" s="67"/>
      <c r="I62" s="67"/>
      <c r="J62" s="67"/>
      <c r="K62" s="67"/>
      <c r="L62" s="67"/>
      <c r="M62" s="67"/>
      <c r="N62" s="67"/>
      <c r="O62" s="67"/>
      <c r="Q62" s="67"/>
      <c r="R62" s="67"/>
      <c r="S62" s="67"/>
      <c r="T62" s="67"/>
      <c r="U62" s="67"/>
      <c r="V62" s="67"/>
      <c r="W62" s="67"/>
      <c r="X62" s="67"/>
      <c r="Y62" s="67"/>
      <c r="Z62" s="67"/>
      <c r="AA62" s="67"/>
    </row>
    <row r="63" spans="1:27" ht="20" thickBot="1">
      <c r="B63" s="67"/>
      <c r="C63" s="67"/>
      <c r="D63" s="67"/>
      <c r="E63" s="67"/>
      <c r="F63" s="67"/>
      <c r="G63" s="67"/>
      <c r="H63" s="67"/>
      <c r="I63" s="67"/>
      <c r="J63" s="67"/>
      <c r="K63" s="67"/>
      <c r="L63" s="67"/>
      <c r="M63" s="67"/>
      <c r="N63" s="67"/>
      <c r="O63" s="67"/>
      <c r="Q63" s="67"/>
      <c r="R63" s="67"/>
      <c r="S63" s="67"/>
      <c r="T63" s="67"/>
      <c r="U63" s="67"/>
      <c r="V63" s="67"/>
      <c r="W63" s="67"/>
      <c r="X63" s="67"/>
      <c r="Y63" s="67"/>
      <c r="Z63" s="67"/>
      <c r="AA63" s="67"/>
    </row>
    <row r="64" spans="1:27" ht="30" customHeight="1" thickBot="1">
      <c r="B64" s="67"/>
      <c r="C64" s="185" t="s">
        <v>80</v>
      </c>
      <c r="D64" s="307" t="s">
        <v>81</v>
      </c>
      <c r="E64" s="185" t="s">
        <v>82</v>
      </c>
      <c r="F64" s="67"/>
      <c r="G64" s="67"/>
      <c r="H64" s="152" t="s">
        <v>83</v>
      </c>
      <c r="I64" s="153"/>
      <c r="J64" s="153"/>
      <c r="K64" s="153"/>
      <c r="L64" s="153"/>
      <c r="M64" s="153"/>
      <c r="N64" s="153"/>
      <c r="O64" s="67"/>
      <c r="Q64" s="67"/>
      <c r="R64" s="67"/>
      <c r="S64" s="67"/>
      <c r="T64" s="67"/>
      <c r="U64" s="67"/>
      <c r="V64" s="67"/>
      <c r="W64" s="67"/>
      <c r="X64" s="67"/>
      <c r="Y64" s="67"/>
      <c r="Z64" s="67"/>
      <c r="AA64" s="67"/>
    </row>
    <row r="65" spans="2:27" ht="20" thickBot="1">
      <c r="B65" s="67"/>
      <c r="C65" s="110">
        <v>298.14999999999998</v>
      </c>
      <c r="D65" s="308">
        <f t="shared" ref="D65:D83" si="4">C65*$B$8/$B$16</f>
        <v>4.0625788058228471E-26</v>
      </c>
      <c r="E65" s="309">
        <f xml:space="preserve"> (2*PI()*$A$28*$U$9*$B$8*C65/($B$14^2))^(3/2)*D65</f>
        <v>2518751.9470435334</v>
      </c>
      <c r="F65" s="141"/>
      <c r="G65" s="67"/>
      <c r="H65" s="67"/>
      <c r="I65" s="67"/>
      <c r="J65" s="67"/>
      <c r="K65" s="67"/>
      <c r="L65" s="67"/>
      <c r="M65" s="67"/>
      <c r="N65" s="67"/>
      <c r="O65" s="67"/>
      <c r="Q65" s="67"/>
      <c r="R65" s="67"/>
      <c r="S65" s="67"/>
      <c r="T65" s="67"/>
      <c r="U65" s="67"/>
      <c r="V65" s="67"/>
      <c r="W65" s="67"/>
      <c r="X65" s="67"/>
      <c r="Y65" s="67"/>
      <c r="Z65" s="67"/>
      <c r="AA65" s="67"/>
    </row>
    <row r="66" spans="2:27" ht="20" thickBot="1">
      <c r="B66" s="67"/>
      <c r="C66" s="154">
        <v>300</v>
      </c>
      <c r="D66" s="155">
        <f t="shared" si="4"/>
        <v>4.0877868245743891E-26</v>
      </c>
      <c r="E66" s="156">
        <f xml:space="preserve"> (2*PI()*$A$28*$U$9*$B$8*C66/($B$14^2))^(3/2)*D66</f>
        <v>2558005.664168728</v>
      </c>
      <c r="F66" s="67"/>
      <c r="G66" s="67"/>
      <c r="L66" s="150" t="s">
        <v>84</v>
      </c>
      <c r="M66" s="67"/>
      <c r="N66" s="67"/>
      <c r="O66" s="67"/>
      <c r="Q66" s="67"/>
      <c r="R66" s="67"/>
      <c r="S66" s="67"/>
      <c r="T66" s="67"/>
      <c r="U66" s="67"/>
      <c r="V66" s="67"/>
      <c r="W66" s="67"/>
      <c r="X66" s="67"/>
      <c r="Y66" s="67"/>
      <c r="Z66" s="67"/>
      <c r="AA66" s="67"/>
    </row>
    <row r="67" spans="2:27" ht="19">
      <c r="B67" s="67"/>
      <c r="C67" s="157">
        <f>C66+100</f>
        <v>400</v>
      </c>
      <c r="D67" s="158">
        <f t="shared" si="4"/>
        <v>5.4503824327658529E-26</v>
      </c>
      <c r="E67" s="159">
        <f t="shared" ref="E67:E83" si="5" xml:space="preserve"> (2*PI()*$A$28*$U$9*$B$8*C67/($B$14^2))^(3/2)*D67</f>
        <v>5251076.4757205164</v>
      </c>
      <c r="F67" s="67"/>
      <c r="G67" s="67"/>
      <c r="K67" s="160" t="s">
        <v>85</v>
      </c>
      <c r="L67" s="161">
        <f>$E$65</f>
        <v>2518751.9470435334</v>
      </c>
      <c r="M67" s="67"/>
      <c r="N67" s="67"/>
      <c r="O67" s="67"/>
      <c r="Q67" s="67"/>
      <c r="R67" s="67"/>
      <c r="S67" s="67"/>
      <c r="T67" s="67"/>
      <c r="U67" s="67"/>
      <c r="V67" s="67"/>
      <c r="W67" s="67"/>
      <c r="X67" s="67"/>
      <c r="Y67" s="67"/>
      <c r="Z67" s="67"/>
      <c r="AA67" s="67"/>
    </row>
    <row r="68" spans="2:27" ht="20" thickBot="1">
      <c r="B68" s="67"/>
      <c r="C68" s="157">
        <f t="shared" ref="C68:C83" si="6">C67+100</f>
        <v>500</v>
      </c>
      <c r="D68" s="158">
        <f t="shared" si="4"/>
        <v>6.812978040957315E-26</v>
      </c>
      <c r="E68" s="159">
        <f t="shared" si="5"/>
        <v>9173253.0896571595</v>
      </c>
      <c r="F68" s="67"/>
      <c r="G68" s="67"/>
      <c r="K68" s="162" t="s">
        <v>86</v>
      </c>
      <c r="L68" s="163">
        <f>P33</f>
        <v>2519980</v>
      </c>
      <c r="M68" s="67"/>
      <c r="N68" s="67"/>
      <c r="O68" s="67"/>
      <c r="Q68" s="67"/>
      <c r="R68" s="67"/>
      <c r="S68" s="67"/>
      <c r="T68" s="67"/>
      <c r="U68" s="67"/>
      <c r="V68" s="67"/>
      <c r="W68" s="67"/>
      <c r="X68" s="67"/>
      <c r="Y68" s="67"/>
      <c r="Z68" s="67"/>
      <c r="AA68" s="67"/>
    </row>
    <row r="69" spans="2:27" ht="22">
      <c r="B69" s="67"/>
      <c r="C69" s="157">
        <f t="shared" si="6"/>
        <v>600</v>
      </c>
      <c r="D69" s="158">
        <f t="shared" si="4"/>
        <v>8.1755736491487783E-26</v>
      </c>
      <c r="E69" s="159">
        <f t="shared" si="5"/>
        <v>14470265.211578485</v>
      </c>
      <c r="F69" s="67"/>
      <c r="G69" s="67"/>
      <c r="H69" s="67"/>
      <c r="I69" s="67"/>
      <c r="K69" s="164" t="s">
        <v>87</v>
      </c>
      <c r="L69" s="165">
        <f>ABS(L67-L68)/L67</f>
        <v>4.8756407232082935E-4</v>
      </c>
      <c r="M69" s="67"/>
      <c r="N69" s="67"/>
      <c r="O69" s="67"/>
      <c r="Q69" s="67"/>
      <c r="R69" s="67"/>
      <c r="S69" s="67"/>
      <c r="T69" s="67"/>
      <c r="U69" s="67"/>
      <c r="V69" s="67"/>
      <c r="W69" s="67"/>
      <c r="X69" s="67"/>
      <c r="Y69" s="67"/>
      <c r="Z69" s="67"/>
      <c r="AA69" s="67"/>
    </row>
    <row r="70" spans="2:27" ht="19">
      <c r="B70" s="67"/>
      <c r="C70" s="157">
        <f t="shared" si="6"/>
        <v>700</v>
      </c>
      <c r="D70" s="158">
        <f t="shared" si="4"/>
        <v>9.5381692573402415E-26</v>
      </c>
      <c r="E70" s="159">
        <f t="shared" si="5"/>
        <v>21273721.282398958</v>
      </c>
      <c r="F70" s="67"/>
      <c r="G70" s="67"/>
      <c r="Q70" s="67"/>
      <c r="R70" s="67"/>
      <c r="S70" s="67"/>
      <c r="T70" s="67"/>
      <c r="U70" s="67"/>
      <c r="V70" s="67"/>
      <c r="W70" s="67"/>
      <c r="X70" s="67"/>
      <c r="Y70" s="67"/>
      <c r="Z70" s="67"/>
      <c r="AA70" s="67"/>
    </row>
    <row r="71" spans="2:27" ht="19">
      <c r="B71" s="67"/>
      <c r="C71" s="157">
        <f t="shared" si="6"/>
        <v>800</v>
      </c>
      <c r="D71" s="158">
        <f t="shared" si="4"/>
        <v>1.0900764865531706E-25</v>
      </c>
      <c r="E71" s="159">
        <f t="shared" si="5"/>
        <v>29704574.276089154</v>
      </c>
      <c r="F71" s="67"/>
      <c r="G71" s="67"/>
      <c r="Q71" s="67"/>
      <c r="R71" s="67"/>
      <c r="S71" s="67"/>
      <c r="T71" s="67"/>
      <c r="U71" s="67"/>
      <c r="V71" s="67"/>
      <c r="W71" s="67"/>
      <c r="X71" s="67"/>
      <c r="Y71" s="67"/>
      <c r="Z71" s="67"/>
      <c r="AA71" s="67"/>
    </row>
    <row r="72" spans="2:27" ht="19">
      <c r="B72" s="67"/>
      <c r="C72" s="157">
        <f t="shared" si="6"/>
        <v>900</v>
      </c>
      <c r="D72" s="158">
        <f t="shared" si="4"/>
        <v>1.2263360473723168E-25</v>
      </c>
      <c r="E72" s="159">
        <f t="shared" si="5"/>
        <v>39875361.987503298</v>
      </c>
      <c r="F72" s="67"/>
      <c r="G72" s="67"/>
      <c r="Q72" s="67"/>
      <c r="R72" s="67"/>
      <c r="S72" s="67"/>
      <c r="T72" s="67"/>
      <c r="U72" s="67"/>
      <c r="V72" s="67"/>
      <c r="W72" s="67"/>
      <c r="X72" s="67"/>
      <c r="Y72" s="67"/>
      <c r="Z72" s="67"/>
      <c r="AA72" s="67"/>
    </row>
    <row r="73" spans="2:27" ht="19">
      <c r="C73" s="157">
        <f t="shared" si="6"/>
        <v>1000</v>
      </c>
      <c r="D73" s="158">
        <f t="shared" si="4"/>
        <v>1.362595608191463E-25</v>
      </c>
      <c r="E73" s="159">
        <f t="shared" si="5"/>
        <v>51891755.72189635</v>
      </c>
    </row>
    <row r="74" spans="2:27" ht="19">
      <c r="C74" s="157">
        <f t="shared" si="6"/>
        <v>1100</v>
      </c>
      <c r="D74" s="158">
        <f t="shared" si="4"/>
        <v>1.4988551690106094E-25</v>
      </c>
      <c r="E74" s="159">
        <f t="shared" si="5"/>
        <v>65853684.383333303</v>
      </c>
    </row>
    <row r="75" spans="2:27" ht="19">
      <c r="C75" s="157">
        <f t="shared" si="6"/>
        <v>1200</v>
      </c>
      <c r="D75" s="158">
        <f t="shared" si="4"/>
        <v>1.6351147298297557E-25</v>
      </c>
      <c r="E75" s="159">
        <f t="shared" si="5"/>
        <v>81856181.253399745</v>
      </c>
    </row>
    <row r="76" spans="2:27" ht="19">
      <c r="C76" s="157">
        <f t="shared" si="6"/>
        <v>1300</v>
      </c>
      <c r="D76" s="158">
        <f t="shared" si="4"/>
        <v>1.7713742906489019E-25</v>
      </c>
      <c r="E76" s="159">
        <f t="shared" si="5"/>
        <v>99990040.840508208</v>
      </c>
    </row>
    <row r="77" spans="2:27" ht="19">
      <c r="C77" s="157">
        <f t="shared" si="6"/>
        <v>1400</v>
      </c>
      <c r="D77" s="158">
        <f t="shared" si="4"/>
        <v>1.9076338514680483E-25</v>
      </c>
      <c r="E77" s="159">
        <f t="shared" si="5"/>
        <v>120342340.63885535</v>
      </c>
    </row>
    <row r="78" spans="2:27" ht="19">
      <c r="C78" s="157">
        <f t="shared" si="6"/>
        <v>1500</v>
      </c>
      <c r="D78" s="158">
        <f t="shared" si="4"/>
        <v>2.043893412287195E-25</v>
      </c>
      <c r="E78" s="159">
        <f t="shared" si="5"/>
        <v>142996863.79777098</v>
      </c>
    </row>
    <row r="79" spans="2:27" ht="19">
      <c r="C79" s="157">
        <f t="shared" si="6"/>
        <v>1600</v>
      </c>
      <c r="D79" s="158">
        <f t="shared" si="4"/>
        <v>2.1801529731063412E-25</v>
      </c>
      <c r="E79" s="159">
        <f t="shared" si="5"/>
        <v>168034447.22305748</v>
      </c>
    </row>
    <row r="80" spans="2:27" ht="19">
      <c r="C80" s="157">
        <f t="shared" si="6"/>
        <v>1700</v>
      </c>
      <c r="D80" s="158">
        <f t="shared" si="4"/>
        <v>2.3164125339254876E-25</v>
      </c>
      <c r="E80" s="159">
        <f t="shared" si="5"/>
        <v>195533272.33575085</v>
      </c>
    </row>
    <row r="81" spans="3:26" ht="19">
      <c r="C81" s="157">
        <f t="shared" si="6"/>
        <v>1800</v>
      </c>
      <c r="D81" s="158">
        <f t="shared" si="4"/>
        <v>2.4526720947446336E-25</v>
      </c>
      <c r="E81" s="159">
        <f t="shared" si="5"/>
        <v>225569110.90905237</v>
      </c>
    </row>
    <row r="82" spans="3:26" ht="19">
      <c r="C82" s="157">
        <f t="shared" si="6"/>
        <v>1900</v>
      </c>
      <c r="D82" s="158">
        <f t="shared" si="4"/>
        <v>2.58893165556378E-25</v>
      </c>
      <c r="E82" s="159">
        <f t="shared" si="5"/>
        <v>258215535.14348531</v>
      </c>
    </row>
    <row r="83" spans="3:26" ht="20" thickBot="1">
      <c r="C83" s="166">
        <f t="shared" si="6"/>
        <v>2000</v>
      </c>
      <c r="D83" s="167">
        <f t="shared" si="4"/>
        <v>2.725191216382926E-25</v>
      </c>
      <c r="E83" s="168">
        <f t="shared" si="5"/>
        <v>293544098.86903071</v>
      </c>
    </row>
    <row r="92" spans="3:26" ht="22" customHeight="1">
      <c r="F92" s="67" t="s">
        <v>78</v>
      </c>
      <c r="Y92" s="67" t="s">
        <v>78</v>
      </c>
    </row>
    <row r="93" spans="3:26" ht="27">
      <c r="C93" s="148" t="s">
        <v>88</v>
      </c>
      <c r="D93" s="169"/>
      <c r="E93" s="67"/>
      <c r="F93" s="67"/>
      <c r="G93" s="67"/>
      <c r="U93" s="170" t="s">
        <v>89</v>
      </c>
      <c r="V93" s="170"/>
      <c r="W93" s="170"/>
      <c r="X93" s="67"/>
      <c r="Y93" s="67"/>
      <c r="Z93" s="67"/>
    </row>
    <row r="94" spans="3:26" ht="19">
      <c r="E94" s="67"/>
      <c r="G94" s="67"/>
      <c r="X94" s="67"/>
      <c r="Z94" s="67"/>
    </row>
    <row r="95" spans="3:26" ht="20" thickBot="1">
      <c r="E95" s="67"/>
      <c r="F95" s="67"/>
      <c r="G95" s="67"/>
    </row>
    <row r="96" spans="3:26" ht="20" thickBot="1">
      <c r="C96" s="171" t="s">
        <v>90</v>
      </c>
      <c r="E96" s="67"/>
      <c r="F96" s="67"/>
      <c r="G96" s="67"/>
    </row>
    <row r="97" spans="3:34" ht="22" thickBot="1">
      <c r="C97" s="172" t="s">
        <v>91</v>
      </c>
      <c r="D97" s="356" cm="1">
        <f t="array" ref="D97">INDEX($E:$E,(COLUMN(D97)-4)*1+42)</f>
        <v>1501.5064</v>
      </c>
      <c r="E97" s="356" cm="1">
        <f t="array" ref="E97">INDEX($E:$E,(COLUMN(E97)-4)*1+42)</f>
        <v>3261.9922999999999</v>
      </c>
      <c r="F97" s="356" cm="1">
        <f t="array" ref="F97">INDEX($E:$E,(COLUMN(F97)-4)*1+42)</f>
        <v>3389.7557000000002</v>
      </c>
      <c r="G97" s="396"/>
      <c r="H97" s="397"/>
      <c r="I97" s="397"/>
      <c r="J97" s="67"/>
      <c r="K97" s="67"/>
      <c r="L97" s="67"/>
      <c r="M97" s="176" t="s">
        <v>93</v>
      </c>
      <c r="N97" s="177" cm="1">
        <f t="array" ref="N97">SUM(($B$14*$D$98:$I$98)/2)*$H$13</f>
        <v>11.661136164697025</v>
      </c>
    </row>
    <row r="98" spans="3:34" ht="20" thickBot="1">
      <c r="C98" s="174" t="s">
        <v>92</v>
      </c>
      <c r="D98" s="290">
        <f>D97*$L$9</f>
        <v>45014110817520</v>
      </c>
      <c r="E98" s="290">
        <f t="shared" ref="E98:I98" si="7">E97*$L$9</f>
        <v>97792245759390</v>
      </c>
      <c r="F98" s="290">
        <f t="shared" si="7"/>
        <v>101622503057010</v>
      </c>
      <c r="G98" s="398"/>
      <c r="H98" s="399"/>
      <c r="I98" s="399"/>
      <c r="J98" s="141"/>
      <c r="K98" s="141"/>
      <c r="L98" s="141"/>
    </row>
    <row r="99" spans="3:34" ht="17" thickBot="1"/>
    <row r="100" spans="3:34" ht="30" customHeight="1" thickBot="1">
      <c r="C100" s="400" t="s">
        <v>154</v>
      </c>
      <c r="D100" s="401"/>
      <c r="E100" s="401"/>
      <c r="F100" s="401"/>
      <c r="G100" s="180" t="s">
        <v>95</v>
      </c>
      <c r="H100" s="403"/>
      <c r="I100" s="403"/>
    </row>
    <row r="101" spans="3:34" ht="38" customHeight="1" thickBot="1">
      <c r="C101" s="181" t="s">
        <v>96</v>
      </c>
      <c r="D101" s="221">
        <v>1</v>
      </c>
      <c r="E101" s="360">
        <f t="shared" ref="E101:I101" si="8">D101+1</f>
        <v>2</v>
      </c>
      <c r="F101" s="378">
        <f t="shared" si="8"/>
        <v>3</v>
      </c>
      <c r="G101" s="183"/>
      <c r="H101" s="404"/>
      <c r="I101" s="404"/>
      <c r="L101" s="152" t="s">
        <v>83</v>
      </c>
      <c r="M101" s="153"/>
      <c r="N101" s="153"/>
      <c r="O101" s="153"/>
      <c r="P101" s="153"/>
      <c r="Q101" s="67"/>
      <c r="U101" s="185" t="s">
        <v>80</v>
      </c>
      <c r="V101" s="186" t="s">
        <v>97</v>
      </c>
      <c r="W101" s="187" t="s">
        <v>98</v>
      </c>
      <c r="X101" s="187" t="s">
        <v>149</v>
      </c>
      <c r="Y101" s="188" t="s">
        <v>100</v>
      </c>
      <c r="Z101" s="189" t="s">
        <v>101</v>
      </c>
      <c r="AB101" s="190" t="s">
        <v>83</v>
      </c>
      <c r="AC101" s="190"/>
      <c r="AD101" s="190"/>
      <c r="AE101" s="190"/>
      <c r="AF101" s="190"/>
      <c r="AG101" s="190"/>
      <c r="AH101" s="190"/>
    </row>
    <row r="102" spans="3:34" ht="20" thickBot="1">
      <c r="C102" s="176">
        <v>298.14999999999998</v>
      </c>
      <c r="D102" s="362">
        <f>1/(1-EXP(-($B$14*D$98)/($B$8*$C102)))</f>
        <v>1.0007136746110594</v>
      </c>
      <c r="E102" s="379">
        <f t="shared" ref="E102:I103" si="9">1/(1-EXP(-($B$14*E$98)/($B$8*$C102)))</f>
        <v>1.0000001457537877</v>
      </c>
      <c r="F102" s="402">
        <f t="shared" si="9"/>
        <v>1.0000000786787282</v>
      </c>
      <c r="G102" s="314">
        <f xml:space="preserve"> PRODUCT(D102:F102)</f>
        <v>1.0007138992037585</v>
      </c>
      <c r="H102" s="405"/>
      <c r="I102" s="405"/>
      <c r="U102" s="176">
        <v>298.14999999999998</v>
      </c>
      <c r="V102" s="194">
        <f>$E65</f>
        <v>2518751.9470435334</v>
      </c>
      <c r="W102" s="195" t="e" cm="1">
        <f t="array" ref="W102">PRODUCT(EXP(-($B$14*$D$98:$I$98)/(2*$B$8*$U102))/(1-EXP(-($B$14*$D$98:$I$98)/($B$8*$U102))))</f>
        <v>#DIV/0!</v>
      </c>
      <c r="X102" s="196">
        <f>$E137</f>
        <v>53.649596568860034</v>
      </c>
      <c r="Y102" s="197">
        <f>$D175</f>
        <v>2</v>
      </c>
      <c r="Z102" s="198" t="e">
        <f>PRODUCT(V102:Y102)</f>
        <v>#DIV/0!</v>
      </c>
    </row>
    <row r="103" spans="3:34" ht="22" thickBot="1">
      <c r="C103" s="199">
        <v>300</v>
      </c>
      <c r="D103" s="367">
        <f>1/(1-EXP(-($B$14*D$98)/($B$8*$C103)))</f>
        <v>1.0007463108168049</v>
      </c>
      <c r="E103" s="367">
        <f t="shared" si="9"/>
        <v>1.0000001606118314</v>
      </c>
      <c r="F103" s="315">
        <f t="shared" si="9"/>
        <v>1.0000000870294452</v>
      </c>
      <c r="G103" s="316">
        <f t="shared" ref="G103:G120" si="10" xml:space="preserve"> PRODUCT(D103:F103)</f>
        <v>1.0007465586429127</v>
      </c>
      <c r="H103" s="405"/>
      <c r="I103" s="405"/>
      <c r="N103" s="150" t="s">
        <v>102</v>
      </c>
      <c r="O103" s="226" t="s">
        <v>103</v>
      </c>
      <c r="P103" s="369" t="s">
        <v>104</v>
      </c>
      <c r="U103" s="199">
        <v>300</v>
      </c>
      <c r="V103" s="202">
        <f t="shared" ref="V103:V120" si="11">$E66</f>
        <v>2558005.664168728</v>
      </c>
      <c r="W103" s="67" t="e" cm="1">
        <f t="array" ref="W103">PRODUCT(EXP(-($B$14*$D$98:$I$98)/(2*$B$8*$U103))/(1-EXP(-($B$14*$D$98:$I$98)/($B$8*$U103))))</f>
        <v>#DIV/0!</v>
      </c>
      <c r="X103" s="141">
        <f t="shared" ref="X103:X120" si="12">$E138</f>
        <v>54.149708378468695</v>
      </c>
      <c r="Y103" s="203">
        <f t="shared" ref="Y103:Y120" si="13">$D176</f>
        <v>2</v>
      </c>
      <c r="Z103" s="317" t="e">
        <f t="shared" ref="Z103:Z120" si="14">PRODUCT(V103:Y103)</f>
        <v>#DIV/0!</v>
      </c>
    </row>
    <row r="104" spans="3:34" ht="20" thickBot="1">
      <c r="C104" s="204">
        <f>C103+100</f>
        <v>400</v>
      </c>
      <c r="D104" s="367">
        <f t="shared" ref="D104:I120" si="15">1/(1-EXP(-($B$14*D$98)/($B$8*$C104)))</f>
        <v>1.0045332652044123</v>
      </c>
      <c r="E104" s="367">
        <f t="shared" si="15"/>
        <v>1.0000080229961279</v>
      </c>
      <c r="F104" s="315">
        <f t="shared" si="15"/>
        <v>1.000005067010836</v>
      </c>
      <c r="G104" s="316">
        <f t="shared" si="10"/>
        <v>1.0045464145926861</v>
      </c>
      <c r="H104" s="405"/>
      <c r="I104" s="405"/>
      <c r="M104" s="160" t="s">
        <v>85</v>
      </c>
      <c r="N104" s="161">
        <f>G102</f>
        <v>1.0007138992037585</v>
      </c>
      <c r="O104" s="370">
        <f>G124</f>
        <v>2.8618289964342187E-9</v>
      </c>
      <c r="P104" s="206">
        <f>N97</f>
        <v>11.661136164697025</v>
      </c>
      <c r="U104" s="204">
        <f>U103+100</f>
        <v>400</v>
      </c>
      <c r="V104" s="202">
        <f t="shared" si="11"/>
        <v>5251076.4757205164</v>
      </c>
      <c r="W104" s="67" t="e" cm="1">
        <f t="array" ref="W104">PRODUCT(EXP(-($B$14*$D$98:$I$98)/(2*$B$8*$U104))/(1-EXP(-($B$14*$D$98:$I$98)/($B$8*$U104))))</f>
        <v>#DIV/0!</v>
      </c>
      <c r="X104" s="141">
        <f t="shared" si="12"/>
        <v>83.368929890263047</v>
      </c>
      <c r="Y104" s="203">
        <f t="shared" si="13"/>
        <v>2</v>
      </c>
      <c r="Z104" s="317" t="e">
        <f t="shared" si="14"/>
        <v>#DIV/0!</v>
      </c>
    </row>
    <row r="105" spans="3:34" ht="23" thickBot="1">
      <c r="C105" s="204">
        <f t="shared" ref="C105:C120" si="16">C104+100</f>
        <v>500</v>
      </c>
      <c r="D105" s="367">
        <f t="shared" si="15"/>
        <v>1.0134700234142131</v>
      </c>
      <c r="E105" s="367">
        <f t="shared" si="15"/>
        <v>1.0000838499663536</v>
      </c>
      <c r="F105" s="315">
        <f t="shared" si="15"/>
        <v>1.0000580530333796</v>
      </c>
      <c r="G105" s="316">
        <f t="shared" si="10"/>
        <v>1.0136138427839887</v>
      </c>
      <c r="H105" s="405"/>
      <c r="I105" s="405"/>
      <c r="M105" s="162" t="s">
        <v>86</v>
      </c>
      <c r="N105" s="163">
        <f>P38</f>
        <v>1.00071</v>
      </c>
      <c r="O105" s="371">
        <f>P37</f>
        <v>2.8619400000000001E-9</v>
      </c>
      <c r="P105" s="318">
        <f>D38</f>
        <v>11.655659999999999</v>
      </c>
      <c r="U105" s="204">
        <f t="shared" ref="U105:U120" si="17">U104+100</f>
        <v>500</v>
      </c>
      <c r="V105" s="202">
        <f t="shared" si="11"/>
        <v>9173253.0896571595</v>
      </c>
      <c r="W105" s="67" t="e" cm="1">
        <f t="array" ref="W105">PRODUCT(EXP(-($B$14*$D$98:$I$98)/(2*$B$8*$U105))/(1-EXP(-($B$14*$D$98:$I$98)/($B$8*$U105))))</f>
        <v>#DIV/0!</v>
      </c>
      <c r="X105" s="141">
        <f t="shared" si="12"/>
        <v>116.51162152877644</v>
      </c>
      <c r="Y105" s="203">
        <f t="shared" si="13"/>
        <v>2</v>
      </c>
      <c r="Z105" s="317" t="e">
        <f t="shared" si="14"/>
        <v>#DIV/0!</v>
      </c>
      <c r="AE105" s="150" t="s">
        <v>84</v>
      </c>
      <c r="AF105" s="380" t="s">
        <v>155</v>
      </c>
      <c r="AG105" s="381" t="s">
        <v>106</v>
      </c>
    </row>
    <row r="106" spans="3:34" ht="23" thickBot="1">
      <c r="C106" s="204">
        <f t="shared" si="16"/>
        <v>600</v>
      </c>
      <c r="D106" s="367">
        <f t="shared" si="15"/>
        <v>1.0280751929132255</v>
      </c>
      <c r="E106" s="367">
        <f t="shared" si="15"/>
        <v>1.0004009247034809</v>
      </c>
      <c r="F106" s="315">
        <f t="shared" si="15"/>
        <v>1.0002950945762441</v>
      </c>
      <c r="G106" s="316">
        <f t="shared" si="10"/>
        <v>1.0287908747008012</v>
      </c>
      <c r="H106" s="405"/>
      <c r="I106" s="405"/>
      <c r="M106" s="164" t="s">
        <v>87</v>
      </c>
      <c r="N106" s="165">
        <f>ABS(N104-N105)/N104</f>
        <v>3.8964221059005617E-6</v>
      </c>
      <c r="O106" s="165">
        <f t="shared" ref="O106:P106" si="18">ABS(O104-O105)/O104</f>
        <v>3.8787630539689797E-5</v>
      </c>
      <c r="P106" s="165">
        <f t="shared" si="18"/>
        <v>4.6960815993249221E-4</v>
      </c>
      <c r="U106" s="204">
        <f t="shared" si="17"/>
        <v>600</v>
      </c>
      <c r="V106" s="202">
        <f t="shared" si="11"/>
        <v>14470265.211578485</v>
      </c>
      <c r="W106" s="67" t="e" cm="1">
        <f t="array" ref="W106">PRODUCT(EXP(-($B$14*$D$98:$I$98)/(2*$B$8*$U106))/(1-EXP(-($B$14*$D$98:$I$98)/($B$8*$U106))))</f>
        <v>#DIV/0!</v>
      </c>
      <c r="X106" s="141">
        <f t="shared" si="12"/>
        <v>153.15850397475677</v>
      </c>
      <c r="Y106" s="203">
        <f t="shared" si="13"/>
        <v>2</v>
      </c>
      <c r="Z106" s="317" t="e">
        <f t="shared" si="14"/>
        <v>#DIV/0!</v>
      </c>
      <c r="AD106" s="160" t="s">
        <v>85</v>
      </c>
      <c r="AE106" s="161" t="e">
        <f>Z102</f>
        <v>#DIV/0!</v>
      </c>
      <c r="AF106" s="302" t="e">
        <f>D137*V102*W102*Y102</f>
        <v>#DIV/0!</v>
      </c>
      <c r="AG106" s="210">
        <f>V103*X103*Y103*G103</f>
        <v>277237341.02058482</v>
      </c>
    </row>
    <row r="107" spans="3:34" ht="20" thickBot="1">
      <c r="C107" s="204">
        <f t="shared" si="16"/>
        <v>700</v>
      </c>
      <c r="D107" s="367">
        <f t="shared" si="15"/>
        <v>1.0478616693453069</v>
      </c>
      <c r="E107" s="367">
        <f t="shared" si="15"/>
        <v>1.0012266558808594</v>
      </c>
      <c r="F107" s="315">
        <f t="shared" si="15"/>
        <v>1.0009430875939243</v>
      </c>
      <c r="G107" s="316">
        <f t="shared" si="10"/>
        <v>1.0501364725772702</v>
      </c>
      <c r="H107" s="405"/>
      <c r="I107" s="405"/>
      <c r="U107" s="204">
        <f t="shared" si="17"/>
        <v>700</v>
      </c>
      <c r="V107" s="202">
        <f t="shared" si="11"/>
        <v>21273721.282398958</v>
      </c>
      <c r="W107" s="67" t="e" cm="1">
        <f t="array" ref="W107">PRODUCT(EXP(-($B$14*$D$98:$I$98)/(2*$B$8*$U107))/(1-EXP(-($B$14*$D$98:$I$98)/($B$8*$U107))))</f>
        <v>#DIV/0!</v>
      </c>
      <c r="X107" s="141">
        <f t="shared" si="12"/>
        <v>193.00177361431327</v>
      </c>
      <c r="Y107" s="203">
        <f t="shared" si="13"/>
        <v>2</v>
      </c>
      <c r="Z107" s="317" t="e">
        <f t="shared" si="14"/>
        <v>#DIV/0!</v>
      </c>
      <c r="AD107" s="162" t="s">
        <v>86</v>
      </c>
      <c r="AE107" s="163">
        <f>$P35</f>
        <v>0.77384500000000001</v>
      </c>
      <c r="AF107" s="163">
        <f>$P35</f>
        <v>0.77384500000000001</v>
      </c>
    </row>
    <row r="108" spans="3:34" ht="22">
      <c r="C108" s="204">
        <f t="shared" si="16"/>
        <v>800</v>
      </c>
      <c r="D108" s="367">
        <f t="shared" si="15"/>
        <v>1.0720152309273061</v>
      </c>
      <c r="E108" s="367">
        <f t="shared" si="15"/>
        <v>1.0028405237457261</v>
      </c>
      <c r="F108" s="315">
        <f t="shared" si="15"/>
        <v>1.0022560748985727</v>
      </c>
      <c r="G108" s="316">
        <f t="shared" si="10"/>
        <v>1.0774857322391169</v>
      </c>
      <c r="H108" s="405"/>
      <c r="I108" s="405"/>
      <c r="U108" s="204">
        <f t="shared" si="17"/>
        <v>800</v>
      </c>
      <c r="V108" s="202">
        <f t="shared" si="11"/>
        <v>29704574.276089154</v>
      </c>
      <c r="W108" s="67" t="e" cm="1">
        <f t="array" ref="W108">PRODUCT(EXP(-($B$14*$D$98:$I$98)/(2*$B$8*$U108))/(1-EXP(-($B$14*$D$98:$I$98)/($B$8*$U108))))</f>
        <v>#DIV/0!</v>
      </c>
      <c r="X108" s="141">
        <f t="shared" si="12"/>
        <v>235.80294266268322</v>
      </c>
      <c r="Y108" s="203">
        <f t="shared" si="13"/>
        <v>2</v>
      </c>
      <c r="Z108" s="317" t="e">
        <f t="shared" si="14"/>
        <v>#DIV/0!</v>
      </c>
      <c r="AD108" s="164" t="s">
        <v>87</v>
      </c>
      <c r="AE108" s="165" t="e">
        <f>ABS(AE106-AE107)/AE106</f>
        <v>#DIV/0!</v>
      </c>
      <c r="AF108" s="165" t="e">
        <f>ABS(AF106-AF107)/AF106</f>
        <v>#DIV/0!</v>
      </c>
    </row>
    <row r="109" spans="3:34" ht="19">
      <c r="C109" s="204">
        <f t="shared" si="16"/>
        <v>900</v>
      </c>
      <c r="D109" s="367">
        <f t="shared" si="15"/>
        <v>1.099728021706601</v>
      </c>
      <c r="E109" s="367">
        <f t="shared" si="15"/>
        <v>1.0054654548222401</v>
      </c>
      <c r="F109" s="315">
        <f t="shared" si="15"/>
        <v>1.0044512733604105</v>
      </c>
      <c r="G109" s="316">
        <f t="shared" si="10"/>
        <v>1.110660480012756</v>
      </c>
      <c r="H109" s="405"/>
      <c r="I109" s="405"/>
      <c r="U109" s="204">
        <f t="shared" si="17"/>
        <v>900</v>
      </c>
      <c r="V109" s="202">
        <f t="shared" si="11"/>
        <v>39875361.987503298</v>
      </c>
      <c r="W109" s="67" t="e" cm="1">
        <f t="array" ref="W109">PRODUCT(EXP(-($B$14*$D$98:$I$98)/(2*$B$8*$U109))/(1-EXP(-($B$14*$D$98:$I$98)/($B$8*$U109))))</f>
        <v>#DIV/0!</v>
      </c>
      <c r="X109" s="141">
        <f t="shared" si="12"/>
        <v>281.37013837963769</v>
      </c>
      <c r="Y109" s="203">
        <f t="shared" si="13"/>
        <v>2</v>
      </c>
      <c r="Z109" s="317" t="e">
        <f t="shared" si="14"/>
        <v>#DIV/0!</v>
      </c>
    </row>
    <row r="110" spans="3:34" ht="19">
      <c r="C110" s="204">
        <f t="shared" si="16"/>
        <v>1000</v>
      </c>
      <c r="D110" s="367">
        <f t="shared" si="15"/>
        <v>1.1303095070872959</v>
      </c>
      <c r="E110" s="367">
        <f t="shared" si="15"/>
        <v>1.0092411965891752</v>
      </c>
      <c r="F110" s="315">
        <f t="shared" si="15"/>
        <v>1.0076775283128363</v>
      </c>
      <c r="G110" s="316">
        <f t="shared" si="10"/>
        <v>1.1495130976409795</v>
      </c>
      <c r="H110" s="405"/>
      <c r="I110" s="405"/>
      <c r="U110" s="204">
        <f t="shared" si="17"/>
        <v>1000</v>
      </c>
      <c r="V110" s="202">
        <f t="shared" si="11"/>
        <v>51891755.72189635</v>
      </c>
      <c r="W110" s="67" t="e" cm="1">
        <f t="array" ref="W110">PRODUCT(EXP(-($B$14*$D$98:$I$98)/(2*$B$8*$U110))/(1-EXP(-($B$14*$D$98:$I$98)/($B$8*$U110))))</f>
        <v>#DIV/0!</v>
      </c>
      <c r="X110" s="141">
        <f t="shared" si="12"/>
        <v>329.5446306801532</v>
      </c>
      <c r="Y110" s="203">
        <f t="shared" si="13"/>
        <v>2</v>
      </c>
      <c r="Z110" s="317" t="e">
        <f t="shared" si="14"/>
        <v>#DIV/0!</v>
      </c>
    </row>
    <row r="111" spans="3:34" ht="19">
      <c r="C111" s="204">
        <f t="shared" si="16"/>
        <v>1100</v>
      </c>
      <c r="D111" s="367">
        <f t="shared" si="15"/>
        <v>1.1632025370583683</v>
      </c>
      <c r="E111" s="367">
        <f t="shared" si="15"/>
        <v>1.0142287295934647</v>
      </c>
      <c r="F111" s="315">
        <f t="shared" si="15"/>
        <v>1.0120126928085496</v>
      </c>
      <c r="G111" s="316">
        <f t="shared" si="10"/>
        <v>1.1939254469820919</v>
      </c>
      <c r="H111" s="405"/>
      <c r="I111" s="405"/>
      <c r="U111" s="204">
        <f t="shared" si="17"/>
        <v>1100</v>
      </c>
      <c r="V111" s="202">
        <f t="shared" si="11"/>
        <v>65853684.383333303</v>
      </c>
      <c r="W111" s="67" t="e" cm="1">
        <f t="array" ref="W111">PRODUCT(EXP(-($B$14*$D$98:$I$98)/(2*$B$8*$U111))/(1-EXP(-($B$14*$D$98:$I$98)/($B$8*$U111))))</f>
        <v>#DIV/0!</v>
      </c>
      <c r="X111" s="141">
        <f t="shared" si="12"/>
        <v>380.19225697674023</v>
      </c>
      <c r="Y111" s="203">
        <f t="shared" si="13"/>
        <v>2</v>
      </c>
      <c r="Z111" s="317" t="e">
        <f t="shared" si="14"/>
        <v>#DIV/0!</v>
      </c>
    </row>
    <row r="112" spans="3:34" ht="19">
      <c r="C112" s="204">
        <f t="shared" si="16"/>
        <v>1200</v>
      </c>
      <c r="D112" s="367">
        <f t="shared" si="15"/>
        <v>1.1979675393280664</v>
      </c>
      <c r="E112" s="367">
        <f t="shared" si="15"/>
        <v>1.0204280424216789</v>
      </c>
      <c r="F112" s="315">
        <f t="shared" si="15"/>
        <v>1.0174759460409761</v>
      </c>
      <c r="G112" s="316">
        <f t="shared" si="10"/>
        <v>1.2438029607707202</v>
      </c>
      <c r="H112" s="405"/>
      <c r="I112" s="405"/>
      <c r="U112" s="204">
        <f t="shared" si="17"/>
        <v>1200</v>
      </c>
      <c r="V112" s="202">
        <f t="shared" si="11"/>
        <v>81856181.253399745</v>
      </c>
      <c r="W112" s="67" t="e" cm="1">
        <f t="array" ref="W112">PRODUCT(EXP(-($B$14*$D$98:$I$98)/(2*$B$8*$U112))/(1-EXP(-($B$14*$D$98:$I$98)/($B$8*$U112))))</f>
        <v>#DIV/0!</v>
      </c>
      <c r="X112" s="141">
        <f t="shared" si="12"/>
        <v>433.19766702774967</v>
      </c>
      <c r="Y112" s="203">
        <f t="shared" si="13"/>
        <v>2</v>
      </c>
      <c r="Z112" s="317" t="e">
        <f t="shared" si="14"/>
        <v>#DIV/0!</v>
      </c>
    </row>
    <row r="113" spans="2:26" ht="19">
      <c r="C113" s="204">
        <f t="shared" si="16"/>
        <v>1300</v>
      </c>
      <c r="D113" s="367">
        <f t="shared" si="15"/>
        <v>1.2342598933904085</v>
      </c>
      <c r="E113" s="367">
        <f t="shared" si="15"/>
        <v>1.0277977835265939</v>
      </c>
      <c r="F113" s="315">
        <f t="shared" si="15"/>
        <v>1.0240442320315681</v>
      </c>
      <c r="G113" s="316">
        <f t="shared" si="10"/>
        <v>1.2990713641175997</v>
      </c>
      <c r="H113" s="405"/>
      <c r="I113" s="405"/>
      <c r="U113" s="204">
        <f t="shared" si="17"/>
        <v>1300</v>
      </c>
      <c r="V113" s="202">
        <f t="shared" si="11"/>
        <v>99990040.840508208</v>
      </c>
      <c r="W113" s="67" t="e" cm="1">
        <f t="array" ref="W113">PRODUCT(EXP(-($B$14*$D$98:$I$98)/(2*$B$8*$U113))/(1-EXP(-($B$14*$D$98:$I$98)/($B$8*$U113))))</f>
        <v>#DIV/0!</v>
      </c>
      <c r="X113" s="141">
        <f t="shared" si="12"/>
        <v>488.4602961873465</v>
      </c>
      <c r="Y113" s="203">
        <f t="shared" si="13"/>
        <v>2</v>
      </c>
      <c r="Z113" s="317" t="e">
        <f t="shared" si="14"/>
        <v>#DIV/0!</v>
      </c>
    </row>
    <row r="114" spans="2:26" ht="19">
      <c r="C114" s="204">
        <f t="shared" si="16"/>
        <v>1400</v>
      </c>
      <c r="D114" s="367">
        <f t="shared" si="15"/>
        <v>1.2718090040868182</v>
      </c>
      <c r="E114" s="367">
        <f t="shared" si="15"/>
        <v>1.036271777731258</v>
      </c>
      <c r="F114" s="315">
        <f t="shared" si="15"/>
        <v>1.0316672964223708</v>
      </c>
      <c r="G114" s="316">
        <f t="shared" si="10"/>
        <v>1.35967536720375</v>
      </c>
      <c r="H114" s="405"/>
      <c r="I114" s="405"/>
      <c r="U114" s="204">
        <f t="shared" si="17"/>
        <v>1400</v>
      </c>
      <c r="V114" s="202">
        <f t="shared" si="11"/>
        <v>120342340.63885535</v>
      </c>
      <c r="W114" s="67" t="e" cm="1">
        <f t="array" ref="W114">PRODUCT(EXP(-($B$14*$D$98:$I$98)/(2*$B$8*$U114))/(1-EXP(-($B$14*$D$98:$I$98)/($B$8*$U114))))</f>
        <v>#DIV/0!</v>
      </c>
      <c r="X114" s="141">
        <f t="shared" si="12"/>
        <v>545.89145161484782</v>
      </c>
      <c r="Y114" s="203">
        <f t="shared" si="13"/>
        <v>2</v>
      </c>
      <c r="Z114" s="317" t="e">
        <f t="shared" si="14"/>
        <v>#DIV/0!</v>
      </c>
    </row>
    <row r="115" spans="2:26" ht="19">
      <c r="C115" s="204">
        <f t="shared" si="16"/>
        <v>1500</v>
      </c>
      <c r="D115" s="367">
        <f t="shared" si="15"/>
        <v>1.3104012358228077</v>
      </c>
      <c r="E115" s="367">
        <f t="shared" si="15"/>
        <v>1.0457711858543419</v>
      </c>
      <c r="F115" s="315">
        <f t="shared" si="15"/>
        <v>1.0402794232658568</v>
      </c>
      <c r="G115" s="316">
        <f t="shared" si="10"/>
        <v>1.4255779645190307</v>
      </c>
      <c r="H115" s="405"/>
      <c r="I115" s="405"/>
      <c r="U115" s="204">
        <f t="shared" si="17"/>
        <v>1500</v>
      </c>
      <c r="V115" s="202">
        <f t="shared" si="11"/>
        <v>142996863.79777098</v>
      </c>
      <c r="W115" s="67" t="e" cm="1">
        <f t="array" ref="W115">PRODUCT(EXP(-($B$14*$D$98:$I$98)/(2*$B$8*$U115))/(1-EXP(-($B$14*$D$98:$I$98)/($B$8*$U115))))</f>
        <v>#DIV/0!</v>
      </c>
      <c r="X115" s="141">
        <f t="shared" si="12"/>
        <v>605.41214448022993</v>
      </c>
      <c r="Y115" s="203">
        <f t="shared" si="13"/>
        <v>2</v>
      </c>
      <c r="Z115" s="317" t="e">
        <f t="shared" si="14"/>
        <v>#DIV/0!</v>
      </c>
    </row>
    <row r="116" spans="2:26" ht="19">
      <c r="C116" s="204">
        <f t="shared" si="16"/>
        <v>1600</v>
      </c>
      <c r="D116" s="367">
        <f t="shared" si="15"/>
        <v>1.349866673991436</v>
      </c>
      <c r="E116" s="367">
        <f t="shared" si="15"/>
        <v>1.0562127292545511</v>
      </c>
      <c r="F116" s="315">
        <f t="shared" si="15"/>
        <v>1.0498077812036117</v>
      </c>
      <c r="G116" s="316">
        <f t="shared" si="10"/>
        <v>1.4967596268095535</v>
      </c>
      <c r="H116" s="405"/>
      <c r="I116" s="405"/>
      <c r="U116" s="204">
        <f t="shared" si="17"/>
        <v>1600</v>
      </c>
      <c r="V116" s="202">
        <f t="shared" si="11"/>
        <v>168034447.22305748</v>
      </c>
      <c r="W116" s="67" t="e" cm="1">
        <f t="array" ref="W116">PRODUCT(EXP(-($B$14*$D$98:$I$98)/(2*$B$8*$U116))/(1-EXP(-($B$14*$D$98:$I$98)/($B$8*$U116))))</f>
        <v>#DIV/0!</v>
      </c>
      <c r="X116" s="141">
        <f t="shared" si="12"/>
        <v>666.95143912210449</v>
      </c>
      <c r="Y116" s="203">
        <f t="shared" si="13"/>
        <v>2</v>
      </c>
      <c r="Z116" s="317" t="e">
        <f t="shared" si="14"/>
        <v>#DIV/0!</v>
      </c>
    </row>
    <row r="117" spans="2:26" ht="19">
      <c r="C117" s="204">
        <f t="shared" si="16"/>
        <v>1700</v>
      </c>
      <c r="D117" s="367">
        <f t="shared" si="15"/>
        <v>1.39006906440422</v>
      </c>
      <c r="E117" s="367">
        <f t="shared" si="15"/>
        <v>1.067513882585148</v>
      </c>
      <c r="F117" s="315">
        <f t="shared" si="15"/>
        <v>1.0601779669337763</v>
      </c>
      <c r="G117" s="316">
        <f t="shared" si="10"/>
        <v>1.5732171937845794</v>
      </c>
      <c r="H117" s="405"/>
      <c r="I117" s="405"/>
      <c r="U117" s="204">
        <f t="shared" si="17"/>
        <v>1700</v>
      </c>
      <c r="V117" s="202">
        <f t="shared" si="11"/>
        <v>195533272.33575085</v>
      </c>
      <c r="W117" s="67" t="e" cm="1">
        <f t="array" ref="W117">PRODUCT(EXP(-($B$14*$D$98:$I$98)/(2*$B$8*$U117))/(1-EXP(-($B$14*$D$98:$I$98)/($B$8*$U117))))</f>
        <v>#DIV/0!</v>
      </c>
      <c r="X117" s="141">
        <f t="shared" si="12"/>
        <v>730.44517064356944</v>
      </c>
      <c r="Y117" s="203">
        <f t="shared" si="13"/>
        <v>2</v>
      </c>
      <c r="Z117" s="317" t="e">
        <f t="shared" si="14"/>
        <v>#DIV/0!</v>
      </c>
    </row>
    <row r="118" spans="2:26" ht="19">
      <c r="C118" s="204">
        <f t="shared" si="16"/>
        <v>1800</v>
      </c>
      <c r="D118" s="367">
        <f t="shared" si="15"/>
        <v>1.4308982196715045</v>
      </c>
      <c r="E118" s="367">
        <f t="shared" si="15"/>
        <v>1.0795959210197086</v>
      </c>
      <c r="F118" s="315">
        <f t="shared" si="15"/>
        <v>1.0713174620878951</v>
      </c>
      <c r="G118" s="316">
        <f t="shared" si="10"/>
        <v>1.6549625177837086</v>
      </c>
      <c r="H118" s="405"/>
      <c r="I118" s="405"/>
      <c r="U118" s="204">
        <f t="shared" si="17"/>
        <v>1800</v>
      </c>
      <c r="V118" s="202">
        <f t="shared" si="11"/>
        <v>225569110.90905237</v>
      </c>
      <c r="W118" s="67" t="e" cm="1">
        <f t="array" ref="W118">PRODUCT(EXP(-($B$14*$D$98:$I$98)/(2*$B$8*$U118))/(1-EXP(-($B$14*$D$98:$I$98)/($B$8*$U118))))</f>
        <v>#DIV/0!</v>
      </c>
      <c r="X118" s="141">
        <f t="shared" si="12"/>
        <v>795.83493148655714</v>
      </c>
      <c r="Y118" s="203">
        <f t="shared" si="13"/>
        <v>2</v>
      </c>
      <c r="Z118" s="317" t="e">
        <f t="shared" si="14"/>
        <v>#DIV/0!</v>
      </c>
    </row>
    <row r="119" spans="2:26" ht="19">
      <c r="C119" s="204">
        <f t="shared" si="16"/>
        <v>1900</v>
      </c>
      <c r="D119" s="367">
        <f t="shared" si="15"/>
        <v>1.4722642861075053</v>
      </c>
      <c r="E119" s="367">
        <f t="shared" si="15"/>
        <v>1.0923855311156465</v>
      </c>
      <c r="F119" s="315">
        <f t="shared" si="15"/>
        <v>1.0831576318389813</v>
      </c>
      <c r="G119" s="316">
        <f t="shared" si="10"/>
        <v>1.7420209772304565</v>
      </c>
      <c r="H119" s="405"/>
      <c r="I119" s="405"/>
      <c r="U119" s="204">
        <f t="shared" si="17"/>
        <v>1900</v>
      </c>
      <c r="V119" s="202">
        <f t="shared" si="11"/>
        <v>258215535.14348531</v>
      </c>
      <c r="W119" s="67" t="e" cm="1">
        <f t="array" ref="W119">PRODUCT(EXP(-($B$14*$D$98:$I$98)/(2*$B$8*$U119))/(1-EXP(-($B$14*$D$98:$I$98)/($B$8*$U119))))</f>
        <v>#DIV/0!</v>
      </c>
      <c r="X119" s="141">
        <f t="shared" si="12"/>
        <v>863.06725850411249</v>
      </c>
      <c r="Y119" s="203">
        <f t="shared" si="13"/>
        <v>2</v>
      </c>
      <c r="Z119" s="317" t="e">
        <f t="shared" si="14"/>
        <v>#DIV/0!</v>
      </c>
    </row>
    <row r="120" spans="2:26" ht="20" thickBot="1">
      <c r="C120" s="213">
        <f t="shared" si="16"/>
        <v>2000</v>
      </c>
      <c r="D120" s="367">
        <f t="shared" si="15"/>
        <v>1.5140933977401343</v>
      </c>
      <c r="E120" s="367">
        <f t="shared" si="15"/>
        <v>1.1058155011612245</v>
      </c>
      <c r="F120" s="315">
        <f t="shared" si="15"/>
        <v>1.095634749470799</v>
      </c>
      <c r="G120" s="319">
        <f t="shared" si="10"/>
        <v>1.8344299707073173</v>
      </c>
      <c r="H120" s="405"/>
      <c r="I120" s="405"/>
      <c r="U120" s="213">
        <f t="shared" si="17"/>
        <v>2000</v>
      </c>
      <c r="V120" s="216">
        <f t="shared" si="11"/>
        <v>293544098.86903071</v>
      </c>
      <c r="W120" s="217" t="e" cm="1">
        <f t="array" ref="W120">PRODUCT(EXP(-($B$14*$D$98:$I$98)/(2*$B$8*$U120))/(1-EXP(-($B$14*$D$98:$I$98)/($B$8*$U120))))</f>
        <v>#DIV/0!</v>
      </c>
      <c r="X120" s="218">
        <f t="shared" si="12"/>
        <v>932.09297223021019</v>
      </c>
      <c r="Y120" s="219">
        <f t="shared" si="13"/>
        <v>2</v>
      </c>
      <c r="Z120" s="320" t="e">
        <f t="shared" si="14"/>
        <v>#DIV/0!</v>
      </c>
    </row>
    <row r="121" spans="2:26">
      <c r="H121" s="406"/>
      <c r="I121" s="406"/>
    </row>
    <row r="122" spans="2:26" ht="17" thickBot="1">
      <c r="H122" s="406"/>
      <c r="I122" s="406"/>
    </row>
    <row r="123" spans="2:26" ht="32" thickBot="1">
      <c r="C123" s="220" t="s">
        <v>107</v>
      </c>
      <c r="D123" s="221">
        <v>1</v>
      </c>
      <c r="E123" s="360">
        <f t="shared" ref="E123:I123" si="19">D123+1</f>
        <v>2</v>
      </c>
      <c r="F123" s="378">
        <f t="shared" si="19"/>
        <v>3</v>
      </c>
      <c r="G123" s="180" t="s">
        <v>95</v>
      </c>
      <c r="H123" s="404"/>
      <c r="I123" s="404"/>
      <c r="K123" s="184"/>
      <c r="L123" s="184"/>
    </row>
    <row r="124" spans="2:26" ht="20" thickBot="1">
      <c r="C124" s="176">
        <v>298.14999999999998</v>
      </c>
      <c r="D124" s="372">
        <f>EXP(-($B$14*D$98)/(2*$B$8*$C124))/(1-EXP(-($B$14*D$98)/($B$8*$C124)))</f>
        <v>2.6724220147834411E-2</v>
      </c>
      <c r="E124" s="373">
        <f t="shared" ref="E124:L124" si="20">EXP(-($B$14*E$98)/(2*$B$8*$C124))/(1-EXP(-($B$14*E$98)/($B$8*$C124)))</f>
        <v>3.8177717189590926E-4</v>
      </c>
      <c r="F124" s="382">
        <f t="shared" si="20"/>
        <v>2.8049729825106593E-4</v>
      </c>
      <c r="G124" s="314">
        <f xml:space="preserve"> PRODUCT(D124:F124)</f>
        <v>2.8618289964342187E-9</v>
      </c>
      <c r="H124" s="405"/>
      <c r="I124" s="405"/>
      <c r="K124" s="193"/>
      <c r="L124" s="193"/>
    </row>
    <row r="127" spans="2:26" ht="19">
      <c r="B127" s="67"/>
      <c r="C127" s="67"/>
      <c r="D127" s="67"/>
      <c r="E127" s="67"/>
      <c r="F127" s="67" t="s">
        <v>78</v>
      </c>
      <c r="G127" s="67"/>
      <c r="H127" s="67"/>
      <c r="I127" s="67"/>
      <c r="J127" s="67"/>
      <c r="K127" s="67"/>
      <c r="L127" s="67"/>
      <c r="M127" s="67"/>
      <c r="N127" s="67"/>
      <c r="O127" s="67"/>
    </row>
    <row r="128" spans="2:26" ht="27">
      <c r="B128" s="67"/>
      <c r="C128" s="148" t="s">
        <v>108</v>
      </c>
      <c r="D128" s="149"/>
      <c r="E128" s="67"/>
      <c r="F128" s="67"/>
      <c r="G128" s="67"/>
      <c r="H128" s="67"/>
      <c r="I128" s="67"/>
      <c r="J128" s="67"/>
      <c r="K128" s="67"/>
      <c r="L128" s="67"/>
      <c r="M128" s="67"/>
      <c r="N128" s="67"/>
      <c r="O128" s="67"/>
    </row>
    <row r="129" spans="2:15" ht="20" thickBot="1">
      <c r="B129" s="67"/>
      <c r="C129" s="67"/>
      <c r="D129" s="67"/>
      <c r="E129" s="67"/>
      <c r="F129" s="67"/>
      <c r="G129" s="67"/>
      <c r="H129" s="67"/>
      <c r="I129" s="67"/>
      <c r="J129" s="67"/>
      <c r="K129" s="67"/>
      <c r="L129" s="67"/>
      <c r="M129" s="67"/>
      <c r="N129" s="67"/>
      <c r="O129" s="67"/>
    </row>
    <row r="130" spans="2:15" ht="20" thickBot="1">
      <c r="B130" s="67"/>
      <c r="C130" s="68" t="s">
        <v>34</v>
      </c>
      <c r="D130" s="69"/>
      <c r="E130" s="69"/>
      <c r="F130" s="70"/>
      <c r="G130" s="67"/>
      <c r="H130" s="67"/>
      <c r="I130" s="67"/>
      <c r="J130" s="67"/>
      <c r="K130" s="67"/>
      <c r="L130" s="67"/>
      <c r="M130" s="67"/>
      <c r="N130" s="67"/>
      <c r="O130" s="67"/>
    </row>
    <row r="131" spans="2:15" ht="20" thickBot="1">
      <c r="B131" s="67"/>
      <c r="C131" s="73"/>
      <c r="D131" s="74" t="s">
        <v>37</v>
      </c>
      <c r="E131" s="75" t="s">
        <v>38</v>
      </c>
      <c r="F131" s="76" t="s">
        <v>39</v>
      </c>
      <c r="G131" s="67"/>
      <c r="H131" s="67"/>
      <c r="I131" s="67"/>
      <c r="J131" s="67"/>
      <c r="K131" s="67"/>
      <c r="L131" s="67"/>
      <c r="M131" s="67"/>
      <c r="N131" s="67"/>
      <c r="O131" s="67"/>
    </row>
    <row r="132" spans="2:15" ht="22" thickBot="1">
      <c r="B132" s="67"/>
      <c r="C132" s="225" t="s">
        <v>109</v>
      </c>
      <c r="D132" s="103">
        <f>D24*($Q$8)^2</f>
        <v>4.0217318000000003E-47</v>
      </c>
      <c r="E132" s="103">
        <f t="shared" ref="E132:F132" si="21">E24*($Q$8)^2</f>
        <v>8.2961322E-47</v>
      </c>
      <c r="F132" s="103">
        <f t="shared" si="21"/>
        <v>1.2317863999999999E-46</v>
      </c>
      <c r="G132" s="67"/>
      <c r="H132" s="67"/>
      <c r="I132" s="67"/>
      <c r="J132" s="67"/>
      <c r="K132" s="67"/>
      <c r="L132" s="67"/>
      <c r="M132" s="67"/>
      <c r="N132" s="67"/>
      <c r="O132" s="67"/>
    </row>
    <row r="133" spans="2:15" ht="19">
      <c r="B133" s="67"/>
      <c r="C133" s="67"/>
      <c r="D133" s="67"/>
      <c r="E133" s="67"/>
      <c r="F133" s="67"/>
      <c r="G133" s="67"/>
      <c r="H133" s="67"/>
      <c r="I133" s="67"/>
      <c r="J133" s="67"/>
      <c r="K133" s="67"/>
      <c r="L133" s="67"/>
      <c r="M133" s="67"/>
      <c r="N133" s="67"/>
      <c r="O133" s="67"/>
    </row>
    <row r="134" spans="2:15" ht="19">
      <c r="B134" s="67"/>
      <c r="C134" s="67"/>
      <c r="D134" s="67"/>
      <c r="E134" s="67"/>
      <c r="F134" s="67"/>
      <c r="G134" s="67"/>
      <c r="H134" s="67"/>
      <c r="I134" s="67"/>
      <c r="J134" s="67"/>
      <c r="K134" s="67"/>
      <c r="L134" s="67"/>
      <c r="M134" s="67"/>
      <c r="N134" s="67"/>
      <c r="O134" s="67"/>
    </row>
    <row r="135" spans="2:15" ht="20" thickBot="1">
      <c r="B135" s="67"/>
      <c r="C135" s="67"/>
      <c r="D135" s="67"/>
      <c r="E135" s="67"/>
      <c r="F135" s="67"/>
      <c r="G135" s="67"/>
      <c r="H135" s="67"/>
      <c r="I135" s="67"/>
      <c r="J135" s="67"/>
      <c r="K135" s="67"/>
      <c r="L135" s="67"/>
      <c r="M135" s="67"/>
      <c r="N135" s="67"/>
      <c r="O135" s="67"/>
    </row>
    <row r="136" spans="2:15" ht="23" thickBot="1">
      <c r="B136" s="67"/>
      <c r="C136" s="226" t="s">
        <v>80</v>
      </c>
      <c r="D136" s="150" t="s">
        <v>156</v>
      </c>
      <c r="E136" s="150" t="s">
        <v>157</v>
      </c>
      <c r="F136" s="67"/>
      <c r="G136" s="67"/>
      <c r="H136" s="152" t="s">
        <v>83</v>
      </c>
      <c r="I136" s="153"/>
      <c r="J136" s="153"/>
      <c r="K136" s="153"/>
      <c r="L136" s="153"/>
      <c r="M136" s="153"/>
      <c r="N136" s="153"/>
      <c r="O136" s="67"/>
    </row>
    <row r="137" spans="2:15" ht="20" thickBot="1">
      <c r="B137" s="67"/>
      <c r="C137" s="154">
        <v>298.14999999999998</v>
      </c>
      <c r="D137" s="156">
        <f>(8*PI()^2*(2*PI()*$B$8*C137)^(3/2)*SQRT($D$132*$E$132*$F$132))/($I$139*$B$14^3)</f>
        <v>361.86916394902801</v>
      </c>
      <c r="E137" s="156">
        <f>(SQRT(PI())/$A$31)*((C137^1.5)/SQRT($C$29*$D$29*$E$29))</f>
        <v>53.649596568860034</v>
      </c>
      <c r="F137" s="141"/>
      <c r="G137" s="67"/>
      <c r="H137" s="67"/>
      <c r="I137" s="67"/>
      <c r="J137" s="67"/>
      <c r="K137" s="67"/>
      <c r="L137" s="67"/>
      <c r="M137" s="67"/>
      <c r="N137" s="67"/>
      <c r="O137" s="67"/>
    </row>
    <row r="138" spans="2:15" ht="20" thickBot="1">
      <c r="B138" s="67"/>
      <c r="C138" s="154">
        <v>300</v>
      </c>
      <c r="D138" s="156">
        <f>(8*PI()^2*(2*PI()*$B$8*C138)^(3/2)*SQRT($D$132*$E$132*$F$132))/($I$139*$B$14^3)</f>
        <v>365.24244266869016</v>
      </c>
      <c r="E138" s="156">
        <f>(SQRT(PI())/$A$31)*((C138^1.5)/SQRT($C$29*$D$29*$E$29))</f>
        <v>54.149708378468695</v>
      </c>
      <c r="F138" s="67"/>
      <c r="G138" s="67"/>
      <c r="L138" s="150" t="s">
        <v>145</v>
      </c>
      <c r="M138" s="150" t="s">
        <v>158</v>
      </c>
      <c r="N138" s="67"/>
      <c r="O138" s="67"/>
    </row>
    <row r="139" spans="2:15" ht="20" thickBot="1">
      <c r="B139" s="67"/>
      <c r="C139" s="157">
        <f>C138+100</f>
        <v>400</v>
      </c>
      <c r="D139" s="159">
        <f>(8*PI()^2*(2*PI()*$B$8*C139)^(3/2)*SQRT($D$132*$E$132*$F$132))/($I$139*$B$14^3)</f>
        <v>562.32752691799101</v>
      </c>
      <c r="E139" s="159">
        <f t="shared" ref="E139:E155" si="22">(SQRT(PI())/$A$31)*((C139^1.5)/SQRT($C$29*$D$29*$E$29))</f>
        <v>83.368929890263047</v>
      </c>
      <c r="F139" s="67"/>
      <c r="H139" s="110" t="s">
        <v>146</v>
      </c>
      <c r="I139" s="327">
        <v>2</v>
      </c>
      <c r="K139" s="160" t="s">
        <v>85</v>
      </c>
      <c r="L139" s="161">
        <f>$D$137</f>
        <v>361.86916394902801</v>
      </c>
      <c r="M139" s="302">
        <f>$E$137</f>
        <v>53.649596568860034</v>
      </c>
      <c r="N139" s="67"/>
      <c r="O139" s="67"/>
    </row>
    <row r="140" spans="2:15" ht="20" thickBot="1">
      <c r="B140" s="67"/>
      <c r="C140" s="157">
        <f t="shared" ref="C140:C155" si="23">C139+100</f>
        <v>500</v>
      </c>
      <c r="D140" s="159">
        <f>(8*PI()^2*(2*PI()*$B$8*C140)^(3/2)*SQRT($D$132*$E$132*$F$132))/($I$139*$B$14^3)</f>
        <v>785.87660987997492</v>
      </c>
      <c r="E140" s="159">
        <f t="shared" si="22"/>
        <v>116.51162152877644</v>
      </c>
      <c r="F140" s="67"/>
      <c r="G140" s="67"/>
      <c r="K140" s="162" t="s">
        <v>86</v>
      </c>
      <c r="L140" s="163">
        <f>P34</f>
        <v>53.6496</v>
      </c>
      <c r="M140" s="163">
        <f>L140</f>
        <v>53.6496</v>
      </c>
      <c r="N140" s="67"/>
      <c r="O140" s="67"/>
    </row>
    <row r="141" spans="2:15" ht="22">
      <c r="B141" s="67"/>
      <c r="C141" s="157">
        <f t="shared" si="23"/>
        <v>600</v>
      </c>
      <c r="D141" s="159">
        <f>(8*PI()^2*(2*PI()*$B$8*C141)^(3/2)*SQRT($D$132*$E$132*$F$132))/($I$139*$B$14^3)</f>
        <v>1033.0616319526812</v>
      </c>
      <c r="E141" s="159">
        <f t="shared" si="22"/>
        <v>153.15850397475677</v>
      </c>
      <c r="F141" s="67"/>
      <c r="G141" s="67"/>
      <c r="H141" s="67"/>
      <c r="I141" s="67"/>
      <c r="K141" s="164" t="s">
        <v>87</v>
      </c>
      <c r="L141" s="165">
        <f>ABS(L139-L140)/L139</f>
        <v>0.85174310125093455</v>
      </c>
      <c r="M141" s="165">
        <f>ABS(M139-M140)/M139</f>
        <v>6.3954627534281731E-8</v>
      </c>
      <c r="N141" s="67"/>
      <c r="O141" s="67"/>
    </row>
    <row r="142" spans="2:15" ht="19">
      <c r="B142" s="67"/>
      <c r="C142" s="157">
        <f t="shared" si="23"/>
        <v>700</v>
      </c>
      <c r="D142" s="159">
        <f>(8*PI()^2*(2*PI()*$B$8*C142)^(3/2)*SQRT($D$132*$E$132*$F$132))/($I$139*$B$14^3)</f>
        <v>1301.8064426421026</v>
      </c>
      <c r="E142" s="159">
        <f t="shared" si="22"/>
        <v>193.00177361431327</v>
      </c>
      <c r="F142" s="67"/>
      <c r="G142" s="67"/>
    </row>
    <row r="143" spans="2:15" ht="19">
      <c r="B143" s="67"/>
      <c r="C143" s="157">
        <f t="shared" si="23"/>
        <v>800</v>
      </c>
      <c r="D143" s="159">
        <f>(8*PI()^2*(2*PI()*$B$8*C143)^(3/2)*SQRT($D$132*$E$132*$F$132))/($I$139*$B$14^3)</f>
        <v>1590.5024301262708</v>
      </c>
      <c r="E143" s="159">
        <f t="shared" si="22"/>
        <v>235.80294266268322</v>
      </c>
      <c r="F143" s="67"/>
      <c r="G143" s="67"/>
    </row>
    <row r="144" spans="2:15" ht="19">
      <c r="B144" s="67"/>
      <c r="C144" s="157">
        <f t="shared" si="23"/>
        <v>900</v>
      </c>
      <c r="D144" s="159">
        <f>(8*PI()^2*(2*PI()*$B$8*C144)^(3/2)*SQRT($D$132*$E$132*$F$132))/($I$139*$B$14^3)</f>
        <v>1897.8554033481953</v>
      </c>
      <c r="E144" s="159">
        <f t="shared" si="22"/>
        <v>281.37013837963769</v>
      </c>
      <c r="F144" s="67"/>
      <c r="G144" s="67"/>
    </row>
    <row r="145" spans="3:5" ht="19">
      <c r="C145" s="157">
        <f t="shared" si="23"/>
        <v>1000</v>
      </c>
      <c r="D145" s="159">
        <f>(8*PI()^2*(2*PI()*$B$8*C145)^(3/2)*SQRT($D$132*$E$132*$F$132))/($I$139*$B$14^3)</f>
        <v>2222.7947200880758</v>
      </c>
      <c r="E145" s="159">
        <f t="shared" si="22"/>
        <v>329.5446306801532</v>
      </c>
    </row>
    <row r="146" spans="3:5" ht="19">
      <c r="C146" s="157">
        <f t="shared" si="23"/>
        <v>1100</v>
      </c>
      <c r="D146" s="159">
        <f>(8*PI()^2*(2*PI()*$B$8*C146)^(3/2)*SQRT($D$132*$E$132*$F$132))/($I$139*$B$14^3)</f>
        <v>2564.4154471037127</v>
      </c>
      <c r="E146" s="159">
        <f t="shared" si="22"/>
        <v>380.19225697674023</v>
      </c>
    </row>
    <row r="147" spans="3:5" ht="19">
      <c r="C147" s="157">
        <f t="shared" si="23"/>
        <v>1200</v>
      </c>
      <c r="D147" s="159">
        <f>(8*PI()^2*(2*PI()*$B$8*C147)^(3/2)*SQRT($D$132*$E$132*$F$132))/($I$139*$B$14^3)</f>
        <v>2921.9395413495372</v>
      </c>
      <c r="E147" s="159">
        <f t="shared" si="22"/>
        <v>433.19766702774967</v>
      </c>
    </row>
    <row r="148" spans="3:5" ht="19">
      <c r="C148" s="157">
        <f t="shared" si="23"/>
        <v>1300</v>
      </c>
      <c r="D148" s="159">
        <f>(8*PI()^2*(2*PI()*$B$8*C148)^(3/2)*SQRT($D$132*$E$132*$F$132))/($I$139*$B$14^3)</f>
        <v>3294.6886893499136</v>
      </c>
      <c r="E148" s="159">
        <f t="shared" si="22"/>
        <v>488.4602961873465</v>
      </c>
    </row>
    <row r="149" spans="3:5" ht="19">
      <c r="C149" s="157">
        <f t="shared" si="23"/>
        <v>1400</v>
      </c>
      <c r="D149" s="159">
        <f>(8*PI()^2*(2*PI()*$B$8*C149)^(3/2)*SQRT($D$132*$E$132*$F$132))/($I$139*$B$14^3)</f>
        <v>3682.0646535382789</v>
      </c>
      <c r="E149" s="159">
        <f t="shared" si="22"/>
        <v>545.89145161484782</v>
      </c>
    </row>
    <row r="150" spans="3:5" ht="19">
      <c r="C150" s="157">
        <f t="shared" si="23"/>
        <v>1500</v>
      </c>
      <c r="D150" s="159">
        <f>(8*PI()^2*(2*PI()*$B$8*C150)^(3/2)*SQRT($D$132*$E$132*$F$132))/($I$139*$B$14^3)</f>
        <v>4083.5346503762921</v>
      </c>
      <c r="E150" s="159">
        <f t="shared" si="22"/>
        <v>605.41214448022993</v>
      </c>
    </row>
    <row r="151" spans="3:5" ht="19">
      <c r="C151" s="157">
        <f t="shared" si="23"/>
        <v>1600</v>
      </c>
      <c r="D151" s="159">
        <f>(8*PI()^2*(2*PI()*$B$8*C151)^(3/2)*SQRT($D$132*$E$132*$F$132))/($I$139*$B$14^3)</f>
        <v>4498.6202153438899</v>
      </c>
      <c r="E151" s="159">
        <f t="shared" si="22"/>
        <v>666.95143912210449</v>
      </c>
    </row>
    <row r="152" spans="3:5" ht="19">
      <c r="C152" s="157">
        <f t="shared" si="23"/>
        <v>1700</v>
      </c>
      <c r="D152" s="159">
        <f>(8*PI()^2*(2*PI()*$B$8*C152)^(3/2)*SQRT($D$132*$E$132*$F$132))/($I$139*$B$14^3)</f>
        <v>4926.8885530598673</v>
      </c>
      <c r="E152" s="159">
        <f t="shared" si="22"/>
        <v>730.44517064356944</v>
      </c>
    </row>
    <row r="153" spans="3:5" ht="19">
      <c r="C153" s="157">
        <f t="shared" si="23"/>
        <v>1800</v>
      </c>
      <c r="D153" s="159">
        <f>(8*PI()^2*(2*PI()*$B$8*C153)^(3/2)*SQRT($D$132*$E$132*$F$132))/($I$139*$B$14^3)</f>
        <v>5367.9457016761726</v>
      </c>
      <c r="E153" s="159">
        <f t="shared" si="22"/>
        <v>795.83493148655714</v>
      </c>
    </row>
    <row r="154" spans="3:5" ht="19">
      <c r="C154" s="157">
        <f t="shared" si="23"/>
        <v>1900</v>
      </c>
      <c r="D154" s="159">
        <f>(8*PI()^2*(2*PI()*$B$8*C154)^(3/2)*SQRT($D$132*$E$132*$F$132))/($I$139*$B$14^3)</f>
        <v>5821.4310496408043</v>
      </c>
      <c r="E154" s="159">
        <f t="shared" si="22"/>
        <v>863.06725850411249</v>
      </c>
    </row>
    <row r="155" spans="3:5" ht="20" thickBot="1">
      <c r="C155" s="166">
        <f t="shared" si="23"/>
        <v>2000</v>
      </c>
      <c r="D155" s="168">
        <f>(8*PI()^2*(2*PI()*$B$8*C155)^(3/2)*SQRT($D$132*$E$132*$F$132))/($I$139*$B$14^3)</f>
        <v>6287.0128790397457</v>
      </c>
      <c r="E155" s="168">
        <f t="shared" si="22"/>
        <v>932.09297223021019</v>
      </c>
    </row>
    <row r="162" spans="2:16" ht="19">
      <c r="B162" s="67"/>
      <c r="C162" s="67"/>
      <c r="D162" s="67"/>
      <c r="E162" s="67"/>
      <c r="F162" s="67"/>
      <c r="G162" s="67"/>
      <c r="H162" s="67"/>
      <c r="I162" s="67"/>
      <c r="J162" s="67"/>
      <c r="K162" s="67"/>
      <c r="L162" s="67"/>
      <c r="M162" s="67"/>
      <c r="N162" s="67"/>
      <c r="O162" s="67"/>
      <c r="P162" s="67"/>
    </row>
    <row r="163" spans="2:16" ht="19">
      <c r="B163" s="67"/>
      <c r="C163" s="67"/>
      <c r="D163" s="67"/>
      <c r="E163" s="67"/>
      <c r="F163" s="67" t="s">
        <v>78</v>
      </c>
      <c r="G163" s="67"/>
      <c r="H163" s="67"/>
      <c r="I163" s="67"/>
      <c r="J163" s="67"/>
      <c r="K163" s="67"/>
      <c r="L163" s="67"/>
      <c r="M163" s="67"/>
      <c r="N163" s="67"/>
      <c r="O163" s="67"/>
    </row>
    <row r="164" spans="2:16" ht="27">
      <c r="B164" s="67"/>
      <c r="C164" s="148" t="s">
        <v>111</v>
      </c>
      <c r="D164" s="149"/>
      <c r="E164" s="67"/>
      <c r="F164" s="67"/>
      <c r="G164" s="67"/>
      <c r="H164" s="67"/>
      <c r="I164" s="67"/>
      <c r="J164" s="67"/>
      <c r="K164" s="67"/>
      <c r="L164" s="67"/>
      <c r="M164" s="67"/>
      <c r="N164" s="67"/>
      <c r="O164" s="67"/>
    </row>
    <row r="165" spans="2:16" ht="19">
      <c r="B165" s="67"/>
      <c r="C165" s="67"/>
      <c r="D165" s="67"/>
      <c r="E165" s="67"/>
      <c r="F165" s="67"/>
      <c r="G165" s="67"/>
      <c r="H165" s="67"/>
      <c r="I165" s="67"/>
      <c r="J165" s="67"/>
      <c r="K165" s="67"/>
      <c r="L165" s="67"/>
      <c r="M165" s="67"/>
      <c r="N165" s="67"/>
      <c r="O165" s="67"/>
    </row>
    <row r="166" spans="2:16" ht="20" thickBot="1">
      <c r="B166" s="67"/>
      <c r="C166" s="142" t="s">
        <v>112</v>
      </c>
      <c r="F166" s="67"/>
      <c r="G166" s="67"/>
      <c r="H166" s="67"/>
      <c r="I166" s="67"/>
      <c r="J166" s="67"/>
      <c r="K166" s="67"/>
      <c r="L166" s="67"/>
      <c r="M166" s="67"/>
      <c r="N166" s="67"/>
      <c r="O166" s="67"/>
    </row>
    <row r="167" spans="2:16" ht="20" thickBot="1">
      <c r="B167" s="67"/>
      <c r="C167" s="229"/>
      <c r="D167" s="143">
        <v>1</v>
      </c>
      <c r="E167" s="305">
        <f>D167+1</f>
        <v>2</v>
      </c>
      <c r="F167" s="144" t="s">
        <v>113</v>
      </c>
      <c r="G167" s="67"/>
      <c r="H167" s="67"/>
      <c r="I167" s="67"/>
      <c r="J167" s="67"/>
      <c r="K167" s="67"/>
      <c r="L167" s="67"/>
      <c r="M167" s="67"/>
      <c r="N167" s="67"/>
      <c r="O167" s="67"/>
    </row>
    <row r="168" spans="2:16" ht="20" thickBot="1">
      <c r="B168" s="67"/>
      <c r="C168" s="230" t="s">
        <v>114</v>
      </c>
      <c r="D168" s="231">
        <f>J$46</f>
        <v>-55.860119611899997</v>
      </c>
      <c r="E168" s="231">
        <f t="shared" ref="E168:F168" si="24">K$46</f>
        <v>-55.860346330299997</v>
      </c>
      <c r="F168" s="231">
        <f t="shared" si="24"/>
        <v>-55.860361070000003</v>
      </c>
      <c r="G168" s="67"/>
      <c r="H168" s="67"/>
      <c r="I168" s="67"/>
      <c r="J168" s="67"/>
      <c r="K168" s="67"/>
      <c r="L168" s="67"/>
      <c r="M168" s="67"/>
      <c r="N168" s="67"/>
      <c r="O168" s="67"/>
    </row>
    <row r="169" spans="2:16" ht="20" thickBot="1">
      <c r="B169" s="67"/>
      <c r="C169" s="233" t="s">
        <v>115</v>
      </c>
      <c r="D169" s="175">
        <f>D168*$K$7</f>
        <v>-2.4355012150788397E-16</v>
      </c>
      <c r="E169" s="175">
        <f t="shared" ref="E169:F169" si="25">E168*$K$7</f>
        <v>-2.4355111000010801E-16</v>
      </c>
      <c r="F169" s="175">
        <f t="shared" si="25"/>
        <v>-2.435511742652E-16</v>
      </c>
      <c r="G169" s="67"/>
      <c r="H169" s="67"/>
      <c r="I169" s="67"/>
      <c r="J169" s="67"/>
      <c r="K169" s="67"/>
      <c r="L169" s="67"/>
      <c r="M169" s="67"/>
      <c r="N169" s="67"/>
      <c r="O169" s="67"/>
    </row>
    <row r="170" spans="2:16" ht="20" thickBot="1">
      <c r="B170" s="67"/>
      <c r="D170" s="67"/>
      <c r="E170" s="67"/>
      <c r="F170" s="67"/>
      <c r="G170" s="67"/>
      <c r="H170" s="67"/>
      <c r="I170" s="67"/>
      <c r="J170" s="67"/>
      <c r="K170" s="67"/>
      <c r="L170" s="67"/>
      <c r="M170" s="67"/>
      <c r="N170" s="67"/>
      <c r="O170" s="67"/>
    </row>
    <row r="171" spans="2:16" ht="22" thickBot="1">
      <c r="B171" s="67"/>
      <c r="C171" s="208" t="s">
        <v>116</v>
      </c>
      <c r="D171" s="67"/>
      <c r="E171" s="67"/>
      <c r="F171" s="67"/>
      <c r="G171" s="67"/>
      <c r="H171" s="67"/>
      <c r="I171" s="67"/>
      <c r="J171" s="67"/>
      <c r="K171" s="67"/>
      <c r="L171" s="67"/>
      <c r="M171" s="67"/>
      <c r="N171" s="67"/>
      <c r="O171" s="67"/>
    </row>
    <row r="172" spans="2:16" ht="23" thickBot="1">
      <c r="B172" s="67"/>
      <c r="C172" s="235">
        <f>F169+L23</f>
        <v>-2.434701916252E-16</v>
      </c>
      <c r="F172" s="67"/>
      <c r="G172" s="67"/>
      <c r="H172" s="152" t="s">
        <v>83</v>
      </c>
      <c r="I172" s="153"/>
      <c r="J172" s="153"/>
      <c r="K172" s="153"/>
      <c r="L172" s="153"/>
      <c r="M172" s="153"/>
      <c r="N172" s="67"/>
      <c r="O172" s="67"/>
    </row>
    <row r="173" spans="2:16" ht="20" thickBot="1">
      <c r="B173" s="67"/>
      <c r="F173" s="141"/>
      <c r="G173" s="67"/>
      <c r="H173" s="67"/>
      <c r="I173" s="67"/>
      <c r="J173" s="67"/>
      <c r="K173" s="67"/>
      <c r="L173" s="67"/>
      <c r="M173" s="67"/>
      <c r="N173" s="67"/>
      <c r="O173" s="67"/>
    </row>
    <row r="174" spans="2:16" ht="22" thickBot="1">
      <c r="B174" s="67"/>
      <c r="C174" s="226" t="s">
        <v>80</v>
      </c>
      <c r="D174" s="236" t="s">
        <v>117</v>
      </c>
      <c r="F174" s="67"/>
      <c r="G174" s="67"/>
      <c r="L174" s="150" t="s">
        <v>84</v>
      </c>
      <c r="M174" s="67"/>
      <c r="N174" s="67"/>
      <c r="O174" s="67"/>
    </row>
    <row r="175" spans="2:16" ht="20" thickBot="1">
      <c r="B175" s="67"/>
      <c r="C175" s="154">
        <v>298.14999999999998</v>
      </c>
      <c r="D175" s="156">
        <f>2</f>
        <v>2</v>
      </c>
      <c r="F175" s="67"/>
      <c r="G175" s="67"/>
      <c r="K175" s="160" t="s">
        <v>85</v>
      </c>
      <c r="L175" s="161">
        <f>2</f>
        <v>2</v>
      </c>
      <c r="M175" s="67"/>
      <c r="N175" s="67"/>
      <c r="O175" s="67"/>
    </row>
    <row r="176" spans="2:16" ht="20" thickBot="1">
      <c r="B176" s="67"/>
      <c r="C176" s="154">
        <v>300</v>
      </c>
      <c r="D176" s="156">
        <f>2</f>
        <v>2</v>
      </c>
      <c r="F176" s="67"/>
      <c r="G176" s="67"/>
      <c r="K176" s="162" t="s">
        <v>86</v>
      </c>
      <c r="L176" s="163">
        <f>P32</f>
        <v>2</v>
      </c>
      <c r="M176" s="67"/>
      <c r="N176" s="67"/>
      <c r="O176" s="67"/>
    </row>
    <row r="177" spans="2:15" ht="22">
      <c r="B177" s="67"/>
      <c r="C177" s="157">
        <f>C176+100</f>
        <v>400</v>
      </c>
      <c r="D177" s="159">
        <f>2</f>
        <v>2</v>
      </c>
      <c r="F177" s="67"/>
      <c r="G177" s="67"/>
      <c r="H177" s="67"/>
      <c r="I177" s="67"/>
      <c r="K177" s="164" t="s">
        <v>87</v>
      </c>
      <c r="L177" s="165">
        <f>ABS(L175-L176)/L175</f>
        <v>0</v>
      </c>
      <c r="M177" s="67"/>
      <c r="N177" s="67"/>
      <c r="O177" s="67"/>
    </row>
    <row r="178" spans="2:15" ht="19">
      <c r="B178" s="67"/>
      <c r="C178" s="157">
        <f t="shared" ref="C178:C193" si="26">C177+100</f>
        <v>500</v>
      </c>
      <c r="D178" s="159">
        <f>2</f>
        <v>2</v>
      </c>
      <c r="F178" s="67"/>
      <c r="G178" s="67"/>
    </row>
    <row r="179" spans="2:15" ht="19">
      <c r="B179" s="67"/>
      <c r="C179" s="157">
        <f t="shared" si="26"/>
        <v>600</v>
      </c>
      <c r="D179" s="159">
        <f>2</f>
        <v>2</v>
      </c>
      <c r="F179" s="67"/>
      <c r="G179" s="67"/>
    </row>
    <row r="180" spans="2:15" ht="19">
      <c r="B180" s="67"/>
      <c r="C180" s="157">
        <f t="shared" si="26"/>
        <v>700</v>
      </c>
      <c r="D180" s="159">
        <f>2</f>
        <v>2</v>
      </c>
      <c r="F180" s="67"/>
      <c r="G180" s="67"/>
    </row>
    <row r="181" spans="2:15" ht="19">
      <c r="C181" s="157">
        <f t="shared" si="26"/>
        <v>800</v>
      </c>
      <c r="D181" s="159">
        <f>2</f>
        <v>2</v>
      </c>
    </row>
    <row r="182" spans="2:15" ht="19">
      <c r="C182" s="157">
        <f t="shared" si="26"/>
        <v>900</v>
      </c>
      <c r="D182" s="159">
        <f>2</f>
        <v>2</v>
      </c>
    </row>
    <row r="183" spans="2:15" ht="19">
      <c r="C183" s="157">
        <f t="shared" si="26"/>
        <v>1000</v>
      </c>
      <c r="D183" s="159">
        <f>2</f>
        <v>2</v>
      </c>
    </row>
    <row r="184" spans="2:15" ht="19">
      <c r="C184" s="157">
        <f t="shared" si="26"/>
        <v>1100</v>
      </c>
      <c r="D184" s="159">
        <f>2</f>
        <v>2</v>
      </c>
    </row>
    <row r="185" spans="2:15" ht="19">
      <c r="C185" s="157">
        <f t="shared" si="26"/>
        <v>1200</v>
      </c>
      <c r="D185" s="159">
        <f>2</f>
        <v>2</v>
      </c>
    </row>
    <row r="186" spans="2:15" ht="19">
      <c r="C186" s="157">
        <f t="shared" si="26"/>
        <v>1300</v>
      </c>
      <c r="D186" s="159">
        <f>2</f>
        <v>2</v>
      </c>
    </row>
    <row r="187" spans="2:15" ht="19">
      <c r="C187" s="157">
        <f t="shared" si="26"/>
        <v>1400</v>
      </c>
      <c r="D187" s="159">
        <f>2</f>
        <v>2</v>
      </c>
    </row>
    <row r="188" spans="2:15" ht="19">
      <c r="C188" s="157">
        <f t="shared" si="26"/>
        <v>1500</v>
      </c>
      <c r="D188" s="159">
        <f>2</f>
        <v>2</v>
      </c>
    </row>
    <row r="189" spans="2:15" ht="19">
      <c r="C189" s="157">
        <f t="shared" si="26"/>
        <v>1600</v>
      </c>
      <c r="D189" s="159">
        <f>2</f>
        <v>2</v>
      </c>
    </row>
    <row r="190" spans="2:15" ht="19">
      <c r="C190" s="157">
        <f t="shared" si="26"/>
        <v>1700</v>
      </c>
      <c r="D190" s="159">
        <f>2</f>
        <v>2</v>
      </c>
    </row>
    <row r="191" spans="2:15" ht="19">
      <c r="C191" s="157">
        <f t="shared" si="26"/>
        <v>1800</v>
      </c>
      <c r="D191" s="159">
        <f>2</f>
        <v>2</v>
      </c>
    </row>
    <row r="192" spans="2:15" ht="19">
      <c r="C192" s="157">
        <f t="shared" si="26"/>
        <v>1900</v>
      </c>
      <c r="D192" s="159">
        <f>2</f>
        <v>2</v>
      </c>
    </row>
    <row r="193" spans="3:11" ht="20" thickBot="1">
      <c r="C193" s="166">
        <f t="shared" si="26"/>
        <v>2000</v>
      </c>
      <c r="D193" s="168">
        <f>2</f>
        <v>2</v>
      </c>
    </row>
    <row r="197" spans="3:11" ht="17" thickBot="1"/>
    <row r="198" spans="3:11" ht="20" thickBot="1">
      <c r="E198" s="67"/>
      <c r="F198" s="67" t="s">
        <v>78</v>
      </c>
      <c r="G198" s="67"/>
      <c r="H198" s="321" t="s">
        <v>118</v>
      </c>
      <c r="I198" s="328"/>
      <c r="J198" s="328"/>
      <c r="K198" s="322"/>
    </row>
    <row r="199" spans="3:11" ht="28" thickBot="1">
      <c r="C199" s="148" t="s">
        <v>119</v>
      </c>
      <c r="D199" s="149"/>
      <c r="E199" s="67"/>
      <c r="F199" s="67"/>
      <c r="G199" s="67"/>
      <c r="H199" s="138" t="s">
        <v>120</v>
      </c>
      <c r="I199" s="138" t="s">
        <v>121</v>
      </c>
      <c r="J199" s="138" t="s">
        <v>122</v>
      </c>
      <c r="K199" s="138" t="s">
        <v>123</v>
      </c>
    </row>
    <row r="202" spans="3:11" ht="17" thickBot="1"/>
    <row r="203" spans="3:11" ht="20" thickBot="1">
      <c r="D203" s="240" t="s">
        <v>124</v>
      </c>
      <c r="E203" s="241"/>
    </row>
    <row r="204" spans="3:11" ht="20" thickBot="1">
      <c r="D204" s="174" t="s">
        <v>125</v>
      </c>
      <c r="E204" s="242" t="s">
        <v>126</v>
      </c>
    </row>
    <row r="205" spans="3:11" ht="19">
      <c r="C205" s="93" t="s">
        <v>45</v>
      </c>
      <c r="D205" s="99">
        <f>$Q23</f>
        <v>6.0359999999999996</v>
      </c>
      <c r="E205" s="161">
        <f>D205*4.184</f>
        <v>25.254624</v>
      </c>
    </row>
    <row r="206" spans="3:11" ht="19">
      <c r="C206" s="101" t="s">
        <v>48</v>
      </c>
      <c r="D206" s="99">
        <f t="shared" ref="D206:D209" si="27">$Q24</f>
        <v>0</v>
      </c>
      <c r="E206" s="245">
        <f t="shared" ref="E206:E209" si="28">D206*4.184</f>
        <v>0</v>
      </c>
    </row>
    <row r="207" spans="3:11" ht="19">
      <c r="C207" s="101" t="s">
        <v>50</v>
      </c>
      <c r="D207" s="99">
        <f t="shared" si="27"/>
        <v>2.9809999999999999</v>
      </c>
      <c r="E207" s="245">
        <f t="shared" si="28"/>
        <v>12.472504000000001</v>
      </c>
    </row>
    <row r="208" spans="3:11" ht="19">
      <c r="C208" s="101" t="s">
        <v>52</v>
      </c>
      <c r="D208" s="99">
        <f t="shared" si="27"/>
        <v>2.9809999999999999</v>
      </c>
      <c r="E208" s="245">
        <f t="shared" si="28"/>
        <v>12.472504000000001</v>
      </c>
    </row>
    <row r="209" spans="3:16" ht="20" thickBot="1">
      <c r="C209" s="106" t="s">
        <v>55</v>
      </c>
      <c r="D209" s="99">
        <f t="shared" si="27"/>
        <v>7.4999999999999997E-2</v>
      </c>
      <c r="E209" s="245">
        <f t="shared" si="28"/>
        <v>0.31380000000000002</v>
      </c>
      <c r="K209">
        <f>COLUMN(E205)</f>
        <v>5</v>
      </c>
    </row>
    <row r="210" spans="3:16" ht="24" customHeight="1"/>
    <row r="211" spans="3:16" ht="17" thickBot="1"/>
    <row r="212" spans="3:16" ht="23" thickBot="1">
      <c r="D212" s="246" t="s">
        <v>126</v>
      </c>
      <c r="E212" s="247"/>
      <c r="F212" s="247"/>
      <c r="G212" s="247"/>
      <c r="H212" s="248"/>
      <c r="J212" s="152" t="s">
        <v>83</v>
      </c>
      <c r="K212" s="153"/>
      <c r="L212" s="153"/>
      <c r="M212" s="153"/>
      <c r="N212" s="153"/>
      <c r="O212" s="153"/>
      <c r="P212" s="67"/>
    </row>
    <row r="213" spans="3:16" ht="20" thickBot="1">
      <c r="C213" s="226" t="s">
        <v>80</v>
      </c>
      <c r="D213" s="249" t="s">
        <v>127</v>
      </c>
      <c r="E213" s="250" t="s">
        <v>128</v>
      </c>
      <c r="F213" s="250" t="s">
        <v>129</v>
      </c>
      <c r="G213" s="251" t="s">
        <v>130</v>
      </c>
      <c r="H213" s="208" t="s">
        <v>131</v>
      </c>
      <c r="J213" s="67"/>
      <c r="K213" s="67"/>
      <c r="L213" s="67"/>
      <c r="M213" s="67"/>
      <c r="N213" s="67"/>
      <c r="O213" s="67"/>
      <c r="P213" s="67"/>
    </row>
    <row r="214" spans="3:16" ht="20" thickBot="1">
      <c r="C214" s="176">
        <v>298.14999999999998</v>
      </c>
      <c r="D214" s="329">
        <f>3*$B$7/2</f>
        <v>12.471599999999999</v>
      </c>
      <c r="E214" s="331" cm="1">
        <f t="array" ref="E214">$B$7*SUM(($D$42:$D$44*$D$42:$D$44)*EXP($D$42:$D$44/$C214)/($C214^2*(EXP($D$42:$D$44/$C214)-1)^2))</f>
        <v>0.31223353646589624</v>
      </c>
      <c r="F214" s="330">
        <f>3*$B$7/2</f>
        <v>12.471599999999999</v>
      </c>
      <c r="G214" s="330">
        <v>0</v>
      </c>
      <c r="H214" s="254">
        <f t="shared" ref="H214:H232" si="29">SUM(D214:G214)</f>
        <v>25.255433536465894</v>
      </c>
      <c r="K214" s="249" t="s">
        <v>127</v>
      </c>
      <c r="L214" s="250" t="s">
        <v>128</v>
      </c>
      <c r="M214" s="250" t="s">
        <v>129</v>
      </c>
      <c r="N214" s="251" t="s">
        <v>130</v>
      </c>
      <c r="O214" s="208" t="s">
        <v>131</v>
      </c>
      <c r="P214" s="67"/>
    </row>
    <row r="215" spans="3:16" ht="19">
      <c r="C215" s="154">
        <v>300</v>
      </c>
      <c r="D215" s="329">
        <f>3*$B$7/2</f>
        <v>12.471599999999999</v>
      </c>
      <c r="E215" s="331" cm="1">
        <f t="array" ref="E215">$B$7*SUM(($D$42:$D$44*$D$42:$D$44)*EXP($D$42:$D$44/$C215)/($C215^2*(EXP($D$42:$D$44/$C215)-1)^2))</f>
        <v>0.32253494243897562</v>
      </c>
      <c r="F215" s="330">
        <f>3*$B$7/2</f>
        <v>12.471599999999999</v>
      </c>
      <c r="G215" s="332">
        <v>0</v>
      </c>
      <c r="H215" s="254">
        <f t="shared" si="29"/>
        <v>25.265734942438975</v>
      </c>
      <c r="J215" s="160" t="s">
        <v>85</v>
      </c>
      <c r="K215" s="161">
        <f>D$214</f>
        <v>12.471599999999999</v>
      </c>
      <c r="L215" s="161">
        <f>E$214</f>
        <v>0.31223353646589624</v>
      </c>
      <c r="M215" s="161">
        <f t="shared" ref="L215:O215" si="30">F$214</f>
        <v>12.471599999999999</v>
      </c>
      <c r="N215" s="161">
        <f t="shared" si="30"/>
        <v>0</v>
      </c>
      <c r="O215" s="161">
        <f t="shared" si="30"/>
        <v>25.255433536465894</v>
      </c>
      <c r="P215" s="67"/>
    </row>
    <row r="216" spans="3:16" ht="20" thickBot="1">
      <c r="C216" s="157">
        <f>C215+100</f>
        <v>400</v>
      </c>
      <c r="D216" s="333">
        <f t="shared" ref="D216:D232" si="31">3*$B$7/2</f>
        <v>12.471599999999999</v>
      </c>
      <c r="E216" s="341" cm="1">
        <f t="array" ref="E216">$B$7*SUM(($D$42:$D$44*$D$42:$D$44)*EXP($D$42:$D$44/$C216)/($C216^2*(EXP($D$42:$D$44/$C216)-1)^2))</f>
        <v>1.1198593488400144</v>
      </c>
      <c r="F216" s="295">
        <f t="shared" ref="F216:F232" si="32">3*$B$7/2</f>
        <v>12.471599999999999</v>
      </c>
      <c r="G216" s="334">
        <v>0</v>
      </c>
      <c r="H216" s="258">
        <f t="shared" si="29"/>
        <v>26.063059348840014</v>
      </c>
      <c r="J216" s="162" t="s">
        <v>86</v>
      </c>
      <c r="K216" s="163">
        <f>E207</f>
        <v>12.472504000000001</v>
      </c>
      <c r="L216" s="163">
        <f>E209</f>
        <v>0.31380000000000002</v>
      </c>
      <c r="M216" s="163">
        <f>E208</f>
        <v>12.472504000000001</v>
      </c>
      <c r="N216" s="163">
        <f>E206</f>
        <v>0</v>
      </c>
      <c r="O216" s="163">
        <f>E205</f>
        <v>25.254624</v>
      </c>
      <c r="P216" s="67"/>
    </row>
    <row r="217" spans="3:16" ht="22">
      <c r="C217" s="157">
        <f t="shared" ref="C217:C232" si="33">C216+100</f>
        <v>500</v>
      </c>
      <c r="D217" s="333">
        <f t="shared" si="31"/>
        <v>12.471599999999999</v>
      </c>
      <c r="E217" s="341" cm="1">
        <f t="array" ref="E217">$B$7*SUM(($D$42:$D$44*$D$42:$D$44)*EXP($D$42:$D$44/$C217)/($C217^2*(EXP($D$42:$D$44/$C217)-1)^2))</f>
        <v>2.2262771427920574</v>
      </c>
      <c r="F217" s="295">
        <f t="shared" si="32"/>
        <v>12.471599999999999</v>
      </c>
      <c r="G217" s="334">
        <v>0</v>
      </c>
      <c r="H217" s="258">
        <f t="shared" si="29"/>
        <v>27.169477142792054</v>
      </c>
      <c r="J217" s="164" t="s">
        <v>87</v>
      </c>
      <c r="K217" s="165">
        <f>IFERROR(ABS(K215-K216)/K215,0)</f>
        <v>7.2484685204946797E-5</v>
      </c>
      <c r="L217" s="165">
        <f t="shared" ref="L217:O217" si="34">IFERROR(ABS(L215-L216)/L215,0)</f>
        <v>5.0169611881998345E-3</v>
      </c>
      <c r="M217" s="165">
        <f t="shared" si="34"/>
        <v>7.2484685204946797E-5</v>
      </c>
      <c r="N217" s="165">
        <f t="shared" si="34"/>
        <v>0</v>
      </c>
      <c r="O217" s="165">
        <f t="shared" si="34"/>
        <v>3.2053952458402099E-5</v>
      </c>
      <c r="P217" s="67"/>
    </row>
    <row r="218" spans="3:16" ht="19">
      <c r="C218" s="157">
        <f t="shared" si="33"/>
        <v>600</v>
      </c>
      <c r="D218" s="333">
        <f t="shared" si="31"/>
        <v>12.471599999999999</v>
      </c>
      <c r="E218" s="341" cm="1">
        <f t="array" ref="E218">$B$7*SUM(($D$42:$D$44*$D$42:$D$44)*EXP($D$42:$D$44/$C218)/($C218^2*(EXP($D$42:$D$44/$C218)-1)^2))</f>
        <v>3.4773453427048855</v>
      </c>
      <c r="F218" s="295">
        <f t="shared" si="32"/>
        <v>12.471599999999999</v>
      </c>
      <c r="G218" s="334">
        <v>0</v>
      </c>
      <c r="H218" s="258">
        <f t="shared" si="29"/>
        <v>28.420545342704884</v>
      </c>
    </row>
    <row r="219" spans="3:16" ht="19">
      <c r="C219" s="157">
        <f t="shared" si="33"/>
        <v>700</v>
      </c>
      <c r="D219" s="333">
        <f t="shared" si="31"/>
        <v>12.471599999999999</v>
      </c>
      <c r="E219" s="341" cm="1">
        <f t="array" ref="E219">$B$7*SUM(($D$42:$D$44*$D$42:$D$44)*EXP($D$42:$D$44/$C219)/($C219^2*(EXP($D$42:$D$44/$C219)-1)^2))</f>
        <v>4.8116757534441295</v>
      </c>
      <c r="F219" s="295">
        <f t="shared" si="32"/>
        <v>12.471599999999999</v>
      </c>
      <c r="G219" s="334">
        <v>0</v>
      </c>
      <c r="H219" s="258">
        <f t="shared" si="29"/>
        <v>29.754875753444129</v>
      </c>
    </row>
    <row r="220" spans="3:16" ht="19">
      <c r="C220" s="157">
        <f t="shared" si="33"/>
        <v>800</v>
      </c>
      <c r="D220" s="333">
        <f t="shared" si="31"/>
        <v>12.471599999999999</v>
      </c>
      <c r="E220" s="341" cm="1">
        <f t="array" ref="E220">$B$7*SUM(($D$42:$D$44*$D$42:$D$44)*EXP($D$42:$D$44/$C220)/($C220^2*(EXP($D$42:$D$44/$C220)-1)^2))</f>
        <v>6.1946733699203094</v>
      </c>
      <c r="F220" s="295">
        <f t="shared" si="32"/>
        <v>12.471599999999999</v>
      </c>
      <c r="G220" s="334">
        <v>0</v>
      </c>
      <c r="H220" s="258">
        <f t="shared" si="29"/>
        <v>31.137873369920307</v>
      </c>
    </row>
    <row r="221" spans="3:16" ht="19">
      <c r="C221" s="157">
        <f t="shared" si="33"/>
        <v>900</v>
      </c>
      <c r="D221" s="333">
        <f t="shared" si="31"/>
        <v>12.471599999999999</v>
      </c>
      <c r="E221" s="341" cm="1">
        <f t="array" ref="E221">$B$7*SUM(($D$42:$D$44*$D$42:$D$44)*EXP($D$42:$D$44/$C221)/($C221^2*(EXP($D$42:$D$44/$C221)-1)^2))</f>
        <v>7.5881674286126817</v>
      </c>
      <c r="F221" s="295">
        <f t="shared" si="32"/>
        <v>12.471599999999999</v>
      </c>
      <c r="G221" s="334">
        <v>0</v>
      </c>
      <c r="H221" s="258">
        <f t="shared" si="29"/>
        <v>32.531367428612683</v>
      </c>
    </row>
    <row r="222" spans="3:16" ht="19">
      <c r="C222" s="157">
        <f t="shared" si="33"/>
        <v>1000</v>
      </c>
      <c r="D222" s="333">
        <f t="shared" si="31"/>
        <v>12.471599999999999</v>
      </c>
      <c r="E222" s="341" cm="1">
        <f t="array" ref="E222">$B$7*SUM(($D$42:$D$44*$D$42:$D$44)*EXP($D$42:$D$44/$C222)/($C222^2*(EXP($D$42:$D$44/$C222)-1)^2))</f>
        <v>8.9535239248778602</v>
      </c>
      <c r="F222" s="295">
        <f t="shared" si="32"/>
        <v>12.471599999999999</v>
      </c>
      <c r="G222" s="334">
        <v>0</v>
      </c>
      <c r="H222" s="258">
        <f t="shared" si="29"/>
        <v>33.896723924877861</v>
      </c>
    </row>
    <row r="223" spans="3:16" ht="19">
      <c r="C223" s="157">
        <f t="shared" si="33"/>
        <v>1100</v>
      </c>
      <c r="D223" s="333">
        <f t="shared" si="31"/>
        <v>12.471599999999999</v>
      </c>
      <c r="E223" s="341" cm="1">
        <f t="array" ref="E223">$B$7*SUM(($D$42:$D$44*$D$42:$D$44)*EXP($D$42:$D$44/$C223)/($C223^2*(EXP($D$42:$D$44/$C223)-1)^2))</f>
        <v>10.259194283522941</v>
      </c>
      <c r="F223" s="295">
        <f t="shared" si="32"/>
        <v>12.471599999999999</v>
      </c>
      <c r="G223" s="334">
        <v>0</v>
      </c>
      <c r="H223" s="258">
        <f t="shared" si="29"/>
        <v>35.202394283522935</v>
      </c>
    </row>
    <row r="224" spans="3:16" ht="19">
      <c r="C224" s="157">
        <f t="shared" si="33"/>
        <v>1200</v>
      </c>
      <c r="D224" s="333">
        <f t="shared" si="31"/>
        <v>12.471599999999999</v>
      </c>
      <c r="E224" s="341" cm="1">
        <f t="array" ref="E224">$B$7*SUM(($D$42:$D$44*$D$42:$D$44)*EXP($D$42:$D$44/$C224)/($C224^2*(EXP($D$42:$D$44/$C224)-1)^2))</f>
        <v>11.483938970832574</v>
      </c>
      <c r="F224" s="295">
        <f t="shared" si="32"/>
        <v>12.471599999999999</v>
      </c>
      <c r="G224" s="334">
        <v>0</v>
      </c>
      <c r="H224" s="258">
        <f t="shared" si="29"/>
        <v>36.427138970832573</v>
      </c>
    </row>
    <row r="225" spans="3:11" ht="19">
      <c r="C225" s="157">
        <f t="shared" si="33"/>
        <v>1300</v>
      </c>
      <c r="D225" s="333">
        <f t="shared" si="31"/>
        <v>12.471599999999999</v>
      </c>
      <c r="E225" s="341" cm="1">
        <f t="array" ref="E225">$B$7*SUM(($D$42:$D$44*$D$42:$D$44)*EXP($D$42:$D$44/$C225)/($C225^2*(EXP($D$42:$D$44/$C225)-1)^2))</f>
        <v>12.616312699943046</v>
      </c>
      <c r="F225" s="295">
        <f t="shared" si="32"/>
        <v>12.471599999999999</v>
      </c>
      <c r="G225" s="334">
        <v>0</v>
      </c>
      <c r="H225" s="258">
        <f t="shared" si="29"/>
        <v>37.559512699943042</v>
      </c>
    </row>
    <row r="226" spans="3:11" ht="19">
      <c r="C226" s="157">
        <f t="shared" si="33"/>
        <v>1400</v>
      </c>
      <c r="D226" s="333">
        <f t="shared" si="31"/>
        <v>12.471599999999999</v>
      </c>
      <c r="E226" s="341" cm="1">
        <f t="array" ref="E226">$B$7*SUM(($D$42:$D$44*$D$42:$D$44)*EXP($D$42:$D$44/$C226)/($C226^2*(EXP($D$42:$D$44/$C226)-1)^2))</f>
        <v>13.652516109094424</v>
      </c>
      <c r="F226" s="295">
        <f t="shared" si="32"/>
        <v>12.471599999999999</v>
      </c>
      <c r="G226" s="334">
        <v>0</v>
      </c>
      <c r="H226" s="258">
        <f t="shared" si="29"/>
        <v>38.595716109094425</v>
      </c>
    </row>
    <row r="227" spans="3:11" ht="19">
      <c r="C227" s="157">
        <f t="shared" si="33"/>
        <v>1500</v>
      </c>
      <c r="D227" s="333">
        <f t="shared" si="31"/>
        <v>12.471599999999999</v>
      </c>
      <c r="E227" s="341" cm="1">
        <f t="array" ref="E227">$B$7*SUM(($D$42:$D$44*$D$42:$D$44)*EXP($D$42:$D$44/$C227)/($C227^2*(EXP($D$42:$D$44/$C227)-1)^2))</f>
        <v>14.59401238221105</v>
      </c>
      <c r="F227" s="295">
        <f t="shared" si="32"/>
        <v>12.471599999999999</v>
      </c>
      <c r="G227" s="334">
        <v>0</v>
      </c>
      <c r="H227" s="258">
        <f t="shared" si="29"/>
        <v>39.537212382211052</v>
      </c>
    </row>
    <row r="228" spans="3:11" ht="19">
      <c r="C228" s="157">
        <f t="shared" si="33"/>
        <v>1600</v>
      </c>
      <c r="D228" s="333">
        <f t="shared" si="31"/>
        <v>12.471599999999999</v>
      </c>
      <c r="E228" s="341" cm="1">
        <f t="array" ref="E228">$B$7*SUM(($D$42:$D$44*$D$42:$D$44)*EXP($D$42:$D$44/$C228)/($C228^2*(EXP($D$42:$D$44/$C228)-1)^2))</f>
        <v>15.445517859296526</v>
      </c>
      <c r="F228" s="295">
        <f t="shared" si="32"/>
        <v>12.471599999999999</v>
      </c>
      <c r="G228" s="334">
        <v>0</v>
      </c>
      <c r="H228" s="258">
        <f t="shared" si="29"/>
        <v>40.38871785929652</v>
      </c>
    </row>
    <row r="229" spans="3:11" ht="19">
      <c r="C229" s="157">
        <f t="shared" si="33"/>
        <v>1700</v>
      </c>
      <c r="D229" s="333">
        <f t="shared" si="31"/>
        <v>12.471599999999999</v>
      </c>
      <c r="E229" s="341" cm="1">
        <f t="array" ref="E229">$B$7*SUM(($D$42:$D$44*$D$42:$D$44)*EXP($D$42:$D$44/$C229)/($C229^2*(EXP($D$42:$D$44/$C229)-1)^2))</f>
        <v>16.213516440290981</v>
      </c>
      <c r="F229" s="295">
        <f t="shared" si="32"/>
        <v>12.471599999999999</v>
      </c>
      <c r="G229" s="334">
        <v>0</v>
      </c>
      <c r="H229" s="258">
        <f t="shared" si="29"/>
        <v>41.156716440290978</v>
      </c>
    </row>
    <row r="230" spans="3:11" ht="19">
      <c r="C230" s="157">
        <f t="shared" si="33"/>
        <v>1800</v>
      </c>
      <c r="D230" s="333">
        <f t="shared" si="31"/>
        <v>12.471599999999999</v>
      </c>
      <c r="E230" s="341" cm="1">
        <f t="array" ref="E230">$B$7*SUM(($D$42:$D$44*$D$42:$D$44)*EXP($D$42:$D$44/$C230)/($C230^2*(EXP($D$42:$D$44/$C230)-1)^2))</f>
        <v>16.905248917063176</v>
      </c>
      <c r="F230" s="295">
        <f t="shared" si="32"/>
        <v>12.471599999999999</v>
      </c>
      <c r="G230" s="334">
        <v>0</v>
      </c>
      <c r="H230" s="258">
        <f t="shared" si="29"/>
        <v>41.848448917063173</v>
      </c>
    </row>
    <row r="231" spans="3:11" ht="19">
      <c r="C231" s="157">
        <f t="shared" si="33"/>
        <v>1900</v>
      </c>
      <c r="D231" s="333">
        <f t="shared" si="31"/>
        <v>12.471599999999999</v>
      </c>
      <c r="E231" s="341" cm="1">
        <f t="array" ref="E231">$B$7*SUM(($D$42:$D$44*$D$42:$D$44)*EXP($D$42:$D$44/$C231)/($C231^2*(EXP($D$42:$D$44/$C231)-1)^2))</f>
        <v>17.528069489591779</v>
      </c>
      <c r="F231" s="295">
        <f t="shared" si="32"/>
        <v>12.471599999999999</v>
      </c>
      <c r="G231" s="334">
        <v>0</v>
      </c>
      <c r="H231" s="258">
        <f t="shared" si="29"/>
        <v>42.471269489591776</v>
      </c>
    </row>
    <row r="232" spans="3:11" ht="20" thickBot="1">
      <c r="C232" s="166">
        <f t="shared" si="33"/>
        <v>2000</v>
      </c>
      <c r="D232" s="335">
        <f t="shared" si="31"/>
        <v>12.471599999999999</v>
      </c>
      <c r="E232" s="342" cm="1">
        <f t="array" ref="E232">$B$7*SUM(($D$42:$D$44*$D$42:$D$44)*EXP($D$42:$D$44/$C232)/($C232^2*(EXP($D$42:$D$44/$C232)-1)^2))</f>
        <v>18.0890629541416</v>
      </c>
      <c r="F232" s="336">
        <f t="shared" si="32"/>
        <v>12.471599999999999</v>
      </c>
      <c r="G232" s="337">
        <v>0</v>
      </c>
      <c r="H232" s="262">
        <f t="shared" si="29"/>
        <v>43.032262954141601</v>
      </c>
    </row>
    <row r="238" spans="3:11" ht="17" thickBot="1"/>
    <row r="239" spans="3:11" ht="20" thickBot="1">
      <c r="E239" s="67"/>
      <c r="F239" s="67" t="s">
        <v>78</v>
      </c>
      <c r="G239" s="67"/>
      <c r="H239" s="321" t="s">
        <v>118</v>
      </c>
      <c r="I239" s="328"/>
      <c r="J239" s="328"/>
      <c r="K239" s="322"/>
    </row>
    <row r="240" spans="3:11" ht="28" thickBot="1">
      <c r="C240" s="148" t="s">
        <v>132</v>
      </c>
      <c r="D240" s="149"/>
      <c r="E240" s="67"/>
      <c r="F240" s="67"/>
      <c r="G240" s="67"/>
      <c r="H240" s="138" t="s">
        <v>120</v>
      </c>
      <c r="I240" s="138" t="s">
        <v>121</v>
      </c>
      <c r="J240" s="138" t="s">
        <v>122</v>
      </c>
      <c r="K240" s="138" t="s">
        <v>123</v>
      </c>
    </row>
    <row r="244" spans="3:10" ht="20" thickBot="1">
      <c r="D244" s="338"/>
      <c r="E244" s="338"/>
    </row>
    <row r="245" spans="3:10" ht="20" thickBot="1">
      <c r="D245" s="240" t="s">
        <v>133</v>
      </c>
      <c r="E245" s="241"/>
    </row>
    <row r="246" spans="3:10" ht="20" thickBot="1">
      <c r="D246" s="174" t="s">
        <v>125</v>
      </c>
      <c r="E246" s="242" t="s">
        <v>126</v>
      </c>
    </row>
    <row r="247" spans="3:10" ht="19">
      <c r="C247" s="93" t="s">
        <v>45</v>
      </c>
      <c r="D247" s="375">
        <f>$R23</f>
        <v>46.542999999999999</v>
      </c>
      <c r="E247" s="161">
        <f>D247*4.184</f>
        <v>194.73591200000001</v>
      </c>
    </row>
    <row r="248" spans="3:10" ht="19">
      <c r="C248" s="101" t="s">
        <v>48</v>
      </c>
      <c r="D248" s="375">
        <f t="shared" ref="D248:D251" si="35">$R24</f>
        <v>1.377</v>
      </c>
      <c r="E248" s="245">
        <f t="shared" ref="E248:E251" si="36">D248*4.184</f>
        <v>5.761368</v>
      </c>
    </row>
    <row r="249" spans="3:10" ht="19">
      <c r="C249" s="101" t="s">
        <v>50</v>
      </c>
      <c r="D249" s="375">
        <f t="shared" si="35"/>
        <v>34.259</v>
      </c>
      <c r="E249" s="245">
        <f t="shared" si="36"/>
        <v>143.33965600000002</v>
      </c>
    </row>
    <row r="250" spans="3:10" ht="19">
      <c r="C250" s="101" t="s">
        <v>52</v>
      </c>
      <c r="D250" s="375">
        <f t="shared" si="35"/>
        <v>10.895</v>
      </c>
      <c r="E250" s="245">
        <f t="shared" si="36"/>
        <v>45.584679999999999</v>
      </c>
    </row>
    <row r="251" spans="3:10" ht="20" thickBot="1">
      <c r="C251" s="106" t="s">
        <v>55</v>
      </c>
      <c r="D251" s="375">
        <f t="shared" si="35"/>
        <v>1.2E-2</v>
      </c>
      <c r="E251" s="245">
        <f t="shared" si="36"/>
        <v>5.0208000000000003E-2</v>
      </c>
    </row>
    <row r="253" spans="3:10" ht="17" thickBot="1"/>
    <row r="254" spans="3:10" ht="20" thickBot="1">
      <c r="C254" s="68" t="s">
        <v>34</v>
      </c>
      <c r="D254" s="266"/>
      <c r="E254" s="266"/>
      <c r="F254" s="266"/>
      <c r="G254" s="267"/>
      <c r="I254" s="77" t="s">
        <v>134</v>
      </c>
      <c r="J254" s="268">
        <f>($B$14^2)/(8*PI()*PI()*$G$258*$B$8)</f>
        <v>2.6176518301624512</v>
      </c>
    </row>
    <row r="255" spans="3:10" ht="20" thickBot="1">
      <c r="C255" s="269"/>
      <c r="D255" s="74" t="s">
        <v>37</v>
      </c>
      <c r="E255" s="75" t="s">
        <v>38</v>
      </c>
      <c r="F255" s="76" t="s">
        <v>39</v>
      </c>
      <c r="G255" s="208" t="s">
        <v>131</v>
      </c>
      <c r="I255" s="124"/>
      <c r="J255" s="124"/>
    </row>
    <row r="256" spans="3:10" ht="22" thickBot="1">
      <c r="C256" s="85" t="s">
        <v>44</v>
      </c>
      <c r="D256" s="270">
        <f>D$23</f>
        <v>2.4227300000000001</v>
      </c>
      <c r="E256" s="87">
        <f t="shared" ref="E256:F256" si="37">E$23</f>
        <v>4.9976700000000003</v>
      </c>
      <c r="F256" s="271">
        <f t="shared" si="37"/>
        <v>7.4203999999999999</v>
      </c>
      <c r="G256" s="198">
        <f>SQRT(F256^2 + E256^2 + D256^2)</f>
        <v>9.2686925853542039</v>
      </c>
      <c r="J256" s="124"/>
    </row>
    <row r="257" spans="1:18" ht="22" thickBot="1">
      <c r="C257" s="97" t="s">
        <v>47</v>
      </c>
      <c r="D257" s="98">
        <f>D256*$U$9</f>
        <v>4.0217318E-27</v>
      </c>
      <c r="E257" s="99">
        <f t="shared" ref="E257:F257" si="38">E256*$U$9</f>
        <v>8.2961321999999993E-27</v>
      </c>
      <c r="F257" s="272">
        <f t="shared" si="38"/>
        <v>1.2317863999999999E-26</v>
      </c>
      <c r="G257" s="198">
        <f t="shared" ref="G257:G258" si="39">SQRT(F257^2 + E257^2 + D257^2)</f>
        <v>1.5386029691687977E-26</v>
      </c>
    </row>
    <row r="258" spans="1:18" ht="22" thickBot="1">
      <c r="C258" s="102" t="s">
        <v>49</v>
      </c>
      <c r="D258" s="103">
        <f>D257*($Q$8)^2</f>
        <v>4.0217318000000003E-47</v>
      </c>
      <c r="E258" s="104">
        <f>E257*($Q$8)^2</f>
        <v>8.2961322E-47</v>
      </c>
      <c r="F258" s="273">
        <f t="shared" ref="F258" si="40">F257*($Q$8)^2</f>
        <v>1.2317863999999999E-46</v>
      </c>
      <c r="G258" s="198">
        <f t="shared" si="39"/>
        <v>1.5386029691687978E-46</v>
      </c>
    </row>
    <row r="259" spans="1:18" ht="17" thickBot="1"/>
    <row r="260" spans="1:18" ht="20" thickBot="1">
      <c r="F260" s="274" t="s">
        <v>126</v>
      </c>
      <c r="G260" s="275"/>
      <c r="H260" s="275"/>
      <c r="I260" s="275"/>
      <c r="J260" s="276"/>
    </row>
    <row r="261" spans="1:18" ht="23" thickBot="1">
      <c r="C261" s="226" t="s">
        <v>80</v>
      </c>
      <c r="D261" s="277" t="s">
        <v>135</v>
      </c>
      <c r="E261" s="176" t="s">
        <v>136</v>
      </c>
      <c r="F261" s="278" t="s">
        <v>127</v>
      </c>
      <c r="G261" s="279" t="s">
        <v>128</v>
      </c>
      <c r="H261" s="279" t="s">
        <v>129</v>
      </c>
      <c r="I261" s="280" t="s">
        <v>130</v>
      </c>
      <c r="J261" s="208" t="s">
        <v>131</v>
      </c>
      <c r="L261" s="152" t="s">
        <v>83</v>
      </c>
      <c r="M261" s="153"/>
      <c r="N261" s="153"/>
      <c r="O261" s="153"/>
      <c r="P261" s="153"/>
      <c r="Q261" s="153"/>
    </row>
    <row r="262" spans="1:18" ht="20" thickBot="1">
      <c r="C262" s="176">
        <v>298.14999999999998</v>
      </c>
      <c r="D262" s="281">
        <f>$B$7*C262/$B$16</f>
        <v>2.4465219442388352E-2</v>
      </c>
      <c r="E262" s="282">
        <f>((2*PI()*$A$28*$U$9*$B$8*$C262)/($B$14*$B$14))^(3/2)</f>
        <v>6.1998845251529288E+31</v>
      </c>
      <c r="F262" s="283">
        <f t="shared" ref="F262:F280" si="41">$B$7*LN(($D262/$B$6)*EXP(5/2)*E262)</f>
        <v>143.3341528008753</v>
      </c>
      <c r="G262" s="339" cm="1">
        <f t="array" ref="G262">$B$7*SUM((($D$42:$D$44)/$C262)/(EXP($D$42:$D$44/$C262)-1)-LN(1-EXP(-$D$42:$D$44/$C262)))</f>
        <v>4.8958865460855559E-2</v>
      </c>
      <c r="H262" s="284">
        <f>$B$7*(LN((SQRT(PI())/$A$31)*($C262^(3/2)/SQRT(C$29*D$29*E$29)))+3/2)</f>
        <v>45.583481404581178</v>
      </c>
      <c r="I262" s="340">
        <f>$B$7*LN(2)</f>
        <v>5.7631029180476085</v>
      </c>
      <c r="J262" s="286">
        <f t="shared" ref="J262:J280" si="42">SUM(F262:I262)</f>
        <v>194.72969598896495</v>
      </c>
      <c r="L262" s="67"/>
      <c r="M262" s="67"/>
      <c r="N262" s="67"/>
      <c r="O262" s="67"/>
      <c r="P262" s="67"/>
      <c r="Q262" s="67"/>
    </row>
    <row r="263" spans="1:18" ht="20" thickBot="1">
      <c r="C263" s="154">
        <v>300</v>
      </c>
      <c r="D263" s="281">
        <f>$B$7*C263/$B$16</f>
        <v>2.4617024426350848E-2</v>
      </c>
      <c r="E263" s="282">
        <f>((2*PI()*$A$28*$U$9*$B$8*$C263)/($B$14*$B$14))^(3/2)</f>
        <v>6.2576787243181684E+31</v>
      </c>
      <c r="F263" s="252">
        <f t="shared" si="41"/>
        <v>143.4627299892594</v>
      </c>
      <c r="G263" s="331" cm="1">
        <f t="array" ref="G263">$B$7*SUM((($D$42:$D$44)/$C263)/(EXP($D$42:$D$44/$C263)-1)-LN(1-EXP(-$D$42:$D$44/$C263)))</f>
        <v>5.0921999690476408E-2</v>
      </c>
      <c r="H263" s="253">
        <f t="shared" ref="H263:H280" si="43">$B$7*(LN((SQRT(PI())/$A$31)*($C263^(3/2)/SQRT(C$29*D$29*E$29)))+3/2)</f>
        <v>45.660627717611682</v>
      </c>
      <c r="I263" s="332">
        <f t="shared" ref="I263:I280" si="44">$B$7*LN(2)</f>
        <v>5.7631029180476085</v>
      </c>
      <c r="J263" s="286">
        <f t="shared" si="42"/>
        <v>194.93738262460917</v>
      </c>
      <c r="N263" s="249" t="s">
        <v>127</v>
      </c>
      <c r="O263" s="250" t="s">
        <v>128</v>
      </c>
      <c r="P263" s="250" t="s">
        <v>129</v>
      </c>
      <c r="Q263" s="251" t="s">
        <v>130</v>
      </c>
      <c r="R263" s="208" t="s">
        <v>131</v>
      </c>
    </row>
    <row r="264" spans="1:18" ht="20" thickBot="1">
      <c r="C264" s="157">
        <f>C263+100</f>
        <v>400</v>
      </c>
      <c r="D264" s="287">
        <f t="shared" ref="D264:D280" si="45">$B$7*C264/$B$16</f>
        <v>3.2822699235134464E-2</v>
      </c>
      <c r="E264" s="288">
        <f t="shared" ref="E264:E280" si="46">(2*PI()*$A$28*$U$9*$B$8*$C264/($B$14)^2)^(3/2)</f>
        <v>9.6343266559660536E+31</v>
      </c>
      <c r="F264" s="234">
        <f t="shared" si="41"/>
        <v>149.44248954724208</v>
      </c>
      <c r="G264" s="341" cm="1">
        <f t="array" ref="G264">$B$7*SUM((($D$42:$D$44)/$C264)/(EXP($D$42:$D$44/$C264)-1)-LN(1-EXP(-$D$42:$D$44/$C264)))</f>
        <v>0.24257859327961065</v>
      </c>
      <c r="H264" s="256">
        <f t="shared" si="43"/>
        <v>49.248483452401317</v>
      </c>
      <c r="I264" s="334">
        <f t="shared" si="44"/>
        <v>5.7631029180476085</v>
      </c>
      <c r="J264" s="289">
        <f t="shared" si="42"/>
        <v>204.6966545109706</v>
      </c>
      <c r="M264" s="160" t="s">
        <v>85</v>
      </c>
      <c r="N264" s="290">
        <f>F$262</f>
        <v>143.3341528008753</v>
      </c>
      <c r="O264" s="290">
        <f>G$262</f>
        <v>4.8958865460855559E-2</v>
      </c>
      <c r="P264" s="290">
        <f>H$262</f>
        <v>45.583481404581178</v>
      </c>
      <c r="Q264" s="290">
        <f>I$262</f>
        <v>5.7631029180476085</v>
      </c>
      <c r="R264" s="290">
        <f>J$262</f>
        <v>194.72969598896495</v>
      </c>
    </row>
    <row r="265" spans="1:18" ht="20" thickBot="1">
      <c r="C265" s="157">
        <f t="shared" ref="C265:C280" si="47">C264+100</f>
        <v>500</v>
      </c>
      <c r="D265" s="287">
        <f t="shared" si="45"/>
        <v>4.1028374043918084E-2</v>
      </c>
      <c r="E265" s="288">
        <f t="shared" si="46"/>
        <v>1.346438082511153E+32</v>
      </c>
      <c r="F265" s="234">
        <f t="shared" si="41"/>
        <v>154.08075140485926</v>
      </c>
      <c r="G265" s="341" cm="1">
        <f t="array" ref="G265">$B$7*SUM((($D$42:$D$44)/$C265)/(EXP($D$42:$D$44/$C265)-1)-LN(1-EXP(-$D$42:$D$44/$C265)))</f>
        <v>0.60757791487455148</v>
      </c>
      <c r="H265" s="256">
        <f t="shared" si="43"/>
        <v>52.031440566971618</v>
      </c>
      <c r="I265" s="334">
        <f t="shared" si="44"/>
        <v>5.7631029180476085</v>
      </c>
      <c r="J265" s="289">
        <f t="shared" si="42"/>
        <v>212.48287280475304</v>
      </c>
      <c r="M265" s="162" t="s">
        <v>86</v>
      </c>
      <c r="N265" s="290">
        <f>E249</f>
        <v>143.33965600000002</v>
      </c>
      <c r="O265" s="290">
        <f>E251</f>
        <v>5.0208000000000003E-2</v>
      </c>
      <c r="P265" s="290">
        <f>E250</f>
        <v>45.584679999999999</v>
      </c>
      <c r="Q265" s="290">
        <f>E248</f>
        <v>5.761368</v>
      </c>
      <c r="R265" s="290">
        <f>E247</f>
        <v>194.73591200000001</v>
      </c>
    </row>
    <row r="266" spans="1:18" ht="22">
      <c r="C266" s="157">
        <f t="shared" si="47"/>
        <v>600</v>
      </c>
      <c r="D266" s="287">
        <f t="shared" si="45"/>
        <v>4.9234048852701696E-2</v>
      </c>
      <c r="E266" s="288">
        <f t="shared" si="46"/>
        <v>1.7699388241808691E+32</v>
      </c>
      <c r="F266" s="234">
        <f t="shared" si="41"/>
        <v>157.87048728437841</v>
      </c>
      <c r="G266" s="341" cm="1">
        <f t="array" ref="G266">$B$7*SUM((($D$42:$D$44)/$C266)/(EXP($D$42:$D$44/$C266)-1)-LN(1-EXP(-$D$42:$D$44/$C266)))</f>
        <v>1.1224951325132193</v>
      </c>
      <c r="H266" s="256">
        <f t="shared" si="43"/>
        <v>54.305282094683086</v>
      </c>
      <c r="I266" s="334">
        <f t="shared" si="44"/>
        <v>5.7631029180476085</v>
      </c>
      <c r="J266" s="289">
        <f t="shared" si="42"/>
        <v>219.06136742962235</v>
      </c>
      <c r="L266" s="67"/>
      <c r="M266" s="164" t="s">
        <v>87</v>
      </c>
      <c r="N266" s="165">
        <f>IFERROR(ABS(N264-N265)/N264,0)</f>
        <v>3.8394192990158256E-5</v>
      </c>
      <c r="O266" s="165">
        <f t="shared" ref="O266:R266" si="48">IFERROR(ABS(O264-O265)/O264,0)</f>
        <v>2.5513960084372726E-2</v>
      </c>
      <c r="P266" s="165">
        <f t="shared" si="48"/>
        <v>2.629451243932507E-5</v>
      </c>
      <c r="Q266" s="165">
        <f t="shared" si="48"/>
        <v>3.0103887997132075E-4</v>
      </c>
      <c r="R266" s="165">
        <f t="shared" si="48"/>
        <v>3.1921228056643667E-5</v>
      </c>
    </row>
    <row r="267" spans="1:18" ht="19">
      <c r="A267" s="193"/>
      <c r="C267" s="157">
        <f t="shared" si="47"/>
        <v>700</v>
      </c>
      <c r="D267" s="287">
        <f t="shared" si="45"/>
        <v>5.7439723661485309E-2</v>
      </c>
      <c r="E267" s="288">
        <f t="shared" si="46"/>
        <v>2.2303778333591056E+32</v>
      </c>
      <c r="F267" s="234">
        <f t="shared" si="41"/>
        <v>161.07466331526783</v>
      </c>
      <c r="G267" s="341" cm="1">
        <f t="array" ref="G267">$B$7*SUM((($D$42:$D$44)/$C267)/(EXP($D$42:$D$44/$C267)-1)-LN(1-EXP(-$D$42:$D$44/$C267)))</f>
        <v>1.7578861730425277</v>
      </c>
      <c r="H267" s="256">
        <f t="shared" si="43"/>
        <v>56.227787713216728</v>
      </c>
      <c r="I267" s="334">
        <f t="shared" si="44"/>
        <v>5.7631029180476085</v>
      </c>
      <c r="J267" s="289">
        <f t="shared" si="42"/>
        <v>224.82344011957471</v>
      </c>
    </row>
    <row r="268" spans="1:18" ht="19">
      <c r="A268" s="193"/>
      <c r="C268" s="157">
        <f t="shared" si="47"/>
        <v>800</v>
      </c>
      <c r="D268" s="287">
        <f t="shared" si="45"/>
        <v>6.5645398470268929E-2</v>
      </c>
      <c r="E268" s="288">
        <f t="shared" si="46"/>
        <v>2.7249990842399714E+32</v>
      </c>
      <c r="F268" s="234">
        <f t="shared" si="41"/>
        <v>163.85024684236112</v>
      </c>
      <c r="G268" s="341" cm="1">
        <f t="array" ref="G268">$B$7*SUM((($D$42:$D$44)/$C268)/(EXP($D$42:$D$44/$C268)-1)-LN(1-EXP(-$D$42:$D$44/$C268)))</f>
        <v>2.4903385256411892</v>
      </c>
      <c r="H268" s="256">
        <f t="shared" si="43"/>
        <v>57.893137829472721</v>
      </c>
      <c r="I268" s="334">
        <f t="shared" si="44"/>
        <v>5.7631029180476085</v>
      </c>
      <c r="J268" s="289">
        <f t="shared" si="42"/>
        <v>229.99682611552265</v>
      </c>
    </row>
    <row r="269" spans="1:18" ht="19">
      <c r="C269" s="157">
        <f t="shared" si="47"/>
        <v>900</v>
      </c>
      <c r="D269" s="287">
        <f t="shared" si="45"/>
        <v>7.3851073279052548E-2</v>
      </c>
      <c r="E269" s="288">
        <f t="shared" si="46"/>
        <v>3.2515852463885943E+32</v>
      </c>
      <c r="F269" s="234">
        <f t="shared" si="41"/>
        <v>166.29848502151478</v>
      </c>
      <c r="G269" s="341" cm="1">
        <f t="array" ref="G269">$B$7*SUM((($D$42:$D$44)/$C269)/(EXP($D$42:$D$44/$C269)-1)-LN(1-EXP(-$D$42:$D$44/$C269)))</f>
        <v>3.300513297360101</v>
      </c>
      <c r="H269" s="256">
        <f t="shared" si="43"/>
        <v>59.362080736964877</v>
      </c>
      <c r="I269" s="334">
        <f t="shared" si="44"/>
        <v>5.7631029180476085</v>
      </c>
      <c r="J269" s="289">
        <f t="shared" si="42"/>
        <v>234.7241819738874</v>
      </c>
    </row>
    <row r="270" spans="1:18" ht="19">
      <c r="C270" s="157">
        <f t="shared" si="47"/>
        <v>1000</v>
      </c>
      <c r="D270" s="287">
        <f t="shared" si="45"/>
        <v>8.2056748087836168E-2</v>
      </c>
      <c r="E270" s="288">
        <f t="shared" si="46"/>
        <v>3.8083019943658044E+32</v>
      </c>
      <c r="F270" s="234">
        <f t="shared" si="41"/>
        <v>168.48850869997833</v>
      </c>
      <c r="G270" s="341" cm="1">
        <f t="array" ref="G270">$B$7*SUM((($D$42:$D$44)/$C270)/(EXP($D$42:$D$44/$C270)-1)-LN(1-EXP(-$D$42:$D$44/$C270)))</f>
        <v>4.1710715647362022</v>
      </c>
      <c r="H270" s="256">
        <f t="shared" si="43"/>
        <v>60.676094944043022</v>
      </c>
      <c r="I270" s="334">
        <f t="shared" si="44"/>
        <v>5.7631029180476085</v>
      </c>
      <c r="J270" s="289">
        <f t="shared" si="42"/>
        <v>239.09877812680517</v>
      </c>
    </row>
    <row r="271" spans="1:18" ht="19">
      <c r="C271" s="157">
        <f t="shared" si="47"/>
        <v>1100</v>
      </c>
      <c r="D271" s="287">
        <f t="shared" si="45"/>
        <v>9.0262422896619773E-2</v>
      </c>
      <c r="E271" s="288">
        <f t="shared" si="46"/>
        <v>4.3935989110144083E+32</v>
      </c>
      <c r="F271" s="234">
        <f t="shared" si="41"/>
        <v>170.46962609739109</v>
      </c>
      <c r="G271" s="341" cm="1">
        <f t="array" ref="G271">$B$7*SUM((($D$42:$D$44)/$C271)/(EXP($D$42:$D$44/$C271)-1)-LN(1-EXP(-$D$42:$D$44/$C271)))</f>
        <v>5.086240516896722</v>
      </c>
      <c r="H271" s="256">
        <f t="shared" si="43"/>
        <v>61.864765382490639</v>
      </c>
      <c r="I271" s="334">
        <f t="shared" si="44"/>
        <v>5.7631029180476085</v>
      </c>
      <c r="J271" s="289">
        <f t="shared" si="42"/>
        <v>243.18373491482606</v>
      </c>
    </row>
    <row r="272" spans="1:18" ht="19">
      <c r="C272" s="157">
        <f t="shared" si="47"/>
        <v>1200</v>
      </c>
      <c r="D272" s="287">
        <f t="shared" si="45"/>
        <v>9.8468097705403393E-2</v>
      </c>
      <c r="E272" s="288">
        <f t="shared" si="46"/>
        <v>5.0061429794545621E+32</v>
      </c>
      <c r="F272" s="234">
        <f t="shared" si="41"/>
        <v>172.27824457949748</v>
      </c>
      <c r="G272" s="341" cm="1">
        <f t="array" ref="G272">$B$7*SUM((($D$42:$D$44)/$C272)/(EXP($D$42:$D$44/$C272)-1)-LN(1-EXP(-$D$42:$D$44/$C272)))</f>
        <v>6.0320576823571948</v>
      </c>
      <c r="H272" s="256">
        <f t="shared" si="43"/>
        <v>62.949936471754512</v>
      </c>
      <c r="I272" s="334">
        <f t="shared" si="44"/>
        <v>5.7631029180476085</v>
      </c>
      <c r="J272" s="289">
        <f t="shared" si="42"/>
        <v>247.02334165165681</v>
      </c>
    </row>
    <row r="273" spans="3:10" ht="19">
      <c r="C273" s="157">
        <f t="shared" si="47"/>
        <v>1300</v>
      </c>
      <c r="D273" s="287">
        <f t="shared" si="45"/>
        <v>0.10667377251418701</v>
      </c>
      <c r="E273" s="288">
        <f t="shared" si="46"/>
        <v>5.6447720489315208E+32</v>
      </c>
      <c r="F273" s="234">
        <f t="shared" si="41"/>
        <v>173.94201230119961</v>
      </c>
      <c r="G273" s="341" cm="1">
        <f t="array" ref="G273">$B$7*SUM((($D$42:$D$44)/$C273)/(EXP($D$42:$D$44/$C273)-1)-LN(1-EXP(-$D$42:$D$44/$C273)))</f>
        <v>6.9966143485687446</v>
      </c>
      <c r="H273" s="256">
        <f t="shared" si="43"/>
        <v>63.94819710477578</v>
      </c>
      <c r="I273" s="334">
        <f t="shared" si="44"/>
        <v>5.7631029180476085</v>
      </c>
      <c r="J273" s="289">
        <f t="shared" si="42"/>
        <v>250.64992667259176</v>
      </c>
    </row>
    <row r="274" spans="3:10" ht="19">
      <c r="C274" s="157">
        <f t="shared" si="47"/>
        <v>1400</v>
      </c>
      <c r="D274" s="287">
        <f t="shared" si="45"/>
        <v>0.11487944732297062</v>
      </c>
      <c r="E274" s="288">
        <f t="shared" si="46"/>
        <v>6.3084611623055494E+32</v>
      </c>
      <c r="F274" s="234">
        <f t="shared" si="41"/>
        <v>175.48242061038687</v>
      </c>
      <c r="G274" s="341" cm="1">
        <f t="array" ref="G274">$B$7*SUM((($D$42:$D$44)/$C274)/(EXP($D$42:$D$44/$C274)-1)-LN(1-EXP(-$D$42:$D$44/$C274)))</f>
        <v>7.9700989759590444</v>
      </c>
      <c r="H274" s="256">
        <f t="shared" si="43"/>
        <v>64.872442090288146</v>
      </c>
      <c r="I274" s="334">
        <f t="shared" si="44"/>
        <v>5.7631029180476085</v>
      </c>
      <c r="J274" s="289">
        <f t="shared" si="42"/>
        <v>254.0880645946817</v>
      </c>
    </row>
    <row r="275" spans="3:10" ht="19">
      <c r="C275" s="157">
        <f t="shared" si="47"/>
        <v>1500</v>
      </c>
      <c r="D275" s="287">
        <f t="shared" si="45"/>
        <v>0.12308512213175424</v>
      </c>
      <c r="E275" s="288">
        <f t="shared" si="46"/>
        <v>6.9962975044648741E+32</v>
      </c>
      <c r="F275" s="234">
        <f t="shared" si="41"/>
        <v>176.91650643711469</v>
      </c>
      <c r="G275" s="341" cm="1">
        <f t="array" ref="G275">$B$7*SUM((($D$42:$D$44)/$C275)/(EXP($D$42:$D$44/$C275)-1)-LN(1-EXP(-$D$42:$D$44/$C275)))</f>
        <v>8.944663530706789</v>
      </c>
      <c r="H275" s="256">
        <f t="shared" si="43"/>
        <v>65.732893586324806</v>
      </c>
      <c r="I275" s="334">
        <f t="shared" si="44"/>
        <v>5.7631029180476085</v>
      </c>
      <c r="J275" s="289">
        <f t="shared" si="42"/>
        <v>257.35716647219385</v>
      </c>
    </row>
    <row r="276" spans="3:10" ht="19">
      <c r="C276" s="157">
        <f t="shared" si="47"/>
        <v>1600</v>
      </c>
      <c r="D276" s="287">
        <f t="shared" si="45"/>
        <v>0.13129079694053786</v>
      </c>
      <c r="E276" s="288">
        <f t="shared" si="46"/>
        <v>7.7074613247728861E+32</v>
      </c>
      <c r="F276" s="234">
        <f t="shared" si="41"/>
        <v>178.25800413748016</v>
      </c>
      <c r="G276" s="341" cm="1">
        <f t="array" ref="G276">$B$7*SUM((($D$42:$D$44)/$C276)/(EXP($D$42:$D$44/$C276)-1)-LN(1-EXP(-$D$42:$D$44/$C276)))</f>
        <v>9.9141891056544722</v>
      </c>
      <c r="H276" s="256">
        <f t="shared" si="43"/>
        <v>66.53779220654414</v>
      </c>
      <c r="I276" s="334">
        <f t="shared" si="44"/>
        <v>5.7631029180476085</v>
      </c>
      <c r="J276" s="289">
        <f t="shared" si="42"/>
        <v>260.4730883677264</v>
      </c>
    </row>
    <row r="277" spans="3:10" ht="19">
      <c r="C277" s="157">
        <f t="shared" si="47"/>
        <v>1700</v>
      </c>
      <c r="D277" s="287">
        <f t="shared" si="45"/>
        <v>0.13949647174932148</v>
      </c>
      <c r="E277" s="288">
        <f t="shared" si="46"/>
        <v>8.4412111172784989E+32</v>
      </c>
      <c r="F277" s="234">
        <f t="shared" si="41"/>
        <v>179.5181475265565</v>
      </c>
      <c r="G277" s="341" cm="1">
        <f t="array" ref="G277">$B$7*SUM((($D$42:$D$44)/$C277)/(EXP($D$42:$D$44/$C277)-1)-LN(1-EXP(-$D$42:$D$44/$C277)))</f>
        <v>10.874016311363244</v>
      </c>
      <c r="H277" s="256">
        <f t="shared" si="43"/>
        <v>67.293878239989994</v>
      </c>
      <c r="I277" s="334">
        <f t="shared" si="44"/>
        <v>5.7631029180476085</v>
      </c>
      <c r="J277" s="289">
        <f t="shared" si="42"/>
        <v>263.44914499595734</v>
      </c>
    </row>
    <row r="278" spans="3:10" ht="19">
      <c r="C278" s="157">
        <f t="shared" si="47"/>
        <v>1800</v>
      </c>
      <c r="D278" s="287">
        <f t="shared" si="45"/>
        <v>0.1477021465581051</v>
      </c>
      <c r="E278" s="288">
        <f t="shared" si="46"/>
        <v>9.1968719093099191E+32</v>
      </c>
      <c r="F278" s="234">
        <f t="shared" si="41"/>
        <v>180.70624231663373</v>
      </c>
      <c r="G278" s="341" cm="1">
        <f t="array" ref="G278">$B$7*SUM((($D$42:$D$44)/$C278)/(EXP($D$42:$D$44/$C278)-1)-LN(1-EXP(-$D$42:$D$44/$C278)))</f>
        <v>11.820681686126083</v>
      </c>
      <c r="H278" s="256">
        <f t="shared" si="43"/>
        <v>68.006735114036303</v>
      </c>
      <c r="I278" s="334">
        <f t="shared" si="44"/>
        <v>5.7631029180476085</v>
      </c>
      <c r="J278" s="289">
        <f t="shared" si="42"/>
        <v>266.29676203484371</v>
      </c>
    </row>
    <row r="279" spans="3:10" ht="19">
      <c r="C279" s="157">
        <f t="shared" si="47"/>
        <v>1900</v>
      </c>
      <c r="D279" s="287">
        <f t="shared" si="45"/>
        <v>0.15590782136688872</v>
      </c>
      <c r="E279" s="288">
        <f t="shared" si="46"/>
        <v>9.9738258670739171E+32</v>
      </c>
      <c r="F279" s="234">
        <f t="shared" si="41"/>
        <v>181.83008357795771</v>
      </c>
      <c r="G279" s="341" cm="1">
        <f t="array" ref="G279">$B$7*SUM((($D$42:$D$44)/$C279)/(EXP($D$42:$D$44/$C279)-1)-LN(1-EXP(-$D$42:$D$44/$C279)))</f>
        <v>12.751681090818582</v>
      </c>
      <c r="H279" s="256">
        <f t="shared" si="43"/>
        <v>68.681039870830674</v>
      </c>
      <c r="I279" s="334">
        <f t="shared" si="44"/>
        <v>5.7631029180476085</v>
      </c>
      <c r="J279" s="289">
        <f t="shared" si="42"/>
        <v>269.02590745765457</v>
      </c>
    </row>
    <row r="280" spans="3:10" ht="20" thickBot="1">
      <c r="C280" s="166">
        <f t="shared" si="47"/>
        <v>2000</v>
      </c>
      <c r="D280" s="291">
        <f t="shared" si="45"/>
        <v>0.16411349617567234</v>
      </c>
      <c r="E280" s="292">
        <f t="shared" si="46"/>
        <v>1.0771504660089283E+33</v>
      </c>
      <c r="F280" s="259">
        <f t="shared" si="41"/>
        <v>182.89626599509737</v>
      </c>
      <c r="G280" s="342" cm="1">
        <f t="array" ref="G280">$B$7*SUM((($D$42:$D$44)/$C280)/(EXP($D$42:$D$44/$C280)-1)-LN(1-EXP(-$D$42:$D$44/$C280)))</f>
        <v>13.66526785943797</v>
      </c>
      <c r="H280" s="260">
        <f t="shared" si="43"/>
        <v>69.320749321114434</v>
      </c>
      <c r="I280" s="337">
        <f t="shared" si="44"/>
        <v>5.7631029180476085</v>
      </c>
      <c r="J280" s="293">
        <f t="shared" si="42"/>
        <v>271.64538609369737</v>
      </c>
    </row>
  </sheetData>
  <mergeCells count="10">
    <mergeCell ref="D203:E203"/>
    <mergeCell ref="D212:H212"/>
    <mergeCell ref="H239:K239"/>
    <mergeCell ref="D244:E244"/>
    <mergeCell ref="D245:E245"/>
    <mergeCell ref="A18:V18"/>
    <mergeCell ref="A53:V53"/>
    <mergeCell ref="U93:W93"/>
    <mergeCell ref="AB101:AH101"/>
    <mergeCell ref="H198:K19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232C-D7B5-4D49-AD79-3BE036BA6498}">
  <dimension ref="A3:AH280"/>
  <sheetViews>
    <sheetView topLeftCell="A128" zoomScale="92" workbookViewId="0">
      <selection activeCell="O183" sqref="O183"/>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65" t="s">
        <v>137</v>
      </c>
      <c r="B18" s="65"/>
      <c r="C18" s="65"/>
      <c r="D18" s="65"/>
      <c r="E18" s="65"/>
      <c r="F18" s="65"/>
      <c r="G18" s="65"/>
      <c r="H18" s="65"/>
      <c r="I18" s="65"/>
      <c r="J18" s="65"/>
      <c r="K18" s="65"/>
      <c r="L18" s="65"/>
      <c r="M18" s="65"/>
      <c r="N18" s="65"/>
      <c r="O18" s="65"/>
      <c r="P18" s="65"/>
      <c r="Q18" s="65"/>
      <c r="R18" s="65"/>
      <c r="S18" s="65"/>
      <c r="T18" s="65"/>
      <c r="U18" s="65"/>
      <c r="V18" s="65"/>
    </row>
    <row r="19" spans="1:27" ht="17" thickTop="1"/>
    <row r="20" spans="1:27" ht="17" thickBot="1"/>
    <row r="21" spans="1:27" ht="20" thickBot="1">
      <c r="A21" s="66" t="s">
        <v>33</v>
      </c>
      <c r="B21" s="67"/>
      <c r="C21" s="68" t="s">
        <v>34</v>
      </c>
      <c r="D21" s="69"/>
      <c r="E21" s="69"/>
      <c r="F21" s="70"/>
      <c r="G21" s="67"/>
      <c r="H21" s="66" t="s">
        <v>35</v>
      </c>
      <c r="I21" s="67"/>
      <c r="J21" s="67"/>
      <c r="M21" s="67"/>
      <c r="N21" s="67"/>
      <c r="O21" s="71" t="s">
        <v>36</v>
      </c>
      <c r="P21" s="69"/>
      <c r="Q21" s="69"/>
      <c r="R21" s="70"/>
      <c r="S21" s="67"/>
      <c r="T21" s="67"/>
      <c r="U21" s="67"/>
      <c r="V21" s="67"/>
      <c r="W21" s="67"/>
      <c r="X21" s="67"/>
      <c r="Y21" s="67"/>
      <c r="Z21" s="67"/>
      <c r="AA21" s="67"/>
    </row>
    <row r="22" spans="1:27" ht="20" thickBot="1">
      <c r="A22" s="72">
        <v>298.14999999999998</v>
      </c>
      <c r="B22" s="67"/>
      <c r="C22" s="73"/>
      <c r="D22" s="74" t="s">
        <v>37</v>
      </c>
      <c r="E22" s="75" t="s">
        <v>38</v>
      </c>
      <c r="F22" s="76" t="s">
        <v>39</v>
      </c>
      <c r="G22" s="67"/>
      <c r="H22" s="77" t="s">
        <v>40</v>
      </c>
      <c r="I22" s="78" t="s">
        <v>9</v>
      </c>
      <c r="J22" s="78" t="s">
        <v>10</v>
      </c>
      <c r="K22" s="79" t="s">
        <v>7</v>
      </c>
      <c r="L22" s="80" t="s">
        <v>12</v>
      </c>
      <c r="M22" s="67"/>
      <c r="N22" s="67"/>
      <c r="O22" s="81"/>
      <c r="P22" s="82" t="s">
        <v>41</v>
      </c>
      <c r="Q22" s="83" t="s">
        <v>42</v>
      </c>
      <c r="R22" s="84" t="s">
        <v>43</v>
      </c>
      <c r="S22" s="67"/>
      <c r="T22" s="67"/>
      <c r="U22" s="67"/>
      <c r="V22" s="67"/>
      <c r="W22" s="67"/>
      <c r="X22" s="67"/>
      <c r="Y22" s="67"/>
      <c r="Z22" s="67"/>
      <c r="AA22" s="67"/>
    </row>
    <row r="23" spans="1:27" ht="22" thickBot="1">
      <c r="A23" s="67"/>
      <c r="B23" s="67"/>
      <c r="C23" s="85" t="s">
        <v>44</v>
      </c>
      <c r="D23" s="86">
        <v>0</v>
      </c>
      <c r="E23" s="87">
        <v>0.99265999999999999</v>
      </c>
      <c r="F23" s="88">
        <v>0.99265999999999999</v>
      </c>
      <c r="G23" s="67"/>
      <c r="H23" s="89">
        <v>1.0147E-2</v>
      </c>
      <c r="I23" s="90">
        <f>H23*$H$7</f>
        <v>6.3672729410000004</v>
      </c>
      <c r="J23" s="90">
        <f>H23*$I$7</f>
        <v>26.6409485</v>
      </c>
      <c r="K23" s="91">
        <f>H23*$F$7</f>
        <v>0.27610697289999997</v>
      </c>
      <c r="L23" s="92">
        <f>H23*$K$7</f>
        <v>4.424092E-20</v>
      </c>
      <c r="M23" s="67"/>
      <c r="N23" s="67"/>
      <c r="O23" s="93" t="s">
        <v>45</v>
      </c>
      <c r="P23" s="94">
        <v>7.8490000000000002</v>
      </c>
      <c r="Q23" s="95">
        <v>4.968</v>
      </c>
      <c r="R23" s="96">
        <v>31.132000000000001</v>
      </c>
      <c r="S23" s="67"/>
      <c r="T23" s="67"/>
      <c r="U23" s="67"/>
      <c r="V23" s="67"/>
      <c r="W23" s="67"/>
      <c r="X23" s="67"/>
      <c r="Y23" s="67"/>
      <c r="Z23" s="67"/>
      <c r="AA23" s="67"/>
    </row>
    <row r="24" spans="1:27" ht="22" thickBot="1">
      <c r="A24" s="66" t="s">
        <v>46</v>
      </c>
      <c r="B24" s="67"/>
      <c r="C24" s="97" t="s">
        <v>47</v>
      </c>
      <c r="D24" s="98">
        <f>D23*$U$9</f>
        <v>0</v>
      </c>
      <c r="E24" s="99">
        <f t="shared" ref="E24:F24" si="0">E23*$U$9</f>
        <v>1.6478155999999999E-27</v>
      </c>
      <c r="F24" s="100">
        <f t="shared" si="0"/>
        <v>1.6478155999999999E-27</v>
      </c>
      <c r="G24" s="67"/>
      <c r="M24" s="67"/>
      <c r="N24" s="67"/>
      <c r="O24" s="101" t="s">
        <v>48</v>
      </c>
      <c r="P24" s="94">
        <v>0</v>
      </c>
      <c r="Q24" s="95">
        <v>0</v>
      </c>
      <c r="R24" s="96">
        <v>0</v>
      </c>
      <c r="S24" s="67"/>
      <c r="T24" s="67"/>
      <c r="U24" s="67"/>
      <c r="V24" s="67"/>
      <c r="W24" s="67"/>
      <c r="X24" s="67"/>
      <c r="Y24" s="67"/>
      <c r="Z24" s="67"/>
      <c r="AA24" s="67"/>
    </row>
    <row r="25" spans="1:27" ht="22" thickBot="1">
      <c r="A25" s="72">
        <v>1</v>
      </c>
      <c r="B25" s="67"/>
      <c r="C25" s="102" t="s">
        <v>49</v>
      </c>
      <c r="D25" s="103">
        <f>D24*($Q$8)^2</f>
        <v>0</v>
      </c>
      <c r="E25" s="104">
        <f>E24*($Q$8)^2</f>
        <v>1.6478156E-47</v>
      </c>
      <c r="F25" s="105">
        <f t="shared" ref="F25" si="1">F24*($Q$8)^2</f>
        <v>1.6478156E-47</v>
      </c>
      <c r="G25" s="67"/>
      <c r="M25" s="67"/>
      <c r="N25" s="67"/>
      <c r="O25" s="101" t="s">
        <v>50</v>
      </c>
      <c r="P25" s="94">
        <v>0.88900000000000001</v>
      </c>
      <c r="Q25" s="95">
        <v>2.9809999999999999</v>
      </c>
      <c r="R25" s="96">
        <v>28.08</v>
      </c>
      <c r="S25" s="67"/>
      <c r="T25" s="67"/>
      <c r="U25" s="67"/>
      <c r="V25" s="67"/>
      <c r="W25" s="67"/>
      <c r="X25" s="67"/>
      <c r="Y25" s="67"/>
      <c r="Z25" s="67"/>
      <c r="AA25" s="67"/>
    </row>
    <row r="26" spans="1:27" ht="20" thickBot="1">
      <c r="A26" s="67"/>
      <c r="B26" s="67"/>
      <c r="C26" s="67"/>
      <c r="D26" s="67"/>
      <c r="E26" s="67"/>
      <c r="F26" s="67"/>
      <c r="G26" s="67"/>
      <c r="H26" s="66" t="s">
        <v>51</v>
      </c>
      <c r="I26" s="67"/>
      <c r="J26" s="67"/>
      <c r="K26" s="67"/>
      <c r="M26" s="67"/>
      <c r="N26" s="67"/>
      <c r="O26" s="101" t="s">
        <v>52</v>
      </c>
      <c r="P26" s="94">
        <v>0.59199999999999997</v>
      </c>
      <c r="Q26" s="95">
        <v>1.9870000000000001</v>
      </c>
      <c r="R26" s="96">
        <v>3.052</v>
      </c>
      <c r="S26" s="67"/>
      <c r="T26" s="67"/>
      <c r="U26" s="67"/>
      <c r="V26" s="67"/>
      <c r="W26" s="67"/>
      <c r="X26" s="67"/>
      <c r="Y26" s="67"/>
      <c r="Z26" s="67"/>
      <c r="AA26" s="67"/>
    </row>
    <row r="27" spans="1:27" ht="20" thickBot="1">
      <c r="A27" s="66" t="s">
        <v>53</v>
      </c>
      <c r="B27" s="67"/>
      <c r="C27" s="66" t="s">
        <v>138</v>
      </c>
      <c r="D27" s="67"/>
      <c r="E27" s="67"/>
      <c r="F27" s="67"/>
      <c r="G27" s="67"/>
      <c r="H27" s="77" t="s">
        <v>40</v>
      </c>
      <c r="I27" s="78" t="s">
        <v>9</v>
      </c>
      <c r="J27" s="78" t="s">
        <v>10</v>
      </c>
      <c r="K27" s="79" t="s">
        <v>7</v>
      </c>
      <c r="L27" s="80" t="s">
        <v>12</v>
      </c>
      <c r="M27" s="67"/>
      <c r="N27" s="67"/>
      <c r="O27" s="106" t="s">
        <v>55</v>
      </c>
      <c r="P27" s="107">
        <v>6.367</v>
      </c>
      <c r="Q27" s="108">
        <v>0</v>
      </c>
      <c r="R27" s="109">
        <v>0</v>
      </c>
      <c r="S27" s="67"/>
      <c r="T27" s="67"/>
      <c r="U27" s="67"/>
      <c r="V27" s="67"/>
      <c r="W27" s="67"/>
      <c r="X27" s="67"/>
      <c r="Y27" s="67"/>
      <c r="Z27" s="67"/>
      <c r="AA27" s="67"/>
    </row>
    <row r="28" spans="1:27" ht="20" thickBot="1">
      <c r="A28" s="72">
        <v>2.0156499999999999</v>
      </c>
      <c r="B28" s="67"/>
      <c r="C28" s="294">
        <v>87.254140000000007</v>
      </c>
      <c r="D28" s="124"/>
      <c r="E28" s="124"/>
      <c r="F28" s="67"/>
      <c r="G28" s="67"/>
      <c r="H28" s="113">
        <v>1.2508E-2</v>
      </c>
      <c r="I28" s="90">
        <f>H28*$H$7</f>
        <v>7.8488075240000006</v>
      </c>
      <c r="J28" s="90">
        <f>H28*$I$7</f>
        <v>32.839753999999999</v>
      </c>
      <c r="K28" s="114">
        <f>H28*$F$7</f>
        <v>0.34035143559999997</v>
      </c>
      <c r="L28" s="92">
        <f>H28*$K$7</f>
        <v>5.4534880000000002E-20</v>
      </c>
      <c r="M28" s="67"/>
      <c r="N28" s="67"/>
      <c r="O28" s="67"/>
      <c r="P28" s="67"/>
      <c r="Q28" s="67"/>
      <c r="R28" s="67"/>
      <c r="S28" s="67"/>
      <c r="T28" s="67"/>
      <c r="U28" s="67"/>
      <c r="V28" s="67"/>
      <c r="W28" s="67"/>
      <c r="X28" s="67"/>
      <c r="Y28" s="67"/>
      <c r="Z28" s="67"/>
      <c r="AA28" s="67"/>
    </row>
    <row r="29" spans="1:27" ht="20" thickBot="1">
      <c r="A29" s="67"/>
      <c r="B29" s="67"/>
      <c r="C29" s="295"/>
      <c r="D29" s="295"/>
      <c r="E29" s="295"/>
      <c r="F29" s="67"/>
      <c r="G29" s="67"/>
      <c r="L29" s="67"/>
      <c r="M29" s="67"/>
      <c r="N29" s="67"/>
      <c r="O29" s="67"/>
      <c r="P29" s="67"/>
      <c r="Q29" s="67"/>
      <c r="R29" s="67"/>
      <c r="S29" s="67"/>
      <c r="T29" s="67"/>
      <c r="U29" s="67"/>
      <c r="V29" s="67"/>
      <c r="W29" s="67"/>
      <c r="X29" s="67"/>
      <c r="Y29" s="67"/>
      <c r="Z29" s="67"/>
      <c r="AA29" s="67"/>
    </row>
    <row r="30" spans="1:27" ht="20" thickBot="1">
      <c r="A30" s="66" t="s">
        <v>57</v>
      </c>
      <c r="B30" s="67"/>
      <c r="F30" s="67"/>
      <c r="G30" s="67"/>
      <c r="M30" s="67"/>
      <c r="O30" s="117" t="s">
        <v>58</v>
      </c>
      <c r="P30" s="118"/>
      <c r="Q30" s="118"/>
      <c r="R30" s="119"/>
      <c r="S30" s="67"/>
      <c r="T30" s="67"/>
      <c r="U30" s="67"/>
      <c r="V30" s="67"/>
      <c r="W30" s="67"/>
      <c r="X30" s="67"/>
      <c r="Y30" s="67"/>
      <c r="Z30" s="67"/>
      <c r="AA30" s="67"/>
    </row>
    <row r="31" spans="1:27" ht="20" thickBot="1">
      <c r="A31" s="72">
        <v>2</v>
      </c>
      <c r="B31" s="67"/>
      <c r="C31" s="66" t="s">
        <v>59</v>
      </c>
      <c r="D31" s="67"/>
      <c r="E31" s="67"/>
      <c r="F31" s="67"/>
      <c r="G31" s="67"/>
      <c r="H31" s="66" t="s">
        <v>60</v>
      </c>
      <c r="I31" s="67"/>
      <c r="J31" s="67"/>
      <c r="K31" s="67"/>
      <c r="L31" s="67"/>
      <c r="M31" s="67"/>
      <c r="N31" s="67"/>
      <c r="O31" s="120"/>
      <c r="P31" s="121" t="s">
        <v>61</v>
      </c>
      <c r="Q31" s="122" t="s">
        <v>62</v>
      </c>
      <c r="R31" s="123" t="s">
        <v>63</v>
      </c>
      <c r="S31" s="67"/>
      <c r="T31" s="67"/>
      <c r="U31" s="67"/>
      <c r="V31" s="67"/>
      <c r="W31" s="67"/>
      <c r="X31" s="67"/>
      <c r="Y31" s="67"/>
      <c r="Z31" s="67"/>
      <c r="AA31" s="67"/>
    </row>
    <row r="32" spans="1:27" ht="20" thickBot="1">
      <c r="A32" s="67"/>
      <c r="B32" s="67"/>
      <c r="C32" s="124" t="s">
        <v>37</v>
      </c>
      <c r="D32" s="124" t="s">
        <v>38</v>
      </c>
      <c r="E32" s="124" t="s">
        <v>39</v>
      </c>
      <c r="F32" s="67"/>
      <c r="G32" s="67"/>
      <c r="H32" s="77" t="s">
        <v>40</v>
      </c>
      <c r="I32" s="78" t="s">
        <v>9</v>
      </c>
      <c r="J32" s="78" t="s">
        <v>10</v>
      </c>
      <c r="K32" s="79" t="s">
        <v>7</v>
      </c>
      <c r="L32" s="80" t="s">
        <v>12</v>
      </c>
      <c r="M32" s="67"/>
      <c r="N32" s="67"/>
      <c r="O32" s="93" t="s">
        <v>48</v>
      </c>
      <c r="P32" s="125">
        <v>1</v>
      </c>
      <c r="Q32" s="126">
        <v>0</v>
      </c>
      <c r="R32" s="126">
        <v>0</v>
      </c>
      <c r="S32" s="67"/>
      <c r="T32" s="67"/>
      <c r="U32" s="67"/>
      <c r="V32" s="67"/>
      <c r="W32" s="67"/>
      <c r="X32" s="67"/>
      <c r="Y32" s="67"/>
      <c r="Z32" s="67"/>
      <c r="AA32" s="67"/>
    </row>
    <row r="33" spans="1:27" ht="20" thickBot="1">
      <c r="A33" s="67"/>
      <c r="B33" s="67"/>
      <c r="C33" s="296">
        <v>0</v>
      </c>
      <c r="D33" s="297">
        <v>1818.0834249</v>
      </c>
      <c r="E33" s="298">
        <v>1818.0834249</v>
      </c>
      <c r="F33" s="67"/>
      <c r="G33" s="67"/>
      <c r="H33" s="113">
        <v>1.3452E-2</v>
      </c>
      <c r="I33" s="90">
        <f>H33*$H$7</f>
        <v>8.4411703560000007</v>
      </c>
      <c r="J33" s="90">
        <f>H33*$I$7</f>
        <v>35.318226000000003</v>
      </c>
      <c r="K33" s="114">
        <f>H33*$F$7</f>
        <v>0.3660383364</v>
      </c>
      <c r="L33" s="92">
        <f>H33*$K$7</f>
        <v>5.8650720000000005E-20</v>
      </c>
      <c r="M33" s="67"/>
      <c r="N33" s="67"/>
      <c r="O33" s="101" t="s">
        <v>50</v>
      </c>
      <c r="P33" s="94">
        <v>112481</v>
      </c>
      <c r="Q33" s="95">
        <v>5.0510780000000004</v>
      </c>
      <c r="R33" s="95">
        <v>11.630537</v>
      </c>
      <c r="S33" s="67"/>
      <c r="T33" s="67"/>
      <c r="U33" s="67"/>
      <c r="V33" s="67"/>
      <c r="W33" s="67"/>
      <c r="X33" s="67"/>
      <c r="Y33" s="67"/>
      <c r="Z33" s="67"/>
      <c r="AA33" s="67"/>
    </row>
    <row r="34" spans="1:27" ht="19">
      <c r="A34" s="67"/>
      <c r="B34" s="67"/>
      <c r="E34" s="67"/>
      <c r="F34" s="67"/>
      <c r="G34" s="67"/>
      <c r="M34" s="67"/>
      <c r="N34" s="67"/>
      <c r="O34" s="101" t="s">
        <v>52</v>
      </c>
      <c r="P34" s="94">
        <v>1.70851</v>
      </c>
      <c r="Q34" s="95">
        <v>0.23261899999999999</v>
      </c>
      <c r="R34" s="95">
        <v>0.53562500000000002</v>
      </c>
      <c r="S34" s="67"/>
      <c r="T34" s="67"/>
      <c r="U34" s="67"/>
      <c r="V34" s="67"/>
      <c r="W34" s="67"/>
      <c r="X34" s="67"/>
      <c r="Y34" s="67"/>
      <c r="Z34" s="67"/>
      <c r="AA34" s="67"/>
    </row>
    <row r="35" spans="1:27" ht="19">
      <c r="A35" s="67"/>
      <c r="B35" s="67"/>
      <c r="E35" s="67"/>
      <c r="F35" s="67"/>
      <c r="H35" s="67"/>
      <c r="I35" s="67"/>
      <c r="J35" s="67"/>
      <c r="K35" s="67"/>
      <c r="L35" s="67"/>
      <c r="M35" s="67"/>
      <c r="N35" s="67"/>
      <c r="O35" s="101" t="s">
        <v>64</v>
      </c>
      <c r="P35" s="94">
        <v>4.1335499999999996</v>
      </c>
      <c r="Q35" s="95">
        <v>0.61632299999999995</v>
      </c>
      <c r="R35" s="95">
        <v>1.419136</v>
      </c>
      <c r="S35" s="67"/>
      <c r="T35" s="67"/>
      <c r="U35" s="67"/>
      <c r="V35" s="67"/>
      <c r="W35" s="67"/>
      <c r="X35" s="67"/>
      <c r="Y35" s="67"/>
      <c r="Z35" s="67"/>
      <c r="AA35" s="67"/>
    </row>
    <row r="36" spans="1:27" ht="20" thickBot="1">
      <c r="A36" s="67"/>
      <c r="B36" s="67"/>
      <c r="C36" s="66" t="s">
        <v>65</v>
      </c>
      <c r="D36" s="67"/>
      <c r="E36" s="67"/>
      <c r="F36" s="67"/>
      <c r="H36" s="66" t="s">
        <v>66</v>
      </c>
      <c r="I36" s="67"/>
      <c r="J36" s="67"/>
      <c r="K36" s="67"/>
      <c r="L36" s="67"/>
      <c r="M36" s="67"/>
      <c r="N36" s="67"/>
      <c r="O36" s="101" t="s">
        <v>67</v>
      </c>
      <c r="P36" s="94">
        <v>192175</v>
      </c>
      <c r="Q36" s="95">
        <v>5.2836970000000001</v>
      </c>
      <c r="R36" s="95">
        <v>12.166161000000001</v>
      </c>
      <c r="S36" s="67"/>
      <c r="T36" s="67"/>
      <c r="U36" s="67"/>
      <c r="V36" s="67"/>
      <c r="W36" s="67"/>
      <c r="X36" s="67"/>
      <c r="Y36" s="67"/>
      <c r="Z36" s="67"/>
      <c r="AA36" s="67"/>
    </row>
    <row r="37" spans="1:27" ht="20" thickBot="1">
      <c r="A37" s="67"/>
      <c r="B37" s="67"/>
      <c r="C37" s="129" t="s">
        <v>68</v>
      </c>
      <c r="D37" s="130">
        <v>26641.4</v>
      </c>
      <c r="E37" s="67"/>
      <c r="F37" s="67"/>
      <c r="H37" s="77" t="s">
        <v>40</v>
      </c>
      <c r="I37" s="78" t="s">
        <v>9</v>
      </c>
      <c r="J37" s="78" t="s">
        <v>10</v>
      </c>
      <c r="K37" s="80" t="s">
        <v>7</v>
      </c>
      <c r="L37" s="80" t="s">
        <v>12</v>
      </c>
      <c r="M37" s="67"/>
      <c r="N37" s="67"/>
      <c r="O37" s="101" t="s">
        <v>69</v>
      </c>
      <c r="P37" s="94">
        <v>2.1509300000000001E-5</v>
      </c>
      <c r="Q37" s="95">
        <v>-4.6673739999999997</v>
      </c>
      <c r="R37" s="95">
        <v>-10.747025000000001</v>
      </c>
      <c r="S37" s="67"/>
      <c r="T37" s="67"/>
      <c r="U37" s="67"/>
      <c r="V37" s="67"/>
      <c r="W37" s="67"/>
      <c r="X37" s="67"/>
      <c r="Y37" s="67"/>
      <c r="Z37" s="67"/>
      <c r="AA37" s="67"/>
    </row>
    <row r="38" spans="1:27" ht="20" thickBot="1">
      <c r="A38" s="67"/>
      <c r="B38" s="67"/>
      <c r="C38" s="131" t="s">
        <v>70</v>
      </c>
      <c r="D38" s="132">
        <v>6.3674600000000003</v>
      </c>
      <c r="E38" s="67"/>
      <c r="F38" s="67"/>
      <c r="H38" s="113">
        <v>-1.34E-3</v>
      </c>
      <c r="I38" s="90">
        <f>H38*$H$7</f>
        <v>-0.84085402000000009</v>
      </c>
      <c r="J38" s="90">
        <f>H38*$I$7</f>
        <v>-3.51817</v>
      </c>
      <c r="K38" s="114">
        <f>H38*$F$7</f>
        <v>-3.6462337999999997E-2</v>
      </c>
      <c r="L38" s="92">
        <f>H38*$K$7</f>
        <v>-5.8424000000000004E-21</v>
      </c>
      <c r="M38" s="67"/>
      <c r="N38" s="67"/>
      <c r="O38" s="106" t="s">
        <v>71</v>
      </c>
      <c r="P38" s="94">
        <v>1</v>
      </c>
      <c r="Q38" s="95">
        <v>0</v>
      </c>
      <c r="R38" s="95">
        <v>0</v>
      </c>
      <c r="S38" s="67"/>
      <c r="T38" s="67"/>
      <c r="U38" s="67"/>
      <c r="V38" s="67"/>
      <c r="W38" s="67"/>
      <c r="X38" s="67"/>
      <c r="Y38" s="67"/>
      <c r="Z38" s="67"/>
      <c r="AA38" s="67"/>
    </row>
    <row r="39" spans="1:27" ht="19">
      <c r="A39" s="67"/>
      <c r="B39" s="67"/>
      <c r="C39" s="67"/>
      <c r="D39" s="67"/>
      <c r="E39" s="67"/>
      <c r="F39" s="67"/>
      <c r="J39" s="67"/>
      <c r="K39" s="67"/>
      <c r="L39" s="67"/>
      <c r="M39" s="67"/>
      <c r="N39" s="67"/>
      <c r="O39" s="133"/>
      <c r="P39" s="67"/>
      <c r="Q39" s="67"/>
      <c r="R39" s="67"/>
      <c r="S39" s="67"/>
      <c r="T39" s="67"/>
      <c r="U39" s="67"/>
      <c r="V39" s="67"/>
      <c r="W39" s="67"/>
      <c r="X39" s="67"/>
      <c r="Y39" s="67"/>
      <c r="Z39" s="67"/>
      <c r="AA39" s="67"/>
    </row>
    <row r="40" spans="1:27" ht="20" thickBot="1">
      <c r="A40" s="67"/>
      <c r="B40" s="67"/>
      <c r="C40" s="67"/>
      <c r="D40" s="67"/>
      <c r="E40" s="67"/>
      <c r="F40" s="67"/>
      <c r="J40" s="67"/>
      <c r="K40" s="67"/>
      <c r="L40" s="67"/>
      <c r="M40" s="67"/>
      <c r="N40" s="67"/>
      <c r="O40" s="133"/>
      <c r="P40" s="67"/>
      <c r="Q40" s="67"/>
      <c r="R40" s="67"/>
      <c r="S40" s="67"/>
      <c r="T40" s="67"/>
      <c r="U40" s="67"/>
      <c r="V40" s="67"/>
      <c r="W40" s="67"/>
      <c r="X40" s="67"/>
      <c r="Y40" s="67"/>
      <c r="Z40" s="67"/>
      <c r="AA40" s="67"/>
    </row>
    <row r="41" spans="1:27" ht="64" customHeight="1" thickBot="1">
      <c r="A41" s="67"/>
      <c r="B41" s="67"/>
      <c r="D41" s="134" t="s">
        <v>72</v>
      </c>
      <c r="E41" s="135" t="s">
        <v>73</v>
      </c>
      <c r="F41" s="136" t="s">
        <v>74</v>
      </c>
      <c r="G41" s="137" t="s">
        <v>75</v>
      </c>
      <c r="I41" s="67"/>
      <c r="J41" s="67"/>
      <c r="K41" s="67"/>
      <c r="L41" s="67"/>
      <c r="M41" s="67"/>
      <c r="N41" s="67"/>
      <c r="O41" s="67"/>
      <c r="P41" s="67"/>
      <c r="Q41" s="67"/>
      <c r="R41" s="67"/>
      <c r="S41" s="67"/>
      <c r="T41" s="67"/>
      <c r="U41" s="67"/>
      <c r="V41" s="67"/>
      <c r="W41" s="67"/>
      <c r="X41" s="67"/>
      <c r="Y41" s="67"/>
      <c r="Z41" s="67"/>
      <c r="AA41" s="67"/>
    </row>
    <row r="42" spans="1:27" ht="20" thickBot="1">
      <c r="A42" s="67"/>
      <c r="B42" s="67"/>
      <c r="C42" s="299">
        <v>1</v>
      </c>
      <c r="D42" s="300">
        <v>6408.45</v>
      </c>
      <c r="E42" s="301">
        <v>4454.1019999999999</v>
      </c>
      <c r="F42" s="302">
        <f>E42*$L$9</f>
        <v>133530860088600</v>
      </c>
      <c r="G42" s="303">
        <v>1.0078</v>
      </c>
      <c r="H42" s="140"/>
      <c r="K42" s="67"/>
      <c r="L42" s="67"/>
      <c r="M42" s="67"/>
      <c r="N42" s="67"/>
      <c r="O42" s="67"/>
      <c r="P42" s="67"/>
      <c r="Q42" s="67"/>
      <c r="R42" s="67"/>
      <c r="S42" s="67"/>
      <c r="T42" s="67"/>
      <c r="U42" s="67"/>
      <c r="V42" s="67"/>
      <c r="W42" s="67"/>
      <c r="X42" s="67"/>
      <c r="Y42" s="67"/>
      <c r="Z42" s="67"/>
      <c r="AA42" s="67"/>
    </row>
    <row r="43" spans="1:27" ht="19">
      <c r="A43" s="67"/>
      <c r="B43" s="67"/>
      <c r="C43" s="304"/>
      <c r="D43" s="195"/>
      <c r="E43" s="195"/>
      <c r="F43" s="196"/>
      <c r="G43" s="195"/>
      <c r="H43" s="140"/>
      <c r="K43" s="67"/>
      <c r="L43" s="67"/>
      <c r="M43" s="67"/>
      <c r="N43" s="67"/>
      <c r="O43" s="67"/>
      <c r="P43" s="67"/>
      <c r="Q43" s="67"/>
      <c r="R43" s="67"/>
      <c r="S43" s="67"/>
      <c r="T43" s="67"/>
      <c r="U43" s="67"/>
      <c r="V43" s="67"/>
      <c r="W43" s="67"/>
      <c r="X43" s="67"/>
      <c r="Y43" s="67"/>
      <c r="Z43" s="67"/>
      <c r="AA43" s="67"/>
    </row>
    <row r="44" spans="1:27" ht="20" thickBot="1">
      <c r="A44" s="67"/>
      <c r="B44" s="67"/>
      <c r="C44" s="140"/>
      <c r="D44" s="67"/>
      <c r="E44" s="67"/>
      <c r="F44" s="141"/>
      <c r="G44" s="67"/>
      <c r="H44" s="140"/>
      <c r="J44" s="142" t="s">
        <v>76</v>
      </c>
      <c r="M44" s="67"/>
      <c r="N44" s="67"/>
      <c r="O44" s="67"/>
      <c r="P44" s="67"/>
      <c r="Q44" s="67"/>
      <c r="R44" s="67"/>
      <c r="S44" s="67"/>
      <c r="T44" s="67"/>
      <c r="U44" s="67"/>
      <c r="V44" s="67"/>
      <c r="W44" s="67"/>
      <c r="X44" s="67"/>
      <c r="Y44" s="67"/>
      <c r="Z44" s="67"/>
      <c r="AA44" s="67"/>
    </row>
    <row r="45" spans="1:27" ht="20" thickBot="1">
      <c r="A45" s="67"/>
      <c r="B45" s="67"/>
      <c r="C45" s="140"/>
      <c r="D45" s="67"/>
      <c r="E45" s="67"/>
      <c r="F45" s="141"/>
      <c r="G45" s="67"/>
      <c r="H45" s="140"/>
      <c r="J45" s="143">
        <v>1</v>
      </c>
      <c r="K45" s="305">
        <f>J45+1</f>
        <v>2</v>
      </c>
      <c r="L45" s="144">
        <f>K45+1</f>
        <v>3</v>
      </c>
      <c r="M45" s="67"/>
      <c r="N45" s="67"/>
      <c r="O45" s="67"/>
      <c r="P45" s="67"/>
      <c r="Q45" s="67"/>
      <c r="R45" s="67"/>
      <c r="S45" s="67"/>
      <c r="T45" s="67"/>
      <c r="U45" s="67"/>
      <c r="V45" s="67"/>
      <c r="W45" s="67"/>
      <c r="X45" s="67"/>
      <c r="Y45" s="67"/>
      <c r="Z45" s="67"/>
      <c r="AA45" s="67"/>
    </row>
    <row r="46" spans="1:27" ht="20" thickBot="1">
      <c r="A46" s="67"/>
      <c r="B46" s="67"/>
      <c r="C46" s="140"/>
      <c r="D46" s="67"/>
      <c r="E46" s="67"/>
      <c r="F46" s="141"/>
      <c r="G46" s="67"/>
      <c r="H46" s="140"/>
      <c r="J46" s="145">
        <v>-1.1754771069800001</v>
      </c>
      <c r="K46" s="306">
        <v>-1.17548238441</v>
      </c>
      <c r="L46" s="146">
        <v>-1.17548238441</v>
      </c>
      <c r="M46" s="67"/>
      <c r="N46" s="67"/>
      <c r="O46" s="67"/>
      <c r="P46" s="67"/>
      <c r="Q46" s="67"/>
      <c r="R46" s="67"/>
      <c r="S46" s="67"/>
      <c r="T46" s="67"/>
      <c r="U46" s="67"/>
      <c r="V46" s="67"/>
      <c r="W46" s="67"/>
      <c r="X46" s="67"/>
      <c r="Y46" s="67"/>
      <c r="Z46" s="67"/>
      <c r="AA46" s="67"/>
    </row>
    <row r="47" spans="1:27" ht="19">
      <c r="A47" s="67"/>
      <c r="B47" s="67"/>
      <c r="C47" s="140"/>
      <c r="D47" s="67"/>
      <c r="E47" s="67"/>
      <c r="F47" s="141"/>
      <c r="G47" s="67"/>
      <c r="H47" s="140"/>
      <c r="K47" s="67"/>
      <c r="L47" s="67"/>
      <c r="M47" s="67"/>
      <c r="N47" s="67"/>
      <c r="O47" s="67"/>
      <c r="P47" s="67"/>
      <c r="Q47" s="67"/>
      <c r="R47" s="67"/>
      <c r="S47" s="67"/>
      <c r="T47" s="67"/>
      <c r="U47" s="67"/>
      <c r="V47" s="67"/>
      <c r="W47" s="67"/>
      <c r="X47" s="67"/>
      <c r="Y47" s="67"/>
      <c r="Z47" s="67"/>
      <c r="AA47" s="67"/>
    </row>
    <row r="48" spans="1:27" ht="19">
      <c r="A48" s="67"/>
      <c r="B48" s="67"/>
      <c r="C48" s="140"/>
      <c r="D48" s="67"/>
      <c r="E48" s="67"/>
      <c r="F48" s="141"/>
      <c r="G48" s="67"/>
      <c r="H48" s="140"/>
      <c r="K48" s="67"/>
      <c r="L48" s="67"/>
      <c r="M48" s="67"/>
      <c r="N48" s="67"/>
      <c r="O48" s="67"/>
      <c r="P48" s="67"/>
      <c r="Q48" s="67"/>
      <c r="R48" s="67"/>
      <c r="S48" s="67"/>
      <c r="T48" s="67"/>
      <c r="U48" s="67"/>
      <c r="V48" s="67"/>
      <c r="W48" s="67"/>
      <c r="X48" s="67"/>
      <c r="Y48" s="67"/>
      <c r="Z48" s="67"/>
      <c r="AA48" s="67"/>
    </row>
    <row r="49" spans="1:27" ht="19">
      <c r="A49" s="67"/>
      <c r="B49" s="67"/>
      <c r="C49" s="140"/>
      <c r="D49" s="67"/>
      <c r="E49" s="67"/>
      <c r="F49" s="141"/>
      <c r="G49" s="67"/>
      <c r="H49" s="140"/>
      <c r="K49" s="67"/>
      <c r="L49" s="67"/>
      <c r="M49" s="67"/>
      <c r="N49" s="67"/>
      <c r="O49" s="67"/>
      <c r="P49" s="67"/>
      <c r="Q49" s="67"/>
      <c r="R49" s="67"/>
      <c r="S49" s="67"/>
      <c r="T49" s="67"/>
      <c r="U49" s="67"/>
      <c r="V49" s="67"/>
      <c r="W49" s="67"/>
      <c r="X49" s="67"/>
      <c r="Y49" s="67"/>
      <c r="Z49" s="67"/>
      <c r="AA49" s="67"/>
    </row>
    <row r="50" spans="1:27" ht="19">
      <c r="A50" s="67"/>
      <c r="B50" s="67"/>
      <c r="C50" s="140"/>
      <c r="D50" s="67"/>
      <c r="E50" s="67"/>
      <c r="F50" s="141"/>
      <c r="G50" s="67"/>
      <c r="H50" s="140"/>
      <c r="K50" s="67"/>
      <c r="L50" s="67"/>
      <c r="M50" s="67"/>
      <c r="N50" s="67"/>
      <c r="O50" s="67"/>
      <c r="P50" s="67"/>
      <c r="Q50" s="67"/>
      <c r="R50" s="67"/>
      <c r="S50" s="67"/>
      <c r="T50" s="67"/>
      <c r="U50" s="67"/>
      <c r="V50" s="67"/>
      <c r="W50" s="67"/>
      <c r="X50" s="67"/>
      <c r="Y50" s="67"/>
      <c r="Z50" s="67"/>
      <c r="AA50" s="67"/>
    </row>
    <row r="51" spans="1:27" ht="19">
      <c r="A51" s="67"/>
      <c r="B51" s="67"/>
      <c r="C51" s="67"/>
      <c r="D51" s="67"/>
      <c r="E51" s="67"/>
      <c r="F51" s="67"/>
      <c r="G51" s="67"/>
      <c r="H51" s="67"/>
      <c r="K51" s="67"/>
      <c r="L51" s="67"/>
      <c r="M51" s="67"/>
      <c r="N51" s="67"/>
      <c r="O51" s="67"/>
      <c r="P51" s="67"/>
      <c r="Q51" s="67"/>
      <c r="R51" s="67"/>
      <c r="S51" s="67"/>
      <c r="T51" s="67"/>
      <c r="U51" s="67"/>
      <c r="V51" s="67"/>
      <c r="W51" s="67"/>
      <c r="X51" s="67"/>
      <c r="Y51" s="67"/>
      <c r="Z51" s="67"/>
      <c r="AA51" s="67"/>
    </row>
    <row r="52" spans="1:27" ht="19">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spans="1:27" ht="34" thickBot="1">
      <c r="A53" s="65" t="s">
        <v>139</v>
      </c>
      <c r="B53" s="65"/>
      <c r="C53" s="65"/>
      <c r="D53" s="65"/>
      <c r="E53" s="65"/>
      <c r="F53" s="65"/>
      <c r="G53" s="65"/>
      <c r="H53" s="65"/>
      <c r="I53" s="65"/>
      <c r="J53" s="65"/>
      <c r="K53" s="65"/>
      <c r="L53" s="65"/>
      <c r="M53" s="65"/>
      <c r="N53" s="65"/>
      <c r="O53" s="65"/>
      <c r="P53" s="65"/>
      <c r="Q53" s="65"/>
      <c r="R53" s="65"/>
      <c r="S53" s="65"/>
      <c r="T53" s="65"/>
      <c r="U53" s="65"/>
      <c r="V53" s="65"/>
      <c r="W53" s="67"/>
      <c r="X53" s="67"/>
      <c r="Y53" s="67"/>
      <c r="Z53" s="67"/>
      <c r="AA53" s="67"/>
    </row>
    <row r="54" spans="1:27" ht="20" thickTop="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spans="1:27" ht="19">
      <c r="A55" s="67"/>
      <c r="B55" s="67"/>
      <c r="C55" s="67"/>
      <c r="D55" s="67"/>
      <c r="E55" s="67"/>
      <c r="F55" s="67" t="s">
        <v>78</v>
      </c>
      <c r="G55" s="67"/>
      <c r="H55" s="67"/>
      <c r="I55" s="67"/>
      <c r="J55" s="67"/>
      <c r="K55" s="67"/>
      <c r="L55" s="67"/>
      <c r="M55" s="67"/>
      <c r="N55" s="67"/>
      <c r="O55" s="67"/>
      <c r="Q55" s="67"/>
      <c r="R55" s="67"/>
      <c r="S55" s="67"/>
      <c r="T55" s="67"/>
      <c r="U55" s="67"/>
      <c r="V55" s="67"/>
      <c r="W55" s="67"/>
      <c r="X55" s="67"/>
      <c r="Y55" s="67"/>
      <c r="Z55" s="67"/>
      <c r="AA55" s="67"/>
    </row>
    <row r="56" spans="1:27" ht="27">
      <c r="B56" s="67"/>
      <c r="C56" s="148" t="s">
        <v>79</v>
      </c>
      <c r="D56" s="149"/>
      <c r="E56" s="67"/>
      <c r="F56" s="67"/>
      <c r="G56" s="67"/>
      <c r="H56" s="67"/>
      <c r="I56" s="67"/>
      <c r="J56" s="67"/>
      <c r="K56" s="67"/>
      <c r="L56" s="67"/>
      <c r="M56" s="67"/>
      <c r="N56" s="67"/>
      <c r="O56" s="67"/>
      <c r="Q56" s="67"/>
      <c r="R56" s="67"/>
      <c r="S56" s="67"/>
      <c r="T56" s="67"/>
      <c r="U56" s="67"/>
      <c r="V56" s="67"/>
      <c r="W56" s="67"/>
      <c r="X56" s="67"/>
      <c r="Y56" s="67"/>
      <c r="Z56" s="67"/>
      <c r="AA56" s="67"/>
    </row>
    <row r="57" spans="1:27" ht="19">
      <c r="B57" s="67"/>
      <c r="C57" s="67"/>
      <c r="D57" s="67"/>
      <c r="E57" s="67"/>
      <c r="F57" s="67"/>
      <c r="G57" s="67"/>
      <c r="H57" s="67"/>
      <c r="I57" s="67"/>
      <c r="J57" s="67"/>
      <c r="K57" s="67"/>
      <c r="L57" s="67"/>
      <c r="M57" s="67"/>
      <c r="N57" s="67"/>
      <c r="O57" s="67"/>
      <c r="Q57" s="67"/>
      <c r="R57" s="67"/>
      <c r="S57" s="67"/>
      <c r="T57" s="67"/>
      <c r="U57" s="67"/>
      <c r="V57" s="67"/>
      <c r="W57" s="67"/>
      <c r="X57" s="67"/>
      <c r="Y57" s="67"/>
      <c r="Z57" s="67"/>
      <c r="AA57" s="67"/>
    </row>
    <row r="58" spans="1:27" ht="19">
      <c r="B58" s="67"/>
      <c r="C58" s="67"/>
      <c r="D58" s="67"/>
      <c r="E58" s="67"/>
      <c r="F58" s="67"/>
      <c r="G58" s="67"/>
      <c r="H58" s="67"/>
      <c r="I58" s="67"/>
      <c r="J58" s="67"/>
      <c r="K58" s="67"/>
      <c r="L58" s="67"/>
      <c r="M58" s="67"/>
      <c r="N58" s="67"/>
      <c r="O58" s="67"/>
      <c r="Q58" s="67"/>
      <c r="R58" s="67"/>
      <c r="S58" s="67"/>
      <c r="T58" s="67"/>
      <c r="U58" s="67"/>
      <c r="V58" s="67"/>
      <c r="W58" s="67"/>
      <c r="X58" s="67"/>
      <c r="Y58" s="67"/>
      <c r="Z58" s="67"/>
      <c r="AA58" s="67"/>
    </row>
    <row r="59" spans="1:27" ht="19">
      <c r="B59" s="67"/>
      <c r="D59" s="67"/>
      <c r="E59" s="67"/>
      <c r="F59" s="67"/>
      <c r="G59" s="67"/>
      <c r="H59" s="67"/>
      <c r="I59" s="67"/>
      <c r="J59" s="67"/>
      <c r="K59" s="67"/>
      <c r="L59" s="67"/>
      <c r="M59" s="67"/>
      <c r="N59" s="67"/>
      <c r="O59" s="67"/>
      <c r="Q59" s="67"/>
      <c r="R59" s="67"/>
      <c r="S59" s="67"/>
      <c r="T59" s="67"/>
      <c r="U59" s="67"/>
      <c r="V59" s="67"/>
      <c r="W59" s="67"/>
      <c r="X59" s="67"/>
      <c r="Y59" s="67"/>
      <c r="Z59" s="67"/>
      <c r="AA59" s="67"/>
    </row>
    <row r="60" spans="1:27" ht="19">
      <c r="B60" s="67"/>
      <c r="C60" s="67"/>
      <c r="D60" s="67"/>
      <c r="E60" s="67"/>
      <c r="F60" s="67"/>
      <c r="G60" s="67"/>
      <c r="H60" s="67"/>
      <c r="I60" s="67"/>
      <c r="J60" s="67"/>
      <c r="K60" s="67"/>
      <c r="L60" s="67"/>
      <c r="M60" s="67"/>
      <c r="N60" s="67"/>
      <c r="O60" s="67"/>
      <c r="Q60" s="67"/>
      <c r="R60" s="67"/>
      <c r="S60" s="67"/>
      <c r="T60" s="67"/>
      <c r="U60" s="67"/>
      <c r="V60" s="67"/>
      <c r="W60" s="67"/>
      <c r="X60" s="67"/>
      <c r="Y60" s="67"/>
      <c r="Z60" s="67"/>
      <c r="AA60" s="67"/>
    </row>
    <row r="61" spans="1:27" ht="19">
      <c r="B61" s="67"/>
      <c r="C61" s="67"/>
      <c r="D61" s="67"/>
      <c r="E61" s="67"/>
      <c r="F61" s="67"/>
      <c r="G61" s="67"/>
      <c r="H61" s="67"/>
      <c r="I61" s="67"/>
      <c r="J61" s="67"/>
      <c r="K61" s="67"/>
      <c r="L61" s="67"/>
      <c r="M61" s="67"/>
      <c r="N61" s="67"/>
      <c r="O61" s="67"/>
      <c r="Q61" s="67"/>
      <c r="R61" s="67"/>
      <c r="S61" s="67"/>
      <c r="T61" s="67"/>
      <c r="U61" s="67"/>
      <c r="V61" s="67"/>
      <c r="W61" s="67"/>
      <c r="X61" s="67"/>
      <c r="Y61" s="67"/>
      <c r="Z61" s="67"/>
      <c r="AA61" s="67"/>
    </row>
    <row r="62" spans="1:27" ht="19">
      <c r="B62" s="67"/>
      <c r="C62" s="67"/>
      <c r="D62" s="67"/>
      <c r="E62" s="67"/>
      <c r="F62" s="67"/>
      <c r="G62" s="67"/>
      <c r="H62" s="67"/>
      <c r="I62" s="67"/>
      <c r="J62" s="67"/>
      <c r="K62" s="67"/>
      <c r="L62" s="67"/>
      <c r="M62" s="67"/>
      <c r="N62" s="67"/>
      <c r="O62" s="67"/>
      <c r="Q62" s="67"/>
      <c r="R62" s="67"/>
      <c r="S62" s="67"/>
      <c r="T62" s="67"/>
      <c r="U62" s="67"/>
      <c r="V62" s="67"/>
      <c r="W62" s="67"/>
      <c r="X62" s="67"/>
      <c r="Y62" s="67"/>
      <c r="Z62" s="67"/>
      <c r="AA62" s="67"/>
    </row>
    <row r="63" spans="1:27" ht="20" thickBot="1">
      <c r="B63" s="67"/>
      <c r="C63" s="67"/>
      <c r="D63" s="67"/>
      <c r="E63" s="67"/>
      <c r="F63" s="67"/>
      <c r="G63" s="67"/>
      <c r="H63" s="67"/>
      <c r="I63" s="67"/>
      <c r="J63" s="67"/>
      <c r="K63" s="67"/>
      <c r="L63" s="67"/>
      <c r="M63" s="67"/>
      <c r="N63" s="67"/>
      <c r="O63" s="67"/>
      <c r="Q63" s="67"/>
      <c r="R63" s="67"/>
      <c r="S63" s="67"/>
      <c r="T63" s="67"/>
      <c r="U63" s="67"/>
      <c r="V63" s="67"/>
      <c r="W63" s="67"/>
      <c r="X63" s="67"/>
      <c r="Y63" s="67"/>
      <c r="Z63" s="67"/>
      <c r="AA63" s="67"/>
    </row>
    <row r="64" spans="1:27" ht="30" customHeight="1" thickBot="1">
      <c r="B64" s="67"/>
      <c r="C64" s="185" t="s">
        <v>80</v>
      </c>
      <c r="D64" s="307" t="s">
        <v>81</v>
      </c>
      <c r="E64" s="185" t="s">
        <v>82</v>
      </c>
      <c r="F64" s="67"/>
      <c r="G64" s="67"/>
      <c r="H64" s="152" t="s">
        <v>83</v>
      </c>
      <c r="I64" s="153"/>
      <c r="J64" s="153"/>
      <c r="K64" s="153"/>
      <c r="L64" s="153"/>
      <c r="M64" s="153"/>
      <c r="N64" s="153"/>
      <c r="O64" s="67"/>
      <c r="Q64" s="67"/>
      <c r="R64" s="67"/>
      <c r="S64" s="67"/>
      <c r="T64" s="67"/>
      <c r="U64" s="67"/>
      <c r="V64" s="67"/>
      <c r="W64" s="67"/>
      <c r="X64" s="67"/>
      <c r="Y64" s="67"/>
      <c r="Z64" s="67"/>
      <c r="AA64" s="67"/>
    </row>
    <row r="65" spans="2:27" ht="20" thickBot="1">
      <c r="B65" s="67"/>
      <c r="C65" s="110">
        <v>298.14999999999998</v>
      </c>
      <c r="D65" s="308">
        <f t="shared" ref="D65:D83" si="2">C65*$B$8/$B$16</f>
        <v>4.0625788058228471E-26</v>
      </c>
      <c r="E65" s="309">
        <f xml:space="preserve"> (2*PI()*$A$28*$U$9*$B$8*C65/($B$14^2))^(3/2)*D65</f>
        <v>112425.89879781206</v>
      </c>
      <c r="F65" s="141"/>
      <c r="G65" s="67"/>
      <c r="H65" s="67"/>
      <c r="I65" s="67"/>
      <c r="J65" s="67"/>
      <c r="K65" s="67"/>
      <c r="L65" s="67"/>
      <c r="M65" s="67"/>
      <c r="N65" s="67"/>
      <c r="O65" s="67"/>
      <c r="Q65" s="67"/>
      <c r="R65" s="67"/>
      <c r="S65" s="67"/>
      <c r="T65" s="67"/>
      <c r="U65" s="67"/>
      <c r="V65" s="67"/>
      <c r="W65" s="67"/>
      <c r="X65" s="67"/>
      <c r="Y65" s="67"/>
      <c r="Z65" s="67"/>
      <c r="AA65" s="67"/>
    </row>
    <row r="66" spans="2:27" ht="20" thickBot="1">
      <c r="B66" s="67"/>
      <c r="C66" s="154">
        <v>300</v>
      </c>
      <c r="D66" s="155">
        <f t="shared" si="2"/>
        <v>4.0877868245743891E-26</v>
      </c>
      <c r="E66" s="156">
        <f xml:space="preserve"> (2*PI()*$A$28*$U$9*$B$8*C66/($B$14^2))^(3/2)*D66</f>
        <v>114178.01036804235</v>
      </c>
      <c r="F66" s="67"/>
      <c r="G66" s="67"/>
      <c r="L66" s="150" t="s">
        <v>84</v>
      </c>
      <c r="M66" s="67"/>
      <c r="N66" s="67"/>
      <c r="O66" s="67"/>
      <c r="Q66" s="67"/>
      <c r="R66" s="67"/>
      <c r="S66" s="67"/>
      <c r="T66" s="67"/>
      <c r="U66" s="67"/>
      <c r="V66" s="67"/>
      <c r="W66" s="67"/>
      <c r="X66" s="67"/>
      <c r="Y66" s="67"/>
      <c r="Z66" s="67"/>
      <c r="AA66" s="67"/>
    </row>
    <row r="67" spans="2:27" ht="19">
      <c r="B67" s="67"/>
      <c r="C67" s="157">
        <f>C66+100</f>
        <v>400</v>
      </c>
      <c r="D67" s="158">
        <f t="shared" si="2"/>
        <v>5.4503824327658529E-26</v>
      </c>
      <c r="E67" s="159">
        <f t="shared" ref="E67:E83" si="3" xml:space="preserve"> (2*PI()*$A$28*$U$9*$B$8*C67/($B$14^2))^(3/2)*D67</f>
        <v>234384.72896542485</v>
      </c>
      <c r="F67" s="67"/>
      <c r="G67" s="67"/>
      <c r="K67" s="160" t="s">
        <v>85</v>
      </c>
      <c r="L67" s="161">
        <f>$E$65</f>
        <v>112425.89879781206</v>
      </c>
      <c r="M67" s="67"/>
      <c r="N67" s="67"/>
      <c r="O67" s="67"/>
      <c r="Q67" s="67"/>
      <c r="R67" s="67"/>
      <c r="S67" s="67"/>
      <c r="T67" s="67"/>
      <c r="U67" s="67"/>
      <c r="V67" s="67"/>
      <c r="W67" s="67"/>
      <c r="X67" s="67"/>
      <c r="Y67" s="67"/>
      <c r="Z67" s="67"/>
      <c r="AA67" s="67"/>
    </row>
    <row r="68" spans="2:27" ht="20" thickBot="1">
      <c r="B68" s="67"/>
      <c r="C68" s="157">
        <f t="shared" ref="C68:C83" si="4">C67+100</f>
        <v>500</v>
      </c>
      <c r="D68" s="158">
        <f t="shared" si="2"/>
        <v>6.812978040957315E-26</v>
      </c>
      <c r="E68" s="159">
        <f t="shared" si="3"/>
        <v>409453.27098012256</v>
      </c>
      <c r="F68" s="67"/>
      <c r="G68" s="67"/>
      <c r="K68" s="162" t="s">
        <v>86</v>
      </c>
      <c r="L68" s="163">
        <f>P33</f>
        <v>112481</v>
      </c>
      <c r="M68" s="67"/>
      <c r="N68" s="67"/>
      <c r="O68" s="67"/>
      <c r="Q68" s="67"/>
      <c r="R68" s="67"/>
      <c r="S68" s="67"/>
      <c r="T68" s="67"/>
      <c r="U68" s="67"/>
      <c r="V68" s="67"/>
      <c r="W68" s="67"/>
      <c r="X68" s="67"/>
      <c r="Y68" s="67"/>
      <c r="Z68" s="67"/>
      <c r="AA68" s="67"/>
    </row>
    <row r="69" spans="2:27" ht="22">
      <c r="B69" s="67"/>
      <c r="C69" s="157">
        <f t="shared" si="4"/>
        <v>600</v>
      </c>
      <c r="D69" s="158">
        <f t="shared" si="2"/>
        <v>8.1755736491487783E-26</v>
      </c>
      <c r="E69" s="159">
        <f t="shared" si="3"/>
        <v>645888.36314904713</v>
      </c>
      <c r="F69" s="67"/>
      <c r="G69" s="67"/>
      <c r="H69" s="67"/>
      <c r="I69" s="67"/>
      <c r="K69" s="164" t="s">
        <v>87</v>
      </c>
      <c r="L69" s="165">
        <f>ABS(L67-L68)/L67</f>
        <v>4.9011128909930146E-4</v>
      </c>
      <c r="M69" s="67"/>
      <c r="N69" s="67"/>
      <c r="O69" s="67"/>
      <c r="Q69" s="67"/>
      <c r="R69" s="67"/>
      <c r="S69" s="67"/>
      <c r="T69" s="67"/>
      <c r="U69" s="67"/>
      <c r="V69" s="67"/>
      <c r="W69" s="67"/>
      <c r="X69" s="67"/>
      <c r="Y69" s="67"/>
      <c r="Z69" s="67"/>
      <c r="AA69" s="67"/>
    </row>
    <row r="70" spans="2:27" ht="19">
      <c r="B70" s="67"/>
      <c r="C70" s="157">
        <f t="shared" si="4"/>
        <v>700</v>
      </c>
      <c r="D70" s="158">
        <f t="shared" si="2"/>
        <v>9.5381692573402415E-26</v>
      </c>
      <c r="E70" s="159">
        <f t="shared" si="3"/>
        <v>949564.42167925066</v>
      </c>
      <c r="F70" s="67"/>
      <c r="G70" s="67"/>
      <c r="Q70" s="67"/>
      <c r="R70" s="67"/>
      <c r="S70" s="67"/>
      <c r="T70" s="67"/>
      <c r="U70" s="67"/>
      <c r="V70" s="67"/>
      <c r="W70" s="67"/>
      <c r="X70" s="67"/>
      <c r="Y70" s="67"/>
      <c r="Z70" s="67"/>
      <c r="AA70" s="67"/>
    </row>
    <row r="71" spans="2:27" ht="19">
      <c r="B71" s="67"/>
      <c r="C71" s="157">
        <f t="shared" si="4"/>
        <v>800</v>
      </c>
      <c r="D71" s="158">
        <f t="shared" si="2"/>
        <v>1.0900764865531706E-25</v>
      </c>
      <c r="E71" s="159">
        <f t="shared" si="3"/>
        <v>1325880.2500641872</v>
      </c>
      <c r="F71" s="67"/>
      <c r="G71" s="67"/>
      <c r="Q71" s="67"/>
      <c r="R71" s="67"/>
      <c r="S71" s="67"/>
      <c r="T71" s="67"/>
      <c r="U71" s="67"/>
      <c r="V71" s="67"/>
      <c r="W71" s="67"/>
      <c r="X71" s="67"/>
      <c r="Y71" s="67"/>
      <c r="Z71" s="67"/>
      <c r="AA71" s="67"/>
    </row>
    <row r="72" spans="2:27" ht="19">
      <c r="B72" s="67"/>
      <c r="C72" s="157">
        <f t="shared" si="4"/>
        <v>900</v>
      </c>
      <c r="D72" s="158">
        <f t="shared" si="2"/>
        <v>1.2263360473723168E-25</v>
      </c>
      <c r="E72" s="159">
        <f t="shared" si="3"/>
        <v>1779859.0355811976</v>
      </c>
      <c r="F72" s="67"/>
      <c r="G72" s="67"/>
      <c r="Q72" s="67"/>
      <c r="R72" s="67"/>
      <c r="S72" s="67"/>
      <c r="T72" s="67"/>
      <c r="U72" s="67"/>
      <c r="V72" s="67"/>
      <c r="W72" s="67"/>
      <c r="X72" s="67"/>
      <c r="Y72" s="67"/>
      <c r="Z72" s="67"/>
      <c r="AA72" s="67"/>
    </row>
    <row r="73" spans="2:27" ht="19">
      <c r="C73" s="157">
        <f t="shared" si="4"/>
        <v>1000</v>
      </c>
      <c r="D73" s="158">
        <f t="shared" si="2"/>
        <v>1.362595608191463E-25</v>
      </c>
      <c r="E73" s="159">
        <f t="shared" si="3"/>
        <v>2316217.475912435</v>
      </c>
    </row>
    <row r="74" spans="2:27" ht="19">
      <c r="C74" s="157">
        <f t="shared" si="4"/>
        <v>1100</v>
      </c>
      <c r="D74" s="158">
        <f t="shared" si="2"/>
        <v>1.4988551690106094E-25</v>
      </c>
      <c r="E74" s="159">
        <f t="shared" si="3"/>
        <v>2939415.9534582081</v>
      </c>
    </row>
    <row r="75" spans="2:27" ht="19">
      <c r="C75" s="157">
        <f t="shared" si="4"/>
        <v>1200</v>
      </c>
      <c r="D75" s="158">
        <f t="shared" si="2"/>
        <v>1.6351147298297557E-25</v>
      </c>
      <c r="E75" s="159">
        <f t="shared" si="3"/>
        <v>3653696.3317773752</v>
      </c>
    </row>
    <row r="76" spans="2:27" ht="19">
      <c r="C76" s="157">
        <f t="shared" si="4"/>
        <v>1300</v>
      </c>
      <c r="D76" s="158">
        <f t="shared" si="2"/>
        <v>1.7713742906489019E-25</v>
      </c>
      <c r="E76" s="159">
        <f t="shared" si="3"/>
        <v>4463111.27442268</v>
      </c>
    </row>
    <row r="77" spans="2:27" ht="19">
      <c r="C77" s="157">
        <f t="shared" si="4"/>
        <v>1400</v>
      </c>
      <c r="D77" s="158">
        <f t="shared" si="2"/>
        <v>1.9076338514680483E-25</v>
      </c>
      <c r="E77" s="159">
        <f t="shared" si="3"/>
        <v>5371547.5339429826</v>
      </c>
    </row>
    <row r="78" spans="2:27" ht="19">
      <c r="C78" s="157">
        <f t="shared" si="4"/>
        <v>1500</v>
      </c>
      <c r="D78" s="158">
        <f t="shared" si="2"/>
        <v>2.043893412287195E-25</v>
      </c>
      <c r="E78" s="159">
        <f t="shared" si="3"/>
        <v>6382744.8179655354</v>
      </c>
    </row>
    <row r="79" spans="2:27" ht="19">
      <c r="C79" s="157">
        <f t="shared" si="4"/>
        <v>1600</v>
      </c>
      <c r="D79" s="158">
        <f t="shared" si="2"/>
        <v>2.1801529731063412E-25</v>
      </c>
      <c r="E79" s="159">
        <f t="shared" si="3"/>
        <v>7500311.326893637</v>
      </c>
    </row>
    <row r="80" spans="2:27" ht="19">
      <c r="C80" s="157">
        <f t="shared" si="4"/>
        <v>1700</v>
      </c>
      <c r="D80" s="158">
        <f t="shared" si="2"/>
        <v>2.3164125339254876E-25</v>
      </c>
      <c r="E80" s="159">
        <f t="shared" si="3"/>
        <v>8727736.7320857942</v>
      </c>
    </row>
    <row r="81" spans="3:26" ht="19">
      <c r="C81" s="157">
        <f t="shared" si="4"/>
        <v>1800</v>
      </c>
      <c r="D81" s="158">
        <f t="shared" si="2"/>
        <v>2.4526720947446336E-25</v>
      </c>
      <c r="E81" s="159">
        <f t="shared" si="3"/>
        <v>10068403.148924792</v>
      </c>
    </row>
    <row r="82" spans="3:26" ht="19">
      <c r="C82" s="157">
        <f t="shared" si="4"/>
        <v>1900</v>
      </c>
      <c r="D82" s="158">
        <f t="shared" si="2"/>
        <v>2.58893165556378E-25</v>
      </c>
      <c r="E82" s="159">
        <f t="shared" si="3"/>
        <v>11525594.513639903</v>
      </c>
    </row>
    <row r="83" spans="3:26" ht="20" thickBot="1">
      <c r="C83" s="166">
        <f t="shared" si="4"/>
        <v>2000</v>
      </c>
      <c r="D83" s="167">
        <f t="shared" si="2"/>
        <v>2.725191216382926E-25</v>
      </c>
      <c r="E83" s="168">
        <f t="shared" si="3"/>
        <v>13102504.671363808</v>
      </c>
    </row>
    <row r="92" spans="3:26" ht="22" customHeight="1">
      <c r="F92" s="67" t="s">
        <v>78</v>
      </c>
      <c r="Y92" s="67" t="s">
        <v>78</v>
      </c>
    </row>
    <row r="93" spans="3:26" ht="27">
      <c r="C93" s="148" t="s">
        <v>88</v>
      </c>
      <c r="D93" s="169"/>
      <c r="E93" s="67"/>
      <c r="F93" s="67"/>
      <c r="G93" s="67"/>
      <c r="U93" s="170" t="s">
        <v>89</v>
      </c>
      <c r="V93" s="170"/>
      <c r="W93" s="170"/>
      <c r="X93" s="67"/>
      <c r="Y93" s="67"/>
      <c r="Z93" s="67"/>
    </row>
    <row r="94" spans="3:26" ht="19">
      <c r="E94" s="67"/>
      <c r="G94" s="67"/>
      <c r="X94" s="67"/>
      <c r="Z94" s="67"/>
    </row>
    <row r="95" spans="3:26" ht="20" thickBot="1">
      <c r="E95" s="67"/>
      <c r="F95" s="67"/>
      <c r="G95" s="67"/>
    </row>
    <row r="96" spans="3:26" ht="20" thickBot="1">
      <c r="C96" s="171" t="s">
        <v>90</v>
      </c>
      <c r="E96" s="67"/>
      <c r="F96" s="67"/>
      <c r="G96" s="67"/>
    </row>
    <row r="97" spans="3:34" ht="22" thickBot="1">
      <c r="C97" s="172" t="s">
        <v>91</v>
      </c>
      <c r="D97" s="303" cm="1">
        <f t="array" ref="D97">INDEX($E:$E,(COLUMN(D97)-4)*1+42)</f>
        <v>4454.1019999999999</v>
      </c>
      <c r="E97" s="67"/>
      <c r="F97" s="67"/>
      <c r="G97" s="67"/>
      <c r="H97" s="67"/>
      <c r="I97" s="67"/>
      <c r="J97" s="67"/>
      <c r="K97" s="67"/>
      <c r="L97" s="67"/>
      <c r="M97" s="176" t="s">
        <v>93</v>
      </c>
      <c r="N97" s="177">
        <f>SUM(($B$14*$D$98)/2)*$H$13</f>
        <v>6.3704488251279576</v>
      </c>
    </row>
    <row r="98" spans="3:34" ht="20" thickBot="1">
      <c r="C98" s="174" t="s">
        <v>92</v>
      </c>
      <c r="D98" s="290">
        <f>D97*$L$9</f>
        <v>133530860088600</v>
      </c>
      <c r="E98" s="141"/>
      <c r="F98" s="141"/>
      <c r="G98" s="141"/>
      <c r="H98" s="141"/>
      <c r="I98" s="141"/>
      <c r="J98" s="141"/>
      <c r="K98" s="141"/>
      <c r="L98" s="141"/>
    </row>
    <row r="99" spans="3:34" ht="17" thickBot="1"/>
    <row r="100" spans="3:34" ht="30" customHeight="1" thickBot="1">
      <c r="C100" s="178" t="s">
        <v>94</v>
      </c>
      <c r="D100" s="179"/>
      <c r="E100" s="310" t="s">
        <v>95</v>
      </c>
      <c r="F100" s="311"/>
      <c r="G100" s="311"/>
      <c r="H100" s="311"/>
      <c r="I100" s="311"/>
    </row>
    <row r="101" spans="3:34" ht="38" customHeight="1" thickBot="1">
      <c r="C101" s="181" t="s">
        <v>96</v>
      </c>
      <c r="D101" s="182">
        <v>1</v>
      </c>
      <c r="E101" s="312"/>
      <c r="F101" s="184"/>
      <c r="G101" s="184"/>
      <c r="H101" s="184"/>
      <c r="I101" s="184"/>
      <c r="L101" s="152" t="s">
        <v>83</v>
      </c>
      <c r="M101" s="153"/>
      <c r="N101" s="153"/>
      <c r="O101" s="153"/>
      <c r="P101" s="153"/>
      <c r="Q101" s="67"/>
      <c r="U101" s="185" t="s">
        <v>80</v>
      </c>
      <c r="V101" s="186" t="s">
        <v>97</v>
      </c>
      <c r="W101" s="187" t="s">
        <v>98</v>
      </c>
      <c r="X101" s="187" t="s">
        <v>99</v>
      </c>
      <c r="Y101" s="188" t="s">
        <v>100</v>
      </c>
      <c r="Z101" s="189" t="s">
        <v>101</v>
      </c>
      <c r="AB101" s="190" t="s">
        <v>83</v>
      </c>
      <c r="AC101" s="190"/>
      <c r="AD101" s="190"/>
      <c r="AE101" s="190"/>
      <c r="AF101" s="190"/>
      <c r="AG101" s="190"/>
      <c r="AH101" s="190"/>
    </row>
    <row r="102" spans="3:34" ht="20" thickBot="1">
      <c r="C102" s="176">
        <v>298.14999999999998</v>
      </c>
      <c r="D102" s="313">
        <f>1/(1-EXP(-($B$14*D$98)/($B$8*$C102)))</f>
        <v>1.0000000004626304</v>
      </c>
      <c r="E102" s="314">
        <f xml:space="preserve"> PRODUCT(D102)</f>
        <v>1.0000000004626304</v>
      </c>
      <c r="F102" s="193"/>
      <c r="G102" s="193"/>
      <c r="H102" s="193"/>
      <c r="I102" s="193"/>
      <c r="U102" s="176">
        <v>298.14999999999998</v>
      </c>
      <c r="V102" s="194">
        <f>$E65</f>
        <v>112425.89879781206</v>
      </c>
      <c r="W102" s="195">
        <f>PRODUCT(EXP(-($B$14*$D$98)/(2*$B$8*$U102))/(1-EXP(-($B$14*$D$98)/($B$8*$U102))))</f>
        <v>2.1508840800936278E-5</v>
      </c>
      <c r="X102" s="196">
        <f>$D137</f>
        <v>1.7078764026772475</v>
      </c>
      <c r="Y102" s="197">
        <f>$D175</f>
        <v>1</v>
      </c>
      <c r="Z102" s="198">
        <f>PRODUCT(V102:Y102)</f>
        <v>4.1299026196586448</v>
      </c>
    </row>
    <row r="103" spans="3:34" ht="22" thickBot="1">
      <c r="C103" s="199">
        <v>300</v>
      </c>
      <c r="D103" s="315">
        <f>1/(1-EXP(-($B$14*D$98)/($B$8*$C103)))</f>
        <v>1.0000000005282002</v>
      </c>
      <c r="E103" s="316">
        <f xml:space="preserve"> PRODUCT(D103)</f>
        <v>1.0000000005282002</v>
      </c>
      <c r="F103" s="193"/>
      <c r="G103" s="193"/>
      <c r="H103" s="193"/>
      <c r="I103" s="193"/>
      <c r="N103" s="150" t="s">
        <v>102</v>
      </c>
      <c r="O103" s="185" t="s">
        <v>103</v>
      </c>
      <c r="P103" s="201" t="s">
        <v>104</v>
      </c>
      <c r="U103" s="199">
        <v>300</v>
      </c>
      <c r="V103" s="202">
        <f t="shared" ref="V103:V120" si="5">$E66</f>
        <v>114178.01036804235</v>
      </c>
      <c r="W103" s="67">
        <f t="shared" ref="W103:W120" si="6">PRODUCT(EXP(-($B$14*$D$98)/(2*$B$8*$U103))/(1-EXP(-($B$14*$D$98)/($B$8*$U103))))</f>
        <v>2.298260221333254E-5</v>
      </c>
      <c r="X103" s="141">
        <f>$D138</f>
        <v>1.7184736568947652</v>
      </c>
      <c r="Y103" s="203">
        <f t="shared" ref="Y103:Y120" si="7">$D176</f>
        <v>1</v>
      </c>
      <c r="Z103" s="317">
        <f t="shared" ref="Z103:Z120" si="8">PRODUCT(V103:Y103)</f>
        <v>4.5094601164949211</v>
      </c>
    </row>
    <row r="104" spans="3:34" ht="20" thickBot="1">
      <c r="C104" s="204">
        <f>C103+100</f>
        <v>400</v>
      </c>
      <c r="D104" s="315">
        <f t="shared" ref="D104:D120" si="9">1/(1-EXP(-($B$14*D$98)/($B$8*$C104)))</f>
        <v>1.0000001101790055</v>
      </c>
      <c r="E104" s="316">
        <f xml:space="preserve"> PRODUCT(D104)</f>
        <v>1.0000001101790055</v>
      </c>
      <c r="F104" s="193"/>
      <c r="G104" s="193"/>
      <c r="H104" s="193"/>
      <c r="I104" s="193"/>
      <c r="M104" s="160" t="s">
        <v>85</v>
      </c>
      <c r="N104" s="161">
        <f>E102</f>
        <v>1.0000000004626304</v>
      </c>
      <c r="O104" s="206">
        <f>E124</f>
        <v>2.1508840800936278E-5</v>
      </c>
      <c r="P104" s="206">
        <f>N97</f>
        <v>6.3704488251279576</v>
      </c>
      <c r="U104" s="204">
        <f>U103+100</f>
        <v>400</v>
      </c>
      <c r="V104" s="202">
        <f t="shared" si="5"/>
        <v>234384.72896542485</v>
      </c>
      <c r="W104" s="67">
        <f t="shared" si="6"/>
        <v>3.3193224853539914E-4</v>
      </c>
      <c r="X104" s="141">
        <f t="shared" ref="X104:X119" si="10">$D139</f>
        <v>2.2912982091930205</v>
      </c>
      <c r="Y104" s="203">
        <f t="shared" si="7"/>
        <v>1</v>
      </c>
      <c r="Z104" s="317">
        <f t="shared" si="8"/>
        <v>178.26265722761028</v>
      </c>
    </row>
    <row r="105" spans="3:34" ht="23" thickBot="1">
      <c r="C105" s="204">
        <f t="shared" ref="C105:C120" si="11">C104+100</f>
        <v>500</v>
      </c>
      <c r="D105" s="315">
        <f t="shared" si="9"/>
        <v>1.000002714439828</v>
      </c>
      <c r="E105" s="316">
        <f t="shared" ref="E105:E120" si="12" xml:space="preserve"> PRODUCT(D105)</f>
        <v>1.000002714439828</v>
      </c>
      <c r="F105" s="193"/>
      <c r="G105" s="193"/>
      <c r="H105" s="193"/>
      <c r="I105" s="193"/>
      <c r="M105" s="162" t="s">
        <v>86</v>
      </c>
      <c r="N105" s="163">
        <f>P38</f>
        <v>1</v>
      </c>
      <c r="O105" s="318">
        <f>P37</f>
        <v>2.1509300000000001E-5</v>
      </c>
      <c r="P105" s="318">
        <f>D38</f>
        <v>6.3674600000000003</v>
      </c>
      <c r="U105" s="204">
        <f t="shared" ref="U105:U120" si="13">U104+100</f>
        <v>500</v>
      </c>
      <c r="V105" s="202">
        <f t="shared" si="5"/>
        <v>409453.27098012256</v>
      </c>
      <c r="W105" s="67">
        <f t="shared" si="6"/>
        <v>1.647557949263041E-3</v>
      </c>
      <c r="X105" s="141">
        <f t="shared" si="10"/>
        <v>2.8641227614912754</v>
      </c>
      <c r="Y105" s="203">
        <f t="shared" si="7"/>
        <v>1</v>
      </c>
      <c r="Z105" s="317">
        <f t="shared" si="8"/>
        <v>1932.1314621827198</v>
      </c>
      <c r="AE105" s="150" t="s">
        <v>105</v>
      </c>
      <c r="AF105" s="208" t="s">
        <v>106</v>
      </c>
    </row>
    <row r="106" spans="3:34" ht="23" thickBot="1">
      <c r="C106" s="204">
        <f t="shared" si="11"/>
        <v>600</v>
      </c>
      <c r="D106" s="315">
        <f t="shared" si="9"/>
        <v>1.0000229831304135</v>
      </c>
      <c r="E106" s="316">
        <f t="shared" si="12"/>
        <v>1.0000229831304135</v>
      </c>
      <c r="F106" s="193"/>
      <c r="G106" s="193"/>
      <c r="H106" s="193"/>
      <c r="I106" s="193"/>
      <c r="M106" s="164" t="s">
        <v>87</v>
      </c>
      <c r="N106" s="165">
        <f>ABS(N104-N105)/N104</f>
        <v>4.626303782364857E-10</v>
      </c>
      <c r="O106" s="165">
        <f t="shared" ref="O106:P106" si="14">ABS(O104-O105)/O104</f>
        <v>2.1349317146949956E-5</v>
      </c>
      <c r="P106" s="165">
        <f t="shared" si="14"/>
        <v>4.6917025942787484E-4</v>
      </c>
      <c r="U106" s="204">
        <f t="shared" si="13"/>
        <v>600</v>
      </c>
      <c r="V106" s="202">
        <f t="shared" si="5"/>
        <v>645888.36314904713</v>
      </c>
      <c r="W106" s="67">
        <f t="shared" si="6"/>
        <v>4.794127515786408E-3</v>
      </c>
      <c r="X106" s="141">
        <f t="shared" si="10"/>
        <v>3.4369473137895303</v>
      </c>
      <c r="Y106" s="203">
        <f t="shared" si="7"/>
        <v>1</v>
      </c>
      <c r="Z106" s="317">
        <f t="shared" si="8"/>
        <v>10642.408283359193</v>
      </c>
      <c r="AD106" s="160" t="s">
        <v>85</v>
      </c>
      <c r="AE106" s="209">
        <f>Z102</f>
        <v>4.1299026196586448</v>
      </c>
      <c r="AF106" s="210">
        <f>V103*X103*Y103*E103</f>
        <v>196211.90311777728</v>
      </c>
    </row>
    <row r="107" spans="3:34" ht="20" thickBot="1">
      <c r="C107" s="204">
        <f t="shared" si="11"/>
        <v>700</v>
      </c>
      <c r="D107" s="315">
        <f t="shared" si="9"/>
        <v>1.0001057066628936</v>
      </c>
      <c r="E107" s="316">
        <f t="shared" si="12"/>
        <v>1.0001057066628936</v>
      </c>
      <c r="F107" s="193"/>
      <c r="G107" s="193"/>
      <c r="H107" s="193"/>
      <c r="I107" s="193"/>
      <c r="U107" s="204">
        <f t="shared" si="13"/>
        <v>700</v>
      </c>
      <c r="V107" s="202">
        <f t="shared" si="5"/>
        <v>949564.42167925066</v>
      </c>
      <c r="W107" s="67">
        <f t="shared" si="6"/>
        <v>1.0281917952996048E-2</v>
      </c>
      <c r="X107" s="141">
        <f t="shared" si="10"/>
        <v>4.0097718660877852</v>
      </c>
      <c r="Y107" s="203">
        <f t="shared" si="7"/>
        <v>1</v>
      </c>
      <c r="Z107" s="317">
        <f t="shared" si="8"/>
        <v>39148.779984165492</v>
      </c>
      <c r="AD107" s="162" t="s">
        <v>86</v>
      </c>
      <c r="AE107" s="211">
        <f>$P35</f>
        <v>4.1335499999999996</v>
      </c>
      <c r="AF107" s="202"/>
    </row>
    <row r="108" spans="3:34" ht="22">
      <c r="C108" s="204">
        <f t="shared" si="11"/>
        <v>800</v>
      </c>
      <c r="D108" s="315">
        <f t="shared" si="9"/>
        <v>1.0003320424275408</v>
      </c>
      <c r="E108" s="316">
        <f t="shared" si="12"/>
        <v>1.0003320424275408</v>
      </c>
      <c r="F108" s="193"/>
      <c r="G108" s="193"/>
      <c r="H108" s="193"/>
      <c r="I108" s="193"/>
      <c r="U108" s="204">
        <f t="shared" si="13"/>
        <v>800</v>
      </c>
      <c r="V108" s="202">
        <f t="shared" si="5"/>
        <v>1325880.2500641872</v>
      </c>
      <c r="W108" s="67">
        <f t="shared" si="6"/>
        <v>1.8225056370682773E-2</v>
      </c>
      <c r="X108" s="141">
        <f t="shared" si="10"/>
        <v>4.582596418386041</v>
      </c>
      <c r="Y108" s="203">
        <f t="shared" si="7"/>
        <v>1</v>
      </c>
      <c r="Z108" s="317">
        <f t="shared" si="8"/>
        <v>110734.97020871988</v>
      </c>
      <c r="AD108" s="164" t="s">
        <v>87</v>
      </c>
      <c r="AE108" s="165">
        <f>ABS(AE106-AE107)/AE106</f>
        <v>8.8316376371515596E-4</v>
      </c>
      <c r="AF108" s="212"/>
    </row>
    <row r="109" spans="3:34" ht="19">
      <c r="C109" s="204">
        <f t="shared" si="11"/>
        <v>900</v>
      </c>
      <c r="D109" s="315">
        <f t="shared" si="9"/>
        <v>1.0008090040031887</v>
      </c>
      <c r="E109" s="316">
        <f t="shared" si="12"/>
        <v>1.0008090040031887</v>
      </c>
      <c r="F109" s="193"/>
      <c r="G109" s="193"/>
      <c r="H109" s="193"/>
      <c r="I109" s="193"/>
      <c r="U109" s="204">
        <f t="shared" si="13"/>
        <v>900</v>
      </c>
      <c r="V109" s="202">
        <f t="shared" si="5"/>
        <v>1779859.0355811976</v>
      </c>
      <c r="W109" s="67">
        <f t="shared" si="6"/>
        <v>2.8454498601555651E-2</v>
      </c>
      <c r="X109" s="141">
        <f t="shared" si="10"/>
        <v>5.1554209706842959</v>
      </c>
      <c r="Y109" s="203">
        <f t="shared" si="7"/>
        <v>1</v>
      </c>
      <c r="Z109" s="317">
        <f t="shared" si="8"/>
        <v>261096.2767013952</v>
      </c>
    </row>
    <row r="110" spans="3:34" ht="19">
      <c r="C110" s="204">
        <f t="shared" si="11"/>
        <v>1000</v>
      </c>
      <c r="D110" s="315">
        <f t="shared" si="9"/>
        <v>1.001650272389091</v>
      </c>
      <c r="E110" s="316">
        <f t="shared" si="12"/>
        <v>1.001650272389091</v>
      </c>
      <c r="F110" s="193"/>
      <c r="G110" s="193"/>
      <c r="H110" s="193"/>
      <c r="I110" s="193"/>
      <c r="U110" s="204">
        <f t="shared" si="13"/>
        <v>1000</v>
      </c>
      <c r="V110" s="202">
        <f t="shared" si="5"/>
        <v>2316217.475912435</v>
      </c>
      <c r="W110" s="67">
        <f t="shared" si="6"/>
        <v>4.0657050902017398E-2</v>
      </c>
      <c r="X110" s="141">
        <f t="shared" si="10"/>
        <v>5.7282455229825509</v>
      </c>
      <c r="Y110" s="203">
        <f t="shared" si="7"/>
        <v>1</v>
      </c>
      <c r="Z110" s="317">
        <f t="shared" si="8"/>
        <v>539432.1564149647</v>
      </c>
    </row>
    <row r="111" spans="3:34" ht="19">
      <c r="C111" s="204">
        <f t="shared" si="11"/>
        <v>1100</v>
      </c>
      <c r="D111" s="315">
        <f t="shared" si="9"/>
        <v>1.0029589475450924</v>
      </c>
      <c r="E111" s="316">
        <f t="shared" si="12"/>
        <v>1.0029589475450924</v>
      </c>
      <c r="F111" s="193"/>
      <c r="G111" s="193"/>
      <c r="H111" s="193"/>
      <c r="I111" s="193"/>
      <c r="U111" s="204">
        <f t="shared" si="13"/>
        <v>1100</v>
      </c>
      <c r="V111" s="202">
        <f t="shared" si="5"/>
        <v>2939415.9534582081</v>
      </c>
      <c r="W111" s="67">
        <f t="shared" si="6"/>
        <v>5.4476627242029202E-2</v>
      </c>
      <c r="X111" s="141">
        <f t="shared" si="10"/>
        <v>6.3010700752808058</v>
      </c>
      <c r="Y111" s="203">
        <f t="shared" si="7"/>
        <v>1</v>
      </c>
      <c r="Z111" s="317">
        <f t="shared" si="8"/>
        <v>1008986.9939812304</v>
      </c>
    </row>
    <row r="112" spans="3:34" ht="19">
      <c r="C112" s="204">
        <f t="shared" si="11"/>
        <v>1200</v>
      </c>
      <c r="D112" s="315">
        <f t="shared" si="9"/>
        <v>1.0048171106461996</v>
      </c>
      <c r="E112" s="316">
        <f t="shared" si="12"/>
        <v>1.0048171106461996</v>
      </c>
      <c r="F112" s="193"/>
      <c r="G112" s="193"/>
      <c r="H112" s="193"/>
      <c r="I112" s="193"/>
      <c r="U112" s="204">
        <f t="shared" si="13"/>
        <v>1200</v>
      </c>
      <c r="V112" s="202">
        <f t="shared" si="5"/>
        <v>3653696.3317773752</v>
      </c>
      <c r="W112" s="67">
        <f t="shared" si="6"/>
        <v>6.9572373836009616E-2</v>
      </c>
      <c r="X112" s="141">
        <f t="shared" si="10"/>
        <v>6.8738946275790607</v>
      </c>
      <c r="Y112" s="203">
        <f t="shared" si="7"/>
        <v>1</v>
      </c>
      <c r="Z112" s="317">
        <f t="shared" si="8"/>
        <v>1747318.7670495431</v>
      </c>
    </row>
    <row r="113" spans="2:26" ht="19">
      <c r="C113" s="204">
        <f t="shared" si="11"/>
        <v>1300</v>
      </c>
      <c r="D113" s="315">
        <f t="shared" si="9"/>
        <v>1.0072821304176591</v>
      </c>
      <c r="E113" s="316">
        <f t="shared" si="12"/>
        <v>1.0072821304176591</v>
      </c>
      <c r="F113" s="193"/>
      <c r="G113" s="193"/>
      <c r="H113" s="193"/>
      <c r="I113" s="193"/>
      <c r="U113" s="204">
        <f t="shared" si="13"/>
        <v>1300</v>
      </c>
      <c r="V113" s="202">
        <f t="shared" si="5"/>
        <v>4463111.27442268</v>
      </c>
      <c r="W113" s="67">
        <f t="shared" si="6"/>
        <v>8.5645547701435565E-2</v>
      </c>
      <c r="X113" s="141">
        <f t="shared" si="10"/>
        <v>7.4467191798773165</v>
      </c>
      <c r="Y113" s="203">
        <f t="shared" si="7"/>
        <v>1</v>
      </c>
      <c r="Z113" s="317">
        <f t="shared" si="8"/>
        <v>2846475.7120627295</v>
      </c>
    </row>
    <row r="114" spans="2:26" ht="19">
      <c r="C114" s="204">
        <f t="shared" si="11"/>
        <v>1400</v>
      </c>
      <c r="D114" s="315">
        <f t="shared" si="9"/>
        <v>1.0103876246158896</v>
      </c>
      <c r="E114" s="316">
        <f t="shared" si="12"/>
        <v>1.0103876246158896</v>
      </c>
      <c r="F114" s="193"/>
      <c r="G114" s="193"/>
      <c r="H114" s="193"/>
      <c r="I114" s="193"/>
      <c r="U114" s="204">
        <f t="shared" si="13"/>
        <v>1400</v>
      </c>
      <c r="V114" s="202">
        <f t="shared" si="5"/>
        <v>5371547.5339429826</v>
      </c>
      <c r="W114" s="67">
        <f t="shared" si="6"/>
        <v>0.10244768109161986</v>
      </c>
      <c r="X114" s="141">
        <f t="shared" si="10"/>
        <v>8.0195437321755705</v>
      </c>
      <c r="Y114" s="203">
        <f t="shared" si="7"/>
        <v>1</v>
      </c>
      <c r="Z114" s="317">
        <f t="shared" si="8"/>
        <v>4413175.6762165241</v>
      </c>
    </row>
    <row r="115" spans="2:26" ht="19">
      <c r="C115" s="204">
        <f t="shared" si="11"/>
        <v>1500</v>
      </c>
      <c r="D115" s="315">
        <f t="shared" si="9"/>
        <v>1.0141468756805898</v>
      </c>
      <c r="E115" s="316">
        <f t="shared" si="12"/>
        <v>1.0141468756805898</v>
      </c>
      <c r="F115" s="193"/>
      <c r="G115" s="193"/>
      <c r="H115" s="193"/>
      <c r="I115" s="193"/>
      <c r="U115" s="204">
        <f t="shared" si="13"/>
        <v>1500</v>
      </c>
      <c r="V115" s="202">
        <f t="shared" si="5"/>
        <v>6382744.8179655354</v>
      </c>
      <c r="W115" s="67">
        <f t="shared" si="6"/>
        <v>0.11977900388679139</v>
      </c>
      <c r="X115" s="141">
        <f t="shared" si="10"/>
        <v>8.5923682844738263</v>
      </c>
      <c r="Y115" s="203">
        <f t="shared" si="7"/>
        <v>1</v>
      </c>
      <c r="Z115" s="317">
        <f t="shared" si="8"/>
        <v>6569027.2305707633</v>
      </c>
    </row>
    <row r="116" spans="2:26" ht="19">
      <c r="C116" s="204">
        <f t="shared" si="11"/>
        <v>1600</v>
      </c>
      <c r="D116" s="315">
        <f t="shared" si="9"/>
        <v>1.0185570987982238</v>
      </c>
      <c r="E116" s="316">
        <f t="shared" si="12"/>
        <v>1.0185570987982238</v>
      </c>
      <c r="F116" s="193"/>
      <c r="G116" s="193"/>
      <c r="H116" s="193"/>
      <c r="I116" s="193"/>
      <c r="U116" s="204">
        <f t="shared" si="13"/>
        <v>1600</v>
      </c>
      <c r="V116" s="202">
        <f t="shared" si="5"/>
        <v>7500311.326893637</v>
      </c>
      <c r="W116" s="67">
        <f t="shared" si="6"/>
        <v>0.13748259785889516</v>
      </c>
      <c r="X116" s="141">
        <f t="shared" si="10"/>
        <v>9.1651928367720821</v>
      </c>
      <c r="Y116" s="203">
        <f t="shared" si="7"/>
        <v>1</v>
      </c>
      <c r="Z116" s="317">
        <f t="shared" si="8"/>
        <v>9450801.1969385799</v>
      </c>
    </row>
    <row r="117" spans="2:26" ht="19">
      <c r="C117" s="204">
        <f t="shared" si="11"/>
        <v>1700</v>
      </c>
      <c r="D117" s="315">
        <f t="shared" si="9"/>
        <v>1.0236036186304809</v>
      </c>
      <c r="E117" s="316">
        <f t="shared" si="12"/>
        <v>1.0236036186304809</v>
      </c>
      <c r="F117" s="193"/>
      <c r="G117" s="193"/>
      <c r="H117" s="193"/>
      <c r="I117" s="193"/>
      <c r="U117" s="204">
        <f t="shared" si="13"/>
        <v>1700</v>
      </c>
      <c r="V117" s="202">
        <f t="shared" si="5"/>
        <v>8727736.7320857942</v>
      </c>
      <c r="W117" s="67">
        <f t="shared" si="6"/>
        <v>0.15543728459714562</v>
      </c>
      <c r="X117" s="141">
        <f t="shared" si="10"/>
        <v>9.7380173890703361</v>
      </c>
      <c r="Y117" s="203">
        <f t="shared" si="7"/>
        <v>1</v>
      </c>
      <c r="Z117" s="317">
        <f t="shared" si="8"/>
        <v>13210747.260469295</v>
      </c>
    </row>
    <row r="118" spans="2:26" ht="19">
      <c r="C118" s="204">
        <f t="shared" si="11"/>
        <v>1800</v>
      </c>
      <c r="D118" s="315">
        <f t="shared" si="9"/>
        <v>1.0292635026047445</v>
      </c>
      <c r="E118" s="316">
        <f t="shared" si="12"/>
        <v>1.0292635026047445</v>
      </c>
      <c r="F118" s="193"/>
      <c r="G118" s="193"/>
      <c r="H118" s="193"/>
      <c r="I118" s="193"/>
      <c r="U118" s="204">
        <f t="shared" si="13"/>
        <v>1800</v>
      </c>
      <c r="V118" s="202">
        <f t="shared" si="5"/>
        <v>10068403.148924792</v>
      </c>
      <c r="W118" s="67">
        <f t="shared" si="6"/>
        <v>0.17355072800032356</v>
      </c>
      <c r="X118" s="141">
        <f t="shared" si="10"/>
        <v>10.310841941368592</v>
      </c>
      <c r="Y118" s="203">
        <f t="shared" si="7"/>
        <v>1</v>
      </c>
      <c r="Z118" s="317">
        <f t="shared" si="8"/>
        <v>18016945.549229447</v>
      </c>
    </row>
    <row r="119" spans="2:26" ht="19">
      <c r="C119" s="204">
        <f t="shared" si="11"/>
        <v>1900</v>
      </c>
      <c r="D119" s="315">
        <f t="shared" si="9"/>
        <v>1.0355085030737978</v>
      </c>
      <c r="E119" s="316">
        <f t="shared" si="12"/>
        <v>1.0355085030737978</v>
      </c>
      <c r="F119" s="193"/>
      <c r="G119" s="193"/>
      <c r="H119" s="193"/>
      <c r="I119" s="193"/>
      <c r="U119" s="204">
        <f t="shared" si="13"/>
        <v>1900</v>
      </c>
      <c r="V119" s="202">
        <f t="shared" si="5"/>
        <v>11525594.513639903</v>
      </c>
      <c r="W119" s="67">
        <f t="shared" si="6"/>
        <v>0.19175337510547141</v>
      </c>
      <c r="X119" s="141">
        <f t="shared" si="10"/>
        <v>10.883666493666846</v>
      </c>
      <c r="Y119" s="203">
        <f t="shared" si="7"/>
        <v>1</v>
      </c>
      <c r="Z119" s="317">
        <f t="shared" si="8"/>
        <v>24053682.744893592</v>
      </c>
    </row>
    <row r="120" spans="2:26" ht="20" thickBot="1">
      <c r="C120" s="213">
        <f t="shared" si="11"/>
        <v>2000</v>
      </c>
      <c r="D120" s="315">
        <f t="shared" si="9"/>
        <v>1.0423073232911084</v>
      </c>
      <c r="E120" s="319">
        <f t="shared" si="12"/>
        <v>1.0423073232911084</v>
      </c>
      <c r="F120" s="193"/>
      <c r="G120" s="193"/>
      <c r="H120" s="193"/>
      <c r="I120" s="193"/>
      <c r="U120" s="213">
        <f t="shared" si="13"/>
        <v>2000</v>
      </c>
      <c r="V120" s="216">
        <f t="shared" si="5"/>
        <v>13102504.671363808</v>
      </c>
      <c r="W120" s="217">
        <f t="shared" si="6"/>
        <v>0.20999341155180751</v>
      </c>
      <c r="X120" s="218">
        <f>$D155</f>
        <v>11.456491045965102</v>
      </c>
      <c r="Y120" s="219">
        <f t="shared" si="7"/>
        <v>1</v>
      </c>
      <c r="Z120" s="320">
        <f t="shared" si="8"/>
        <v>31521843.780337002</v>
      </c>
    </row>
    <row r="122" spans="2:26" ht="17" thickBot="1"/>
    <row r="123" spans="2:26" ht="32" thickBot="1">
      <c r="C123" s="220" t="s">
        <v>107</v>
      </c>
      <c r="D123" s="221">
        <v>1</v>
      </c>
      <c r="E123" s="180" t="s">
        <v>95</v>
      </c>
    </row>
    <row r="124" spans="2:26" ht="20" thickBot="1">
      <c r="C124" s="176">
        <v>298.14999999999998</v>
      </c>
      <c r="D124" s="223">
        <f>EXP(-($B$14*D$98)/(2*$B$8*$C124))/(1-EXP(-($B$14*D$98)/($B$8*$C124)))</f>
        <v>2.1508840800936278E-5</v>
      </c>
      <c r="E124" s="224">
        <f>D124</f>
        <v>2.1508840800936278E-5</v>
      </c>
    </row>
    <row r="127" spans="2:26" ht="19">
      <c r="B127" s="67"/>
      <c r="C127" s="67"/>
      <c r="D127" s="67"/>
      <c r="E127" s="67"/>
      <c r="F127" s="67" t="s">
        <v>78</v>
      </c>
      <c r="G127" s="67"/>
      <c r="H127" s="67"/>
      <c r="I127" s="67"/>
      <c r="J127" s="67"/>
      <c r="K127" s="67"/>
      <c r="L127" s="67"/>
      <c r="M127" s="67"/>
      <c r="N127" s="67"/>
      <c r="O127" s="67"/>
    </row>
    <row r="128" spans="2:26" ht="27">
      <c r="B128" s="67"/>
      <c r="C128" s="148" t="s">
        <v>108</v>
      </c>
      <c r="D128" s="149"/>
      <c r="E128" s="67"/>
      <c r="F128" s="67"/>
      <c r="G128" s="67"/>
      <c r="H128" s="67"/>
      <c r="I128" s="67"/>
      <c r="J128" s="67"/>
      <c r="K128" s="67"/>
      <c r="L128" s="67"/>
      <c r="M128" s="67"/>
      <c r="N128" s="67"/>
      <c r="O128" s="67"/>
    </row>
    <row r="129" spans="2:15" ht="20" thickBot="1">
      <c r="B129" s="67"/>
      <c r="C129" s="67"/>
      <c r="D129" s="67"/>
      <c r="E129" s="67"/>
      <c r="F129" s="67"/>
      <c r="G129" s="67"/>
      <c r="H129" s="67"/>
      <c r="I129" s="67"/>
      <c r="J129" s="67"/>
      <c r="K129" s="67"/>
      <c r="L129" s="67"/>
      <c r="M129" s="67"/>
      <c r="N129" s="67"/>
      <c r="O129" s="67"/>
    </row>
    <row r="130" spans="2:15" ht="21">
      <c r="B130" s="67"/>
      <c r="C130" s="321" t="s">
        <v>140</v>
      </c>
      <c r="D130" s="322"/>
      <c r="E130" s="67"/>
      <c r="F130" s="67"/>
      <c r="G130" s="67"/>
      <c r="H130" s="67"/>
      <c r="I130" s="67"/>
      <c r="J130" s="67"/>
      <c r="K130" s="67"/>
      <c r="L130" s="67"/>
      <c r="M130" s="67"/>
      <c r="N130" s="67"/>
      <c r="O130" s="67"/>
    </row>
    <row r="131" spans="2:15" ht="20" thickBot="1">
      <c r="B131" s="67"/>
      <c r="C131" s="323">
        <f>(D132*D133)/(D132+D133)*(D134^2)</f>
        <v>4.6141325616772751E-48</v>
      </c>
      <c r="D131" s="324"/>
      <c r="E131" s="124"/>
      <c r="F131" s="124"/>
      <c r="G131" s="67"/>
      <c r="H131" s="67"/>
      <c r="I131" s="67"/>
      <c r="J131" s="67"/>
      <c r="K131" s="67"/>
      <c r="L131" s="67"/>
      <c r="M131" s="67"/>
      <c r="N131" s="67"/>
      <c r="O131" s="67"/>
    </row>
    <row r="132" spans="2:15" ht="22" thickBot="1">
      <c r="B132" s="67"/>
      <c r="C132" s="325" t="s">
        <v>141</v>
      </c>
      <c r="D132" s="326">
        <f>(A28/2)*$U$9</f>
        <v>1.6729894999999998E-27</v>
      </c>
      <c r="E132" s="141"/>
      <c r="F132" s="141"/>
      <c r="G132" s="67"/>
      <c r="H132" s="67"/>
      <c r="I132" s="67"/>
      <c r="J132" s="67"/>
      <c r="K132" s="67"/>
      <c r="L132" s="67"/>
      <c r="M132" s="67"/>
      <c r="N132" s="67"/>
      <c r="O132" s="67"/>
    </row>
    <row r="133" spans="2:15" ht="22" thickBot="1">
      <c r="B133" s="67"/>
      <c r="C133" s="174" t="s">
        <v>142</v>
      </c>
      <c r="D133" s="326">
        <f>(A28/2)*$U$9</f>
        <v>1.6729894999999998E-27</v>
      </c>
      <c r="E133" s="67"/>
      <c r="F133" s="67"/>
      <c r="G133" s="67"/>
      <c r="H133" s="67"/>
      <c r="I133" s="67"/>
      <c r="J133" s="67"/>
      <c r="K133" s="67"/>
      <c r="L133" s="67"/>
      <c r="M133" s="67"/>
      <c r="N133" s="67"/>
      <c r="O133" s="67"/>
    </row>
    <row r="134" spans="2:15" ht="22" thickBot="1">
      <c r="B134" s="67"/>
      <c r="C134" s="174" t="s">
        <v>143</v>
      </c>
      <c r="D134" s="326">
        <f xml:space="preserve"> 0.7427*10^-10</f>
        <v>7.4270000000000006E-11</v>
      </c>
      <c r="E134" s="67"/>
      <c r="F134" s="67"/>
      <c r="G134" s="67"/>
      <c r="H134" s="67"/>
      <c r="I134" s="67"/>
      <c r="J134" s="67"/>
      <c r="K134" s="67"/>
      <c r="L134" s="67"/>
      <c r="M134" s="67"/>
      <c r="N134" s="67"/>
      <c r="O134" s="67"/>
    </row>
    <row r="135" spans="2:15" ht="20" thickBot="1">
      <c r="B135" s="67"/>
      <c r="C135" s="67"/>
      <c r="D135" s="67"/>
      <c r="E135" s="67"/>
      <c r="F135" s="67"/>
      <c r="G135" s="67"/>
      <c r="H135" s="67"/>
      <c r="I135" s="67"/>
      <c r="J135" s="67"/>
      <c r="K135" s="67"/>
      <c r="L135" s="67"/>
      <c r="M135" s="67"/>
      <c r="N135" s="67"/>
      <c r="O135" s="67"/>
    </row>
    <row r="136" spans="2:15" ht="23" thickBot="1">
      <c r="B136" s="67"/>
      <c r="C136" s="226" t="s">
        <v>80</v>
      </c>
      <c r="D136" s="150" t="s">
        <v>144</v>
      </c>
      <c r="E136" s="227"/>
      <c r="F136" s="67"/>
      <c r="G136" s="67"/>
      <c r="H136" s="152" t="s">
        <v>83</v>
      </c>
      <c r="I136" s="153"/>
      <c r="J136" s="153"/>
      <c r="K136" s="153"/>
      <c r="L136" s="153"/>
      <c r="M136" s="153"/>
      <c r="N136" s="153"/>
      <c r="O136" s="67"/>
    </row>
    <row r="137" spans="2:15" ht="20" thickBot="1">
      <c r="B137" s="67"/>
      <c r="C137" s="154">
        <v>298.14999999999998</v>
      </c>
      <c r="D137" s="156">
        <f>(8*PI()^2*$B$8*C137*$C$131)/($H$139*$B$14^2)</f>
        <v>1.7078764026772475</v>
      </c>
      <c r="E137" s="141"/>
      <c r="F137" s="141"/>
      <c r="G137" s="67"/>
      <c r="H137" s="67"/>
      <c r="I137" s="67"/>
      <c r="J137" s="67"/>
      <c r="K137" s="67"/>
      <c r="L137" s="67"/>
      <c r="M137" s="67"/>
      <c r="N137" s="67"/>
      <c r="O137" s="67"/>
    </row>
    <row r="138" spans="2:15" ht="20" thickBot="1">
      <c r="B138" s="67"/>
      <c r="C138" s="154">
        <v>300</v>
      </c>
      <c r="D138" s="156">
        <f>(8*PI()^2*$B$8*C138*$C$131)/($H$139*$B$14^2)</f>
        <v>1.7184736568947652</v>
      </c>
      <c r="E138" s="141"/>
      <c r="F138" s="67"/>
      <c r="G138" s="67"/>
      <c r="L138" s="150" t="s">
        <v>145</v>
      </c>
      <c r="M138" s="227"/>
      <c r="N138" s="67"/>
      <c r="O138" s="67"/>
    </row>
    <row r="139" spans="2:15" ht="20" thickBot="1">
      <c r="B139" s="67"/>
      <c r="C139" s="157">
        <f>C138+100</f>
        <v>400</v>
      </c>
      <c r="D139" s="159">
        <f>(8*PI()^2*$B$8*C139*$C$131)/($H$139*$B$14^2)</f>
        <v>2.2912982091930205</v>
      </c>
      <c r="E139" s="141"/>
      <c r="F139" s="67"/>
      <c r="G139" s="110" t="s">
        <v>146</v>
      </c>
      <c r="H139" s="327">
        <v>2</v>
      </c>
      <c r="K139" s="160" t="s">
        <v>85</v>
      </c>
      <c r="L139" s="161">
        <f>$D$137</f>
        <v>1.7078764026772475</v>
      </c>
      <c r="M139" s="141"/>
      <c r="N139" s="67"/>
      <c r="O139" s="67"/>
    </row>
    <row r="140" spans="2:15" ht="20" thickBot="1">
      <c r="B140" s="67"/>
      <c r="C140" s="157">
        <f t="shared" ref="C140:C155" si="15">C139+100</f>
        <v>500</v>
      </c>
      <c r="D140" s="159">
        <f t="shared" ref="D140:D155" si="16">(8*PI()^2*$B$8*C140*$C$131)/($H$139*$B$14^2)</f>
        <v>2.8641227614912754</v>
      </c>
      <c r="E140" s="141"/>
      <c r="F140" s="67"/>
      <c r="G140" s="67"/>
      <c r="K140" s="162" t="s">
        <v>86</v>
      </c>
      <c r="L140" s="163">
        <f>P34</f>
        <v>1.70851</v>
      </c>
      <c r="M140" s="141"/>
      <c r="N140" s="67"/>
      <c r="O140" s="67"/>
    </row>
    <row r="141" spans="2:15" ht="22">
      <c r="B141" s="67"/>
      <c r="C141" s="157">
        <f t="shared" si="15"/>
        <v>600</v>
      </c>
      <c r="D141" s="159">
        <f t="shared" si="16"/>
        <v>3.4369473137895303</v>
      </c>
      <c r="E141" s="141"/>
      <c r="F141" s="67"/>
      <c r="G141" s="67"/>
      <c r="H141" s="67"/>
      <c r="I141" s="67"/>
      <c r="K141" s="164" t="s">
        <v>87</v>
      </c>
      <c r="L141" s="165">
        <f>ABS(L139-L140)/L139</f>
        <v>3.7098546578619932E-4</v>
      </c>
      <c r="M141" s="228"/>
      <c r="N141" s="67"/>
      <c r="O141" s="67"/>
    </row>
    <row r="142" spans="2:15" ht="19">
      <c r="B142" s="67"/>
      <c r="C142" s="157">
        <f t="shared" si="15"/>
        <v>700</v>
      </c>
      <c r="D142" s="159">
        <f t="shared" si="16"/>
        <v>4.0097718660877852</v>
      </c>
      <c r="E142" s="141"/>
      <c r="F142" s="67"/>
      <c r="G142" s="67"/>
    </row>
    <row r="143" spans="2:15" ht="19">
      <c r="B143" s="67"/>
      <c r="C143" s="157">
        <f t="shared" si="15"/>
        <v>800</v>
      </c>
      <c r="D143" s="159">
        <f t="shared" si="16"/>
        <v>4.582596418386041</v>
      </c>
      <c r="E143" s="141"/>
      <c r="F143" s="67"/>
      <c r="G143" s="67"/>
    </row>
    <row r="144" spans="2:15" ht="19">
      <c r="B144" s="67"/>
      <c r="C144" s="157">
        <f t="shared" si="15"/>
        <v>900</v>
      </c>
      <c r="D144" s="159">
        <f t="shared" si="16"/>
        <v>5.1554209706842959</v>
      </c>
      <c r="E144" s="141"/>
      <c r="F144" s="67"/>
      <c r="G144" s="67"/>
    </row>
    <row r="145" spans="3:5" ht="19">
      <c r="C145" s="157">
        <f t="shared" si="15"/>
        <v>1000</v>
      </c>
      <c r="D145" s="159">
        <f t="shared" si="16"/>
        <v>5.7282455229825509</v>
      </c>
      <c r="E145" s="141"/>
    </row>
    <row r="146" spans="3:5" ht="19">
      <c r="C146" s="157">
        <f t="shared" si="15"/>
        <v>1100</v>
      </c>
      <c r="D146" s="159">
        <f t="shared" si="16"/>
        <v>6.3010700752808058</v>
      </c>
      <c r="E146" s="141"/>
    </row>
    <row r="147" spans="3:5" ht="19">
      <c r="C147" s="157">
        <f t="shared" si="15"/>
        <v>1200</v>
      </c>
      <c r="D147" s="159">
        <f t="shared" si="16"/>
        <v>6.8738946275790607</v>
      </c>
      <c r="E147" s="141"/>
    </row>
    <row r="148" spans="3:5" ht="19">
      <c r="C148" s="157">
        <f t="shared" si="15"/>
        <v>1300</v>
      </c>
      <c r="D148" s="159">
        <f t="shared" si="16"/>
        <v>7.4467191798773165</v>
      </c>
      <c r="E148" s="141"/>
    </row>
    <row r="149" spans="3:5" ht="19">
      <c r="C149" s="157">
        <f t="shared" si="15"/>
        <v>1400</v>
      </c>
      <c r="D149" s="159">
        <f t="shared" si="16"/>
        <v>8.0195437321755705</v>
      </c>
      <c r="E149" s="141"/>
    </row>
    <row r="150" spans="3:5" ht="19">
      <c r="C150" s="157">
        <f t="shared" si="15"/>
        <v>1500</v>
      </c>
      <c r="D150" s="159">
        <f t="shared" si="16"/>
        <v>8.5923682844738263</v>
      </c>
      <c r="E150" s="141"/>
    </row>
    <row r="151" spans="3:5" ht="19">
      <c r="C151" s="157">
        <f t="shared" si="15"/>
        <v>1600</v>
      </c>
      <c r="D151" s="159">
        <f t="shared" si="16"/>
        <v>9.1651928367720821</v>
      </c>
      <c r="E151" s="141"/>
    </row>
    <row r="152" spans="3:5" ht="19">
      <c r="C152" s="157">
        <f t="shared" si="15"/>
        <v>1700</v>
      </c>
      <c r="D152" s="159">
        <f t="shared" si="16"/>
        <v>9.7380173890703361</v>
      </c>
      <c r="E152" s="141"/>
    </row>
    <row r="153" spans="3:5" ht="19">
      <c r="C153" s="157">
        <f t="shared" si="15"/>
        <v>1800</v>
      </c>
      <c r="D153" s="159">
        <f t="shared" si="16"/>
        <v>10.310841941368592</v>
      </c>
      <c r="E153" s="141"/>
    </row>
    <row r="154" spans="3:5" ht="19">
      <c r="C154" s="157">
        <f t="shared" si="15"/>
        <v>1900</v>
      </c>
      <c r="D154" s="159">
        <f t="shared" si="16"/>
        <v>10.883666493666846</v>
      </c>
      <c r="E154" s="141"/>
    </row>
    <row r="155" spans="3:5" ht="20" thickBot="1">
      <c r="C155" s="166">
        <f t="shared" si="15"/>
        <v>2000</v>
      </c>
      <c r="D155" s="168">
        <f t="shared" si="16"/>
        <v>11.456491045965102</v>
      </c>
      <c r="E155" s="141"/>
    </row>
    <row r="162" spans="2:16" ht="19">
      <c r="B162" s="67"/>
      <c r="C162" s="67"/>
      <c r="D162" s="67"/>
      <c r="E162" s="67"/>
      <c r="F162" s="67"/>
      <c r="G162" s="67"/>
      <c r="H162" s="67"/>
      <c r="I162" s="67"/>
      <c r="J162" s="67"/>
      <c r="K162" s="67"/>
      <c r="L162" s="67"/>
      <c r="M162" s="67"/>
      <c r="N162" s="67"/>
      <c r="O162" s="67"/>
      <c r="P162" s="67"/>
    </row>
    <row r="163" spans="2:16" ht="19">
      <c r="B163" s="67"/>
      <c r="C163" s="67"/>
      <c r="D163" s="67"/>
      <c r="E163" s="67"/>
      <c r="F163" s="67" t="s">
        <v>78</v>
      </c>
      <c r="G163" s="67"/>
      <c r="H163" s="67"/>
      <c r="I163" s="67"/>
      <c r="J163" s="67"/>
      <c r="K163" s="67"/>
      <c r="L163" s="67"/>
      <c r="M163" s="67"/>
      <c r="N163" s="67"/>
      <c r="O163" s="67"/>
    </row>
    <row r="164" spans="2:16" ht="27">
      <c r="B164" s="67"/>
      <c r="C164" s="148" t="s">
        <v>111</v>
      </c>
      <c r="D164" s="149"/>
      <c r="E164" s="67"/>
      <c r="F164" s="67"/>
      <c r="G164" s="67"/>
      <c r="H164" s="67"/>
      <c r="I164" s="67"/>
      <c r="J164" s="67"/>
      <c r="K164" s="67"/>
      <c r="L164" s="67"/>
      <c r="M164" s="67"/>
      <c r="N164" s="67"/>
      <c r="O164" s="67"/>
    </row>
    <row r="165" spans="2:16" ht="19">
      <c r="B165" s="67"/>
      <c r="C165" s="67"/>
      <c r="D165" s="67"/>
      <c r="E165" s="67"/>
      <c r="F165" s="67"/>
      <c r="G165" s="67"/>
      <c r="H165" s="67"/>
      <c r="I165" s="67"/>
      <c r="J165" s="67"/>
      <c r="K165" s="67"/>
      <c r="L165" s="67"/>
      <c r="M165" s="67"/>
      <c r="N165" s="67"/>
      <c r="O165" s="67"/>
    </row>
    <row r="166" spans="2:16" ht="20" thickBot="1">
      <c r="B166" s="67"/>
      <c r="C166" s="142" t="s">
        <v>112</v>
      </c>
      <c r="F166" s="67"/>
      <c r="G166" s="67"/>
      <c r="H166" s="67"/>
      <c r="I166" s="67"/>
      <c r="J166" s="67"/>
      <c r="K166" s="67"/>
      <c r="L166" s="67"/>
      <c r="M166" s="67"/>
      <c r="N166" s="67"/>
      <c r="O166" s="67"/>
    </row>
    <row r="167" spans="2:16" ht="20" thickBot="1">
      <c r="B167" s="67"/>
      <c r="C167" s="229"/>
      <c r="D167" s="143">
        <v>1</v>
      </c>
      <c r="E167" s="305">
        <f>D167+1</f>
        <v>2</v>
      </c>
      <c r="F167" s="144" t="s">
        <v>113</v>
      </c>
      <c r="G167" s="67"/>
      <c r="H167" s="67"/>
      <c r="I167" s="67"/>
      <c r="J167" s="67"/>
      <c r="K167" s="67"/>
      <c r="L167" s="67"/>
      <c r="M167" s="67"/>
      <c r="N167" s="67"/>
      <c r="O167" s="67"/>
    </row>
    <row r="168" spans="2:16" ht="20" thickBot="1">
      <c r="B168" s="67"/>
      <c r="C168" s="230" t="s">
        <v>114</v>
      </c>
      <c r="D168" s="231">
        <f>J$46</f>
        <v>-1.1754771069800001</v>
      </c>
      <c r="E168" s="231">
        <f t="shared" ref="E168" si="17">K$46</f>
        <v>-1.17548238441</v>
      </c>
      <c r="F168" s="231">
        <f>L$46</f>
        <v>-1.17548238441</v>
      </c>
      <c r="G168" s="67"/>
      <c r="H168" s="67"/>
      <c r="I168" s="67"/>
      <c r="J168" s="67"/>
      <c r="K168" s="67"/>
      <c r="L168" s="67"/>
      <c r="M168" s="67"/>
      <c r="N168" s="67"/>
      <c r="O168" s="67"/>
    </row>
    <row r="169" spans="2:16" ht="20" thickBot="1">
      <c r="B169" s="67"/>
      <c r="C169" s="233" t="s">
        <v>115</v>
      </c>
      <c r="D169" s="175">
        <f>D168*$K$7</f>
        <v>-5.1250801864328E-18</v>
      </c>
      <c r="E169" s="175">
        <f t="shared" ref="E169" si="18">E168*$K$7</f>
        <v>-5.1251031960275999E-18</v>
      </c>
      <c r="F169" s="175">
        <f>F168*$K$7</f>
        <v>-5.1251031960275999E-18</v>
      </c>
      <c r="G169" s="67"/>
      <c r="H169" s="67"/>
      <c r="I169" s="67"/>
      <c r="J169" s="67"/>
      <c r="K169" s="67"/>
      <c r="L169" s="67"/>
      <c r="M169" s="67"/>
      <c r="N169" s="67"/>
      <c r="O169" s="67"/>
    </row>
    <row r="170" spans="2:16" ht="20" thickBot="1">
      <c r="B170" s="67"/>
      <c r="D170" s="67"/>
      <c r="E170" s="67"/>
      <c r="F170" s="67"/>
      <c r="G170" s="67"/>
      <c r="H170" s="67"/>
      <c r="I170" s="67"/>
      <c r="J170" s="67"/>
      <c r="K170" s="67"/>
      <c r="L170" s="67"/>
      <c r="M170" s="67"/>
      <c r="N170" s="67"/>
      <c r="O170" s="67"/>
    </row>
    <row r="171" spans="2:16" ht="22" thickBot="1">
      <c r="B171" s="67"/>
      <c r="C171" s="208" t="s">
        <v>116</v>
      </c>
      <c r="D171" s="67"/>
      <c r="E171" s="67"/>
      <c r="F171" s="67"/>
      <c r="G171" s="67"/>
      <c r="H171" s="67"/>
      <c r="I171" s="67"/>
      <c r="J171" s="67"/>
      <c r="K171" s="67"/>
      <c r="L171" s="67"/>
      <c r="M171" s="67"/>
      <c r="N171" s="67"/>
      <c r="O171" s="67"/>
    </row>
    <row r="172" spans="2:16" ht="23" thickBot="1">
      <c r="B172" s="67"/>
      <c r="C172" s="235">
        <f>F169+L23</f>
        <v>-5.0808622760275997E-18</v>
      </c>
      <c r="F172" s="67"/>
      <c r="G172" s="67"/>
      <c r="H172" s="152" t="s">
        <v>83</v>
      </c>
      <c r="I172" s="153"/>
      <c r="J172" s="153"/>
      <c r="K172" s="153"/>
      <c r="L172" s="153"/>
      <c r="M172" s="153"/>
      <c r="N172" s="67"/>
      <c r="O172" s="67"/>
    </row>
    <row r="173" spans="2:16" ht="20" thickBot="1">
      <c r="B173" s="67"/>
      <c r="F173" s="141"/>
      <c r="G173" s="67"/>
      <c r="H173" s="67"/>
      <c r="I173" s="67"/>
      <c r="J173" s="67"/>
      <c r="K173" s="67"/>
      <c r="L173" s="67"/>
      <c r="M173" s="67"/>
      <c r="N173" s="67"/>
      <c r="O173" s="67"/>
    </row>
    <row r="174" spans="2:16" ht="22" thickBot="1">
      <c r="B174" s="67"/>
      <c r="C174" s="226" t="s">
        <v>80</v>
      </c>
      <c r="D174" s="236" t="s">
        <v>117</v>
      </c>
      <c r="F174" s="67"/>
      <c r="G174" s="67"/>
      <c r="L174" s="150" t="s">
        <v>84</v>
      </c>
      <c r="M174" s="67"/>
      <c r="N174" s="67"/>
      <c r="O174" s="67"/>
    </row>
    <row r="175" spans="2:16" ht="20" thickBot="1">
      <c r="B175" s="67"/>
      <c r="C175" s="154">
        <v>298.14999999999998</v>
      </c>
      <c r="D175" s="156">
        <f>1</f>
        <v>1</v>
      </c>
      <c r="F175" s="67"/>
      <c r="G175" s="67"/>
      <c r="K175" s="160" t="s">
        <v>85</v>
      </c>
      <c r="L175" s="161">
        <f>1</f>
        <v>1</v>
      </c>
      <c r="M175" s="67"/>
      <c r="N175" s="67"/>
      <c r="O175" s="67"/>
    </row>
    <row r="176" spans="2:16" ht="20" thickBot="1">
      <c r="B176" s="67"/>
      <c r="C176" s="154">
        <v>300</v>
      </c>
      <c r="D176" s="156">
        <v>1</v>
      </c>
      <c r="F176" s="67"/>
      <c r="G176" s="67"/>
      <c r="K176" s="162" t="s">
        <v>86</v>
      </c>
      <c r="L176" s="163">
        <f>P32</f>
        <v>1</v>
      </c>
      <c r="M176" s="67"/>
      <c r="N176" s="67"/>
      <c r="O176" s="67"/>
    </row>
    <row r="177" spans="2:15" ht="22">
      <c r="B177" s="67"/>
      <c r="C177" s="157">
        <f>C176+100</f>
        <v>400</v>
      </c>
      <c r="D177" s="159">
        <v>1</v>
      </c>
      <c r="F177" s="67"/>
      <c r="G177" s="67"/>
      <c r="H177" s="67"/>
      <c r="I177" s="67"/>
      <c r="K177" s="164" t="s">
        <v>87</v>
      </c>
      <c r="L177" s="165">
        <f>ABS(L175-L176)/L175</f>
        <v>0</v>
      </c>
      <c r="M177" s="67"/>
      <c r="N177" s="67"/>
      <c r="O177" s="67"/>
    </row>
    <row r="178" spans="2:15" ht="19">
      <c r="B178" s="67"/>
      <c r="C178" s="157">
        <f t="shared" ref="C178:C193" si="19">C177+100</f>
        <v>500</v>
      </c>
      <c r="D178" s="159">
        <v>1</v>
      </c>
      <c r="F178" s="67"/>
      <c r="G178" s="67"/>
    </row>
    <row r="179" spans="2:15" ht="19">
      <c r="B179" s="67"/>
      <c r="C179" s="157">
        <f t="shared" si="19"/>
        <v>600</v>
      </c>
      <c r="D179" s="159">
        <v>1</v>
      </c>
      <c r="F179" s="67"/>
      <c r="G179" s="67"/>
    </row>
    <row r="180" spans="2:15" ht="19">
      <c r="B180" s="67"/>
      <c r="C180" s="157">
        <f t="shared" si="19"/>
        <v>700</v>
      </c>
      <c r="D180" s="159">
        <v>1</v>
      </c>
      <c r="F180" s="67"/>
      <c r="G180" s="67"/>
    </row>
    <row r="181" spans="2:15" ht="19">
      <c r="C181" s="157">
        <f t="shared" si="19"/>
        <v>800</v>
      </c>
      <c r="D181" s="159">
        <v>1</v>
      </c>
    </row>
    <row r="182" spans="2:15" ht="19">
      <c r="C182" s="157">
        <f t="shared" si="19"/>
        <v>900</v>
      </c>
      <c r="D182" s="159">
        <v>1</v>
      </c>
    </row>
    <row r="183" spans="2:15" ht="19">
      <c r="C183" s="157">
        <f t="shared" si="19"/>
        <v>1000</v>
      </c>
      <c r="D183" s="159">
        <v>1</v>
      </c>
    </row>
    <row r="184" spans="2:15" ht="19">
      <c r="C184" s="157">
        <f t="shared" si="19"/>
        <v>1100</v>
      </c>
      <c r="D184" s="159">
        <v>1</v>
      </c>
    </row>
    <row r="185" spans="2:15" ht="19">
      <c r="C185" s="157">
        <f t="shared" si="19"/>
        <v>1200</v>
      </c>
      <c r="D185" s="159">
        <v>1</v>
      </c>
    </row>
    <row r="186" spans="2:15" ht="19">
      <c r="C186" s="157">
        <f t="shared" si="19"/>
        <v>1300</v>
      </c>
      <c r="D186" s="159">
        <v>1</v>
      </c>
    </row>
    <row r="187" spans="2:15" ht="19">
      <c r="C187" s="157">
        <f t="shared" si="19"/>
        <v>1400</v>
      </c>
      <c r="D187" s="159">
        <v>1</v>
      </c>
    </row>
    <row r="188" spans="2:15" ht="19">
      <c r="C188" s="157">
        <f t="shared" si="19"/>
        <v>1500</v>
      </c>
      <c r="D188" s="159">
        <v>1</v>
      </c>
    </row>
    <row r="189" spans="2:15" ht="19">
      <c r="C189" s="157">
        <f t="shared" si="19"/>
        <v>1600</v>
      </c>
      <c r="D189" s="159">
        <v>1</v>
      </c>
    </row>
    <row r="190" spans="2:15" ht="19">
      <c r="C190" s="157">
        <f t="shared" si="19"/>
        <v>1700</v>
      </c>
      <c r="D190" s="159">
        <v>1</v>
      </c>
    </row>
    <row r="191" spans="2:15" ht="19">
      <c r="C191" s="157">
        <f t="shared" si="19"/>
        <v>1800</v>
      </c>
      <c r="D191" s="159">
        <v>1</v>
      </c>
    </row>
    <row r="192" spans="2:15" ht="19">
      <c r="C192" s="157">
        <f t="shared" si="19"/>
        <v>1900</v>
      </c>
      <c r="D192" s="159">
        <v>1</v>
      </c>
    </row>
    <row r="193" spans="3:11" ht="20" thickBot="1">
      <c r="C193" s="166">
        <f t="shared" si="19"/>
        <v>2000</v>
      </c>
      <c r="D193" s="168">
        <v>1</v>
      </c>
    </row>
    <row r="197" spans="3:11" ht="17" thickBot="1"/>
    <row r="198" spans="3:11" ht="20" thickBot="1">
      <c r="E198" s="67"/>
      <c r="F198" s="67" t="s">
        <v>78</v>
      </c>
      <c r="G198" s="67"/>
      <c r="H198" s="321" t="s">
        <v>118</v>
      </c>
      <c r="I198" s="328"/>
      <c r="J198" s="328"/>
      <c r="K198" s="322"/>
    </row>
    <row r="199" spans="3:11" ht="28" thickBot="1">
      <c r="C199" s="148" t="s">
        <v>119</v>
      </c>
      <c r="D199" s="149"/>
      <c r="E199" s="67"/>
      <c r="F199" s="67"/>
      <c r="G199" s="67"/>
      <c r="H199" s="138" t="s">
        <v>120</v>
      </c>
      <c r="I199" s="138" t="s">
        <v>121</v>
      </c>
      <c r="J199" s="138" t="s">
        <v>122</v>
      </c>
      <c r="K199" s="138" t="s">
        <v>123</v>
      </c>
    </row>
    <row r="202" spans="3:11" ht="17" thickBot="1"/>
    <row r="203" spans="3:11" ht="20" thickBot="1">
      <c r="D203" s="240" t="s">
        <v>124</v>
      </c>
      <c r="E203" s="241"/>
    </row>
    <row r="204" spans="3:11" ht="20" thickBot="1">
      <c r="D204" s="174" t="s">
        <v>125</v>
      </c>
      <c r="E204" s="242" t="s">
        <v>126</v>
      </c>
    </row>
    <row r="205" spans="3:11" ht="19">
      <c r="C205" s="93" t="s">
        <v>45</v>
      </c>
      <c r="D205" s="243">
        <f>$Q23</f>
        <v>4.968</v>
      </c>
      <c r="E205" s="161">
        <f>D205*4.184</f>
        <v>20.786111999999999</v>
      </c>
    </row>
    <row r="206" spans="3:11" ht="19">
      <c r="C206" s="101" t="s">
        <v>48</v>
      </c>
      <c r="D206" s="244">
        <f t="shared" ref="D206:D209" si="20">$Q24</f>
        <v>0</v>
      </c>
      <c r="E206" s="245">
        <f t="shared" ref="E206:E209" si="21">D206*4.184</f>
        <v>0</v>
      </c>
    </row>
    <row r="207" spans="3:11" ht="19">
      <c r="C207" s="101" t="s">
        <v>50</v>
      </c>
      <c r="D207" s="244">
        <f t="shared" si="20"/>
        <v>2.9809999999999999</v>
      </c>
      <c r="E207" s="245">
        <f t="shared" si="21"/>
        <v>12.472504000000001</v>
      </c>
    </row>
    <row r="208" spans="3:11" ht="19">
      <c r="C208" s="101" t="s">
        <v>52</v>
      </c>
      <c r="D208" s="244">
        <f t="shared" si="20"/>
        <v>1.9870000000000001</v>
      </c>
      <c r="E208" s="245">
        <f t="shared" si="21"/>
        <v>8.3136080000000003</v>
      </c>
    </row>
    <row r="209" spans="3:16" ht="20" thickBot="1">
      <c r="C209" s="106" t="s">
        <v>55</v>
      </c>
      <c r="D209" s="103">
        <f t="shared" si="20"/>
        <v>0</v>
      </c>
      <c r="E209" s="163">
        <f t="shared" si="21"/>
        <v>0</v>
      </c>
    </row>
    <row r="210" spans="3:16" ht="24" customHeight="1"/>
    <row r="211" spans="3:16" ht="17" thickBot="1"/>
    <row r="212" spans="3:16" ht="23" thickBot="1">
      <c r="D212" s="246" t="s">
        <v>126</v>
      </c>
      <c r="E212" s="247"/>
      <c r="F212" s="247"/>
      <c r="G212" s="247"/>
      <c r="H212" s="248"/>
      <c r="J212" s="152" t="s">
        <v>83</v>
      </c>
      <c r="K212" s="153"/>
      <c r="L212" s="153"/>
      <c r="M212" s="153"/>
      <c r="N212" s="153"/>
      <c r="O212" s="153"/>
      <c r="P212" s="67"/>
    </row>
    <row r="213" spans="3:16" ht="20" thickBot="1">
      <c r="C213" s="226" t="s">
        <v>80</v>
      </c>
      <c r="D213" s="249" t="s">
        <v>127</v>
      </c>
      <c r="E213" s="250" t="s">
        <v>128</v>
      </c>
      <c r="F213" s="250" t="s">
        <v>129</v>
      </c>
      <c r="G213" s="251" t="s">
        <v>130</v>
      </c>
      <c r="H213" s="208" t="s">
        <v>131</v>
      </c>
      <c r="J213" s="67"/>
      <c r="K213" s="67"/>
      <c r="L213" s="67"/>
      <c r="M213" s="67"/>
      <c r="N213" s="67"/>
      <c r="O213" s="67"/>
      <c r="P213" s="67"/>
    </row>
    <row r="214" spans="3:16" ht="20" thickBot="1">
      <c r="C214" s="176">
        <v>298.14999999999998</v>
      </c>
      <c r="D214" s="329">
        <f>3*$B$7/2</f>
        <v>12.471599999999999</v>
      </c>
      <c r="E214" s="330">
        <f>$B$7*SUM(($D$42*$D$42)*EXP($D$42/$C214)/($C214^2*(EXP($D$42/$C214)-1)^2))</f>
        <v>1.7771391997201071E-6</v>
      </c>
      <c r="F214" s="331">
        <f>$B$7</f>
        <v>8.3143999999999991</v>
      </c>
      <c r="G214" s="332">
        <v>0</v>
      </c>
      <c r="H214" s="254">
        <f t="shared" ref="H214:H232" si="22">SUM(D214:G214)</f>
        <v>20.786001777139198</v>
      </c>
      <c r="K214" s="249" t="s">
        <v>127</v>
      </c>
      <c r="L214" s="250" t="s">
        <v>128</v>
      </c>
      <c r="M214" s="250" t="s">
        <v>129</v>
      </c>
      <c r="N214" s="251" t="s">
        <v>130</v>
      </c>
      <c r="O214" s="208" t="s">
        <v>131</v>
      </c>
      <c r="P214" s="67"/>
    </row>
    <row r="215" spans="3:16" ht="19">
      <c r="C215" s="154">
        <v>300</v>
      </c>
      <c r="D215" s="329">
        <f>3*$B$7/2</f>
        <v>12.471599999999999</v>
      </c>
      <c r="E215" s="330">
        <f>$B$7*SUM(($D$42*$D$42)*EXP($D$42/$C215)/($C215^2*(EXP($D$42/$C215)-1)^2))</f>
        <v>2.0040697399747651E-6</v>
      </c>
      <c r="F215" s="330">
        <v>8.3143999999999991</v>
      </c>
      <c r="G215" s="332">
        <v>0</v>
      </c>
      <c r="H215" s="254">
        <f t="shared" si="22"/>
        <v>20.786002004069736</v>
      </c>
      <c r="J215" s="160" t="s">
        <v>85</v>
      </c>
      <c r="K215" s="161">
        <f>D$214</f>
        <v>12.471599999999999</v>
      </c>
      <c r="L215" s="161">
        <f t="shared" ref="L215:O215" si="23">E$214</f>
        <v>1.7771391997201071E-6</v>
      </c>
      <c r="M215" s="161">
        <f t="shared" si="23"/>
        <v>8.3143999999999991</v>
      </c>
      <c r="N215" s="161">
        <f t="shared" si="23"/>
        <v>0</v>
      </c>
      <c r="O215" s="161">
        <f t="shared" si="23"/>
        <v>20.786001777139198</v>
      </c>
      <c r="P215" s="67"/>
    </row>
    <row r="216" spans="3:16" ht="20" thickBot="1">
      <c r="C216" s="157">
        <f>C215+100</f>
        <v>400</v>
      </c>
      <c r="D216" s="333">
        <f t="shared" ref="D216:D232" si="24">3*$B$7/2</f>
        <v>12.471599999999999</v>
      </c>
      <c r="E216" s="295">
        <f>$B$7*SUM(($D$42*$D$42)*EXP($D$42/$C216)/($C216^2*(EXP($D$42/$C216)-1)^2))</f>
        <v>2.3514234576122136E-4</v>
      </c>
      <c r="F216" s="295">
        <v>8.3143999999999991</v>
      </c>
      <c r="G216" s="334">
        <v>0</v>
      </c>
      <c r="H216" s="258">
        <f t="shared" si="22"/>
        <v>20.78623514234576</v>
      </c>
      <c r="J216" s="162" t="s">
        <v>86</v>
      </c>
      <c r="K216" s="163">
        <f>E207</f>
        <v>12.472504000000001</v>
      </c>
      <c r="L216" s="163">
        <f>E209</f>
        <v>0</v>
      </c>
      <c r="M216" s="163">
        <f>E208</f>
        <v>8.3136080000000003</v>
      </c>
      <c r="N216" s="163">
        <f>E206</f>
        <v>0</v>
      </c>
      <c r="O216" s="163">
        <f>E205</f>
        <v>20.786111999999999</v>
      </c>
      <c r="P216" s="67"/>
    </row>
    <row r="217" spans="3:16" ht="22">
      <c r="C217" s="157">
        <f t="shared" ref="C217:C232" si="25">C216+100</f>
        <v>500</v>
      </c>
      <c r="D217" s="333">
        <f t="shared" si="24"/>
        <v>12.471599999999999</v>
      </c>
      <c r="E217" s="295">
        <f t="shared" ref="E217:E231" si="26">$B$7*SUM(($D$42*$D$42)*EXP($D$42/$C217)/($C217^2*(EXP($D$42/$C217)-1)^2))</f>
        <v>3.7075781898701613E-3</v>
      </c>
      <c r="F217" s="295">
        <v>8.3143999999999991</v>
      </c>
      <c r="G217" s="334">
        <v>0</v>
      </c>
      <c r="H217" s="258">
        <f t="shared" si="22"/>
        <v>20.789707578189869</v>
      </c>
      <c r="J217" s="164" t="s">
        <v>87</v>
      </c>
      <c r="K217" s="165">
        <f>IFERROR(ABS(K215-K216)/K215,0)</f>
        <v>7.2484685204946797E-5</v>
      </c>
      <c r="L217" s="165">
        <f t="shared" ref="L217:O217" si="27">IFERROR(ABS(L215-L216)/L215,0)</f>
        <v>1</v>
      </c>
      <c r="M217" s="165">
        <f t="shared" si="27"/>
        <v>9.5256422591984244E-5</v>
      </c>
      <c r="N217" s="165">
        <f t="shared" si="27"/>
        <v>0</v>
      </c>
      <c r="O217" s="165">
        <f t="shared" si="27"/>
        <v>5.3027447020824491E-6</v>
      </c>
      <c r="P217" s="67"/>
    </row>
    <row r="218" spans="3:16" ht="19">
      <c r="C218" s="157">
        <f t="shared" si="25"/>
        <v>600</v>
      </c>
      <c r="D218" s="333">
        <f t="shared" si="24"/>
        <v>12.471599999999999</v>
      </c>
      <c r="E218" s="295">
        <f t="shared" si="26"/>
        <v>2.1800356189677027E-2</v>
      </c>
      <c r="F218" s="295">
        <v>8.3143999999999991</v>
      </c>
      <c r="G218" s="334">
        <v>0</v>
      </c>
      <c r="H218" s="258">
        <f t="shared" si="22"/>
        <v>20.807800356189674</v>
      </c>
    </row>
    <row r="219" spans="3:16" ht="19">
      <c r="C219" s="157">
        <f t="shared" si="25"/>
        <v>700</v>
      </c>
      <c r="D219" s="333">
        <f t="shared" si="24"/>
        <v>12.471599999999999</v>
      </c>
      <c r="E219" s="295">
        <f t="shared" si="26"/>
        <v>7.3671190251444002E-2</v>
      </c>
      <c r="F219" s="295">
        <v>8.3143999999999991</v>
      </c>
      <c r="G219" s="334">
        <v>0</v>
      </c>
      <c r="H219" s="258">
        <f t="shared" si="22"/>
        <v>20.85967119025144</v>
      </c>
    </row>
    <row r="220" spans="3:16" ht="19">
      <c r="C220" s="157">
        <f t="shared" si="25"/>
        <v>800</v>
      </c>
      <c r="D220" s="333">
        <f t="shared" si="24"/>
        <v>12.471599999999999</v>
      </c>
      <c r="E220" s="295">
        <f t="shared" si="26"/>
        <v>0.17721570856907551</v>
      </c>
      <c r="F220" s="295">
        <v>8.3143999999999991</v>
      </c>
      <c r="G220" s="334">
        <v>0</v>
      </c>
      <c r="H220" s="258">
        <f t="shared" si="22"/>
        <v>20.963215708569074</v>
      </c>
    </row>
    <row r="221" spans="3:16" ht="19">
      <c r="C221" s="157">
        <f t="shared" si="25"/>
        <v>900</v>
      </c>
      <c r="D221" s="333">
        <f t="shared" si="24"/>
        <v>12.471599999999999</v>
      </c>
      <c r="E221" s="295">
        <f t="shared" si="26"/>
        <v>0.34131899334655103</v>
      </c>
      <c r="F221" s="295">
        <v>8.3143999999999991</v>
      </c>
      <c r="G221" s="334">
        <v>0</v>
      </c>
      <c r="H221" s="258">
        <f t="shared" si="22"/>
        <v>21.127318993346549</v>
      </c>
    </row>
    <row r="222" spans="3:16" ht="19">
      <c r="C222" s="157">
        <f t="shared" si="25"/>
        <v>1000</v>
      </c>
      <c r="D222" s="333">
        <f t="shared" si="24"/>
        <v>12.471599999999999</v>
      </c>
      <c r="E222" s="295">
        <f t="shared" si="26"/>
        <v>0.56443597846445459</v>
      </c>
      <c r="F222" s="295">
        <v>8.3143999999999991</v>
      </c>
      <c r="G222" s="334">
        <v>0</v>
      </c>
      <c r="H222" s="258">
        <f t="shared" si="22"/>
        <v>21.350435978464454</v>
      </c>
    </row>
    <row r="223" spans="3:16" ht="19">
      <c r="C223" s="157">
        <f t="shared" si="25"/>
        <v>1100</v>
      </c>
      <c r="D223" s="333">
        <f t="shared" si="24"/>
        <v>12.471599999999999</v>
      </c>
      <c r="E223" s="295">
        <f t="shared" si="26"/>
        <v>0.83748581790570109</v>
      </c>
      <c r="F223" s="295">
        <v>8.3143999999999991</v>
      </c>
      <c r="G223" s="334">
        <v>0</v>
      </c>
      <c r="H223" s="258">
        <f t="shared" si="22"/>
        <v>21.623485817905699</v>
      </c>
    </row>
    <row r="224" spans="3:16" ht="19">
      <c r="C224" s="157">
        <f t="shared" si="25"/>
        <v>1200</v>
      </c>
      <c r="D224" s="333">
        <f t="shared" si="24"/>
        <v>12.471599999999999</v>
      </c>
      <c r="E224" s="295">
        <f t="shared" si="26"/>
        <v>1.1477653795401841</v>
      </c>
      <c r="F224" s="295">
        <v>8.3143999999999991</v>
      </c>
      <c r="G224" s="334">
        <v>0</v>
      </c>
      <c r="H224" s="258">
        <f t="shared" si="22"/>
        <v>21.933765379540183</v>
      </c>
    </row>
    <row r="225" spans="3:11" ht="19">
      <c r="C225" s="157">
        <f t="shared" si="25"/>
        <v>1300</v>
      </c>
      <c r="D225" s="333">
        <f t="shared" si="24"/>
        <v>12.471599999999999</v>
      </c>
      <c r="E225" s="295">
        <f t="shared" si="26"/>
        <v>1.482055544733877</v>
      </c>
      <c r="F225" s="295">
        <v>8.3143999999999991</v>
      </c>
      <c r="G225" s="334">
        <v>0</v>
      </c>
      <c r="H225" s="258">
        <f t="shared" si="22"/>
        <v>22.268055544733876</v>
      </c>
    </row>
    <row r="226" spans="3:11" ht="19">
      <c r="C226" s="157">
        <f t="shared" si="25"/>
        <v>1400</v>
      </c>
      <c r="D226" s="333">
        <f t="shared" si="24"/>
        <v>12.471599999999999</v>
      </c>
      <c r="E226" s="295">
        <f t="shared" si="26"/>
        <v>1.8284769445610458</v>
      </c>
      <c r="F226" s="295">
        <v>8.3143999999999991</v>
      </c>
      <c r="G226" s="334">
        <v>0</v>
      </c>
      <c r="H226" s="258">
        <f t="shared" si="22"/>
        <v>22.614476944561044</v>
      </c>
    </row>
    <row r="227" spans="3:11" ht="19">
      <c r="C227" s="157">
        <f t="shared" si="25"/>
        <v>1500</v>
      </c>
      <c r="D227" s="333">
        <f t="shared" si="24"/>
        <v>12.471599999999999</v>
      </c>
      <c r="E227" s="295">
        <f t="shared" si="26"/>
        <v>2.1773082039480838</v>
      </c>
      <c r="F227" s="295">
        <v>8.3143999999999991</v>
      </c>
      <c r="G227" s="334">
        <v>0</v>
      </c>
      <c r="H227" s="258">
        <f t="shared" si="22"/>
        <v>22.963308203948081</v>
      </c>
    </row>
    <row r="228" spans="3:11" ht="19">
      <c r="C228" s="157">
        <f t="shared" si="25"/>
        <v>1600</v>
      </c>
      <c r="D228" s="333">
        <f t="shared" si="24"/>
        <v>12.471599999999999</v>
      </c>
      <c r="E228" s="295">
        <f t="shared" si="26"/>
        <v>2.5211361705583659</v>
      </c>
      <c r="F228" s="295">
        <v>8.3143999999999991</v>
      </c>
      <c r="G228" s="334">
        <v>0</v>
      </c>
      <c r="H228" s="258">
        <f t="shared" si="22"/>
        <v>23.307136170558366</v>
      </c>
    </row>
    <row r="229" spans="3:11" ht="19">
      <c r="C229" s="157">
        <f t="shared" si="25"/>
        <v>1700</v>
      </c>
      <c r="D229" s="333">
        <f t="shared" si="24"/>
        <v>12.471599999999999</v>
      </c>
      <c r="E229" s="295">
        <f t="shared" si="26"/>
        <v>2.854652009907356</v>
      </c>
      <c r="F229" s="295">
        <v>8.3143999999999991</v>
      </c>
      <c r="G229" s="334">
        <v>0</v>
      </c>
      <c r="H229" s="258">
        <f t="shared" si="22"/>
        <v>23.640652009907356</v>
      </c>
    </row>
    <row r="230" spans="3:11" ht="19">
      <c r="C230" s="157">
        <f t="shared" si="25"/>
        <v>1800</v>
      </c>
      <c r="D230" s="333">
        <f t="shared" si="24"/>
        <v>12.471599999999999</v>
      </c>
      <c r="E230" s="295">
        <f t="shared" si="26"/>
        <v>3.1743025414022186</v>
      </c>
      <c r="F230" s="295">
        <v>8.3143999999999991</v>
      </c>
      <c r="G230" s="334">
        <v>0</v>
      </c>
      <c r="H230" s="258">
        <f t="shared" si="22"/>
        <v>23.960302541402214</v>
      </c>
    </row>
    <row r="231" spans="3:11" ht="19">
      <c r="C231" s="157">
        <f t="shared" si="25"/>
        <v>1900</v>
      </c>
      <c r="D231" s="333">
        <f t="shared" si="24"/>
        <v>12.471599999999999</v>
      </c>
      <c r="E231" s="295">
        <f t="shared" si="26"/>
        <v>3.4779163543939546</v>
      </c>
      <c r="F231" s="295">
        <v>8.3143999999999991</v>
      </c>
      <c r="G231" s="334">
        <v>0</v>
      </c>
      <c r="H231" s="258">
        <f t="shared" si="22"/>
        <v>24.263916354393952</v>
      </c>
    </row>
    <row r="232" spans="3:11" ht="20" thickBot="1">
      <c r="C232" s="166">
        <f t="shared" si="25"/>
        <v>2000</v>
      </c>
      <c r="D232" s="335">
        <f t="shared" si="24"/>
        <v>12.471599999999999</v>
      </c>
      <c r="E232" s="336">
        <f>$B$7*SUM(($D$42*$D$42)*EXP($D$42/$C232)/($C232^2*(EXP($D$42/$C232)-1)^2))</f>
        <v>3.7643632034804377</v>
      </c>
      <c r="F232" s="336">
        <v>8.3143999999999991</v>
      </c>
      <c r="G232" s="337">
        <v>0</v>
      </c>
      <c r="H232" s="262">
        <f t="shared" si="22"/>
        <v>24.550363203480437</v>
      </c>
    </row>
    <row r="238" spans="3:11" ht="17" thickBot="1"/>
    <row r="239" spans="3:11" ht="20" thickBot="1">
      <c r="E239" s="67"/>
      <c r="F239" s="67" t="s">
        <v>78</v>
      </c>
      <c r="G239" s="67"/>
      <c r="H239" s="321" t="s">
        <v>118</v>
      </c>
      <c r="I239" s="328"/>
      <c r="J239" s="328"/>
      <c r="K239" s="322"/>
    </row>
    <row r="240" spans="3:11" ht="28" thickBot="1">
      <c r="C240" s="148" t="s">
        <v>132</v>
      </c>
      <c r="D240" s="149"/>
      <c r="E240" s="67"/>
      <c r="F240" s="67"/>
      <c r="G240" s="67"/>
      <c r="H240" s="138" t="s">
        <v>120</v>
      </c>
      <c r="I240" s="138" t="s">
        <v>121</v>
      </c>
      <c r="J240" s="138" t="s">
        <v>122</v>
      </c>
      <c r="K240" s="138" t="s">
        <v>123</v>
      </c>
    </row>
    <row r="244" spans="3:10" ht="20" thickBot="1">
      <c r="D244" s="338"/>
      <c r="E244" s="338"/>
    </row>
    <row r="245" spans="3:10" ht="20" thickBot="1">
      <c r="D245" s="240" t="s">
        <v>133</v>
      </c>
      <c r="E245" s="241"/>
    </row>
    <row r="246" spans="3:10" ht="20" thickBot="1">
      <c r="D246" s="174" t="s">
        <v>125</v>
      </c>
      <c r="E246" s="242" t="s">
        <v>126</v>
      </c>
    </row>
    <row r="247" spans="3:10" ht="19">
      <c r="C247" s="93" t="s">
        <v>45</v>
      </c>
      <c r="D247" s="209">
        <f>$R23</f>
        <v>31.132000000000001</v>
      </c>
      <c r="E247" s="161">
        <f>D247*4.184</f>
        <v>130.25628800000001</v>
      </c>
    </row>
    <row r="248" spans="3:10" ht="19">
      <c r="C248" s="101" t="s">
        <v>48</v>
      </c>
      <c r="D248" s="264">
        <f t="shared" ref="D248:D251" si="28">$R24</f>
        <v>0</v>
      </c>
      <c r="E248" s="245">
        <f t="shared" ref="E248:E251" si="29">D248*4.184</f>
        <v>0</v>
      </c>
    </row>
    <row r="249" spans="3:10" ht="19">
      <c r="C249" s="101" t="s">
        <v>50</v>
      </c>
      <c r="D249" s="264">
        <f t="shared" si="28"/>
        <v>28.08</v>
      </c>
      <c r="E249" s="245">
        <f t="shared" si="29"/>
        <v>117.48671999999999</v>
      </c>
    </row>
    <row r="250" spans="3:10" ht="19">
      <c r="C250" s="101" t="s">
        <v>52</v>
      </c>
      <c r="D250" s="264">
        <f t="shared" si="28"/>
        <v>3.052</v>
      </c>
      <c r="E250" s="245">
        <f t="shared" si="29"/>
        <v>12.769568000000001</v>
      </c>
    </row>
    <row r="251" spans="3:10" ht="20" thickBot="1">
      <c r="C251" s="106" t="s">
        <v>55</v>
      </c>
      <c r="D251" s="265">
        <f t="shared" si="28"/>
        <v>0</v>
      </c>
      <c r="E251" s="163">
        <f t="shared" si="29"/>
        <v>0</v>
      </c>
    </row>
    <row r="253" spans="3:10" ht="17" thickBot="1"/>
    <row r="254" spans="3:10" ht="20" thickBot="1">
      <c r="C254" s="68" t="s">
        <v>34</v>
      </c>
      <c r="D254" s="266"/>
      <c r="E254" s="266"/>
      <c r="F254" s="266"/>
      <c r="G254" s="267"/>
      <c r="I254" s="77" t="s">
        <v>134</v>
      </c>
      <c r="J254" s="268">
        <f>($B$14^2)/(8*PI()*PI()*C131*$B$8)</f>
        <v>87.286761364178176</v>
      </c>
    </row>
    <row r="255" spans="3:10" ht="20" thickBot="1">
      <c r="C255" s="269"/>
      <c r="D255" s="74" t="s">
        <v>37</v>
      </c>
      <c r="E255" s="75" t="s">
        <v>38</v>
      </c>
      <c r="F255" s="76" t="s">
        <v>39</v>
      </c>
      <c r="G255" s="208"/>
      <c r="I255" s="124"/>
      <c r="J255" s="124"/>
    </row>
    <row r="256" spans="3:10" ht="22" thickBot="1">
      <c r="C256" s="85" t="s">
        <v>44</v>
      </c>
      <c r="D256" s="270">
        <f>D$23</f>
        <v>0</v>
      </c>
      <c r="E256" s="87">
        <f t="shared" ref="E256:F256" si="30">E$23</f>
        <v>0.99265999999999999</v>
      </c>
      <c r="F256" s="271">
        <f t="shared" si="30"/>
        <v>0.99265999999999999</v>
      </c>
      <c r="G256" s="198"/>
      <c r="J256" s="124"/>
    </row>
    <row r="257" spans="1:18" ht="22" thickBot="1">
      <c r="C257" s="97" t="s">
        <v>47</v>
      </c>
      <c r="D257" s="98">
        <f>D256*$U$9</f>
        <v>0</v>
      </c>
      <c r="E257" s="99">
        <f t="shared" ref="E257:F257" si="31">E256*$U$9</f>
        <v>1.6478155999999999E-27</v>
      </c>
      <c r="F257" s="272">
        <f t="shared" si="31"/>
        <v>1.6478155999999999E-27</v>
      </c>
      <c r="G257" s="198"/>
    </row>
    <row r="258" spans="1:18" ht="22" thickBot="1">
      <c r="C258" s="102" t="s">
        <v>49</v>
      </c>
      <c r="D258" s="103">
        <f>D257*($Q$8)^2</f>
        <v>0</v>
      </c>
      <c r="E258" s="104">
        <f>E257*($Q$8)^2</f>
        <v>1.6478156E-47</v>
      </c>
      <c r="F258" s="273">
        <f t="shared" ref="F258" si="32">F257*($Q$8)^2</f>
        <v>1.6478156E-47</v>
      </c>
      <c r="G258" s="198"/>
    </row>
    <row r="259" spans="1:18" ht="17" thickBot="1"/>
    <row r="260" spans="1:18" ht="20" thickBot="1">
      <c r="F260" s="274" t="s">
        <v>126</v>
      </c>
      <c r="G260" s="275"/>
      <c r="H260" s="275"/>
      <c r="I260" s="275"/>
      <c r="J260" s="276"/>
    </row>
    <row r="261" spans="1:18" ht="23" thickBot="1">
      <c r="C261" s="226" t="s">
        <v>80</v>
      </c>
      <c r="D261" s="277" t="s">
        <v>135</v>
      </c>
      <c r="E261" s="176" t="s">
        <v>136</v>
      </c>
      <c r="F261" s="278" t="s">
        <v>127</v>
      </c>
      <c r="G261" s="279" t="s">
        <v>128</v>
      </c>
      <c r="H261" s="279" t="s">
        <v>129</v>
      </c>
      <c r="I261" s="280" t="s">
        <v>130</v>
      </c>
      <c r="J261" s="208" t="s">
        <v>131</v>
      </c>
      <c r="L261" s="152" t="s">
        <v>83</v>
      </c>
      <c r="M261" s="153"/>
      <c r="N261" s="153"/>
      <c r="O261" s="153"/>
      <c r="P261" s="153"/>
      <c r="Q261" s="153"/>
    </row>
    <row r="262" spans="1:18" ht="20" thickBot="1">
      <c r="C262" s="176">
        <v>298.14999999999998</v>
      </c>
      <c r="D262" s="281">
        <f>$B$7*C262/$B$16</f>
        <v>2.4465219442388352E-2</v>
      </c>
      <c r="E262" s="282">
        <f>((2*PI()*$A$28*$U$9*$B$8*$C262)/($B$14*$B$14))^(3/2)</f>
        <v>2.7673530575375749E+30</v>
      </c>
      <c r="F262" s="283">
        <f t="shared" ref="F262:F280" si="33">$B$7*LN(($D262/$B$6)*EXP(5/2)*E262)</f>
        <v>117.4828168554847</v>
      </c>
      <c r="G262" s="339">
        <f>$B$7*SUM((($D$42)/$C262)/(EXP($D$42/$C262)-1)-LN(1-EXP(-$D$42/$C262)))</f>
        <v>8.6527202760974065E-8</v>
      </c>
      <c r="H262" s="284">
        <f>$B$7*LN(EXP(1)*$C262/($A$31*$J$254))</f>
        <v>12.764688660997145</v>
      </c>
      <c r="I262" s="340">
        <f>0</f>
        <v>0</v>
      </c>
      <c r="J262" s="286">
        <f t="shared" ref="J262:J280" si="34">SUM(F262:I262)</f>
        <v>130.24750560300905</v>
      </c>
      <c r="L262" s="67"/>
      <c r="M262" s="67"/>
      <c r="N262" s="67"/>
      <c r="O262" s="67"/>
      <c r="P262" s="67"/>
      <c r="Q262" s="67"/>
    </row>
    <row r="263" spans="1:18" ht="20" thickBot="1">
      <c r="C263" s="154">
        <v>300</v>
      </c>
      <c r="D263" s="281">
        <f>$B$7*C263/$B$16</f>
        <v>2.4617024426350848E-2</v>
      </c>
      <c r="E263" s="282">
        <f>((2*PI()*$A$28*$U$9*$B$8*$C263)/($B$14*$B$14))^(3/2)</f>
        <v>2.7931498208674397E+30</v>
      </c>
      <c r="F263" s="252">
        <f t="shared" si="33"/>
        <v>117.61139404386878</v>
      </c>
      <c r="G263" s="331">
        <f>$B$7*SUM((($D$42)/$C263)/(EXP($D$42/$C263)-1)-LN(1-EXP(-$D$42/$C263)))</f>
        <v>9.8208769947050411E-8</v>
      </c>
      <c r="H263" s="253">
        <f>$B$7*LN(EXP(1)*$C263/($A$31*$J$254))</f>
        <v>12.816119536350815</v>
      </c>
      <c r="I263" s="332">
        <v>0</v>
      </c>
      <c r="J263" s="286">
        <f t="shared" si="34"/>
        <v>130.42751367842837</v>
      </c>
      <c r="N263" s="249" t="s">
        <v>127</v>
      </c>
      <c r="O263" s="250" t="s">
        <v>128</v>
      </c>
      <c r="P263" s="250" t="s">
        <v>129</v>
      </c>
      <c r="Q263" s="251" t="s">
        <v>130</v>
      </c>
      <c r="R263" s="208" t="s">
        <v>131</v>
      </c>
    </row>
    <row r="264" spans="1:18" ht="20" thickBot="1">
      <c r="C264" s="157">
        <f>C263+100</f>
        <v>400</v>
      </c>
      <c r="D264" s="287">
        <f t="shared" ref="D264:D280" si="35">$B$7*C264/$B$16</f>
        <v>3.2822699235134464E-2</v>
      </c>
      <c r="E264" s="288">
        <f t="shared" ref="E264:E280" si="36">(2*PI()*$A$28*$U$9*$B$8*$C264/($B$14)^2)^(3/2)</f>
        <v>4.3003354692394289E+30</v>
      </c>
      <c r="F264" s="234">
        <f t="shared" si="33"/>
        <v>123.59115360185157</v>
      </c>
      <c r="G264" s="341">
        <f>$B$7*SUM((($D$42)/$C264)/(EXP($D$42/$C264)-1)-LN(1-EXP(-$D$42/$C264)))</f>
        <v>1.5593120694405165E-5</v>
      </c>
      <c r="H264" s="256">
        <f>$B$7*LN(EXP(1)*$C264/($A$31*$J$254))</f>
        <v>15.208023359543901</v>
      </c>
      <c r="I264" s="334">
        <v>0</v>
      </c>
      <c r="J264" s="289">
        <f t="shared" si="34"/>
        <v>138.79919255451617</v>
      </c>
      <c r="M264" s="160" t="s">
        <v>85</v>
      </c>
      <c r="N264" s="290">
        <f>F$262</f>
        <v>117.4828168554847</v>
      </c>
      <c r="O264" s="290">
        <f>G$262</f>
        <v>8.6527202760974065E-8</v>
      </c>
      <c r="P264" s="290">
        <f>H$262</f>
        <v>12.764688660997145</v>
      </c>
      <c r="Q264" s="290">
        <f>I$262</f>
        <v>0</v>
      </c>
      <c r="R264" s="290">
        <f>J$262</f>
        <v>130.24750560300905</v>
      </c>
    </row>
    <row r="265" spans="1:18" ht="20" thickBot="1">
      <c r="C265" s="157">
        <f t="shared" ref="C265:C280" si="37">C264+100</f>
        <v>500</v>
      </c>
      <c r="D265" s="287">
        <f t="shared" si="35"/>
        <v>4.1028374043918084E-2</v>
      </c>
      <c r="E265" s="288">
        <f t="shared" si="36"/>
        <v>6.0099015220455467E+30</v>
      </c>
      <c r="F265" s="234">
        <f t="shared" si="33"/>
        <v>128.22941545946878</v>
      </c>
      <c r="G265" s="341">
        <f t="shared" ref="G265:G279" si="38">$B$7*SUM((($D$42)/$C265)/(EXP($D$42/$C265)-1)-LN(1-EXP(-$D$42/$C265)))</f>
        <v>3.1184136285707732E-4</v>
      </c>
      <c r="H265" s="256">
        <f t="shared" ref="H265:H279" si="39">$B$7*LN(EXP(1)*$C265/($A$31*$J$254))</f>
        <v>17.063328102590766</v>
      </c>
      <c r="I265" s="334">
        <v>0</v>
      </c>
      <c r="J265" s="289">
        <f t="shared" si="34"/>
        <v>145.29305540342239</v>
      </c>
      <c r="M265" s="162" t="s">
        <v>86</v>
      </c>
      <c r="N265" s="290">
        <f>E249</f>
        <v>117.48671999999999</v>
      </c>
      <c r="O265" s="290">
        <f>E251</f>
        <v>0</v>
      </c>
      <c r="P265" s="290">
        <f>E250</f>
        <v>12.769568000000001</v>
      </c>
      <c r="Q265" s="290">
        <f>E248</f>
        <v>0</v>
      </c>
      <c r="R265" s="290">
        <f>E247</f>
        <v>130.25628800000001</v>
      </c>
    </row>
    <row r="266" spans="1:18" ht="22">
      <c r="C266" s="157">
        <f t="shared" si="37"/>
        <v>600</v>
      </c>
      <c r="D266" s="287">
        <f t="shared" si="35"/>
        <v>4.9234048852701696E-2</v>
      </c>
      <c r="E266" s="288">
        <f t="shared" si="36"/>
        <v>7.90022071682145E+30</v>
      </c>
      <c r="F266" s="234">
        <f t="shared" si="33"/>
        <v>132.01915133898783</v>
      </c>
      <c r="G266" s="341">
        <f t="shared" si="38"/>
        <v>2.2321347566187344E-3</v>
      </c>
      <c r="H266" s="256">
        <f t="shared" si="39"/>
        <v>18.579222454398426</v>
      </c>
      <c r="I266" s="334">
        <v>0</v>
      </c>
      <c r="J266" s="289">
        <f t="shared" si="34"/>
        <v>150.60060592814287</v>
      </c>
      <c r="L266" s="67"/>
      <c r="M266" s="164" t="s">
        <v>87</v>
      </c>
      <c r="N266" s="165">
        <f>IFERROR(ABS(N264-N265)/N264,0)</f>
        <v>3.3223109725848237E-5</v>
      </c>
      <c r="O266" s="165">
        <f t="shared" ref="O266:R266" si="40">IFERROR(ABS(O264-O265)/O264,0)</f>
        <v>1</v>
      </c>
      <c r="P266" s="165">
        <f t="shared" si="40"/>
        <v>3.8225287999116709E-4</v>
      </c>
      <c r="Q266" s="165">
        <f t="shared" si="40"/>
        <v>0</v>
      </c>
      <c r="R266" s="165">
        <f t="shared" si="40"/>
        <v>6.7428523489232139E-5</v>
      </c>
    </row>
    <row r="267" spans="1:18" ht="19">
      <c r="A267" s="193"/>
      <c r="C267" s="157">
        <f t="shared" si="37"/>
        <v>700</v>
      </c>
      <c r="D267" s="287">
        <f t="shared" si="35"/>
        <v>5.7439723661485309E-2</v>
      </c>
      <c r="E267" s="288">
        <f t="shared" si="36"/>
        <v>9.955415930038137E+30</v>
      </c>
      <c r="F267" s="234">
        <f t="shared" si="33"/>
        <v>135.22332736987735</v>
      </c>
      <c r="G267" s="341">
        <f t="shared" si="38"/>
        <v>8.925169496934544E-3</v>
      </c>
      <c r="H267" s="256">
        <f t="shared" si="39"/>
        <v>19.860892866754181</v>
      </c>
      <c r="I267" s="334">
        <v>0</v>
      </c>
      <c r="J267" s="289">
        <f t="shared" si="34"/>
        <v>155.09314540612846</v>
      </c>
    </row>
    <row r="268" spans="1:18" ht="19">
      <c r="A268" s="193"/>
      <c r="C268" s="157">
        <f t="shared" si="37"/>
        <v>800</v>
      </c>
      <c r="D268" s="287">
        <f t="shared" si="35"/>
        <v>6.5645398470268929E-2</v>
      </c>
      <c r="E268" s="288">
        <f t="shared" si="36"/>
        <v>1.2163185486704971E+31</v>
      </c>
      <c r="F268" s="234">
        <f t="shared" si="33"/>
        <v>137.99891089697064</v>
      </c>
      <c r="G268" s="341">
        <f t="shared" si="38"/>
        <v>2.487573429597633E-2</v>
      </c>
      <c r="H268" s="256">
        <f t="shared" si="39"/>
        <v>20.971126277591512</v>
      </c>
      <c r="I268" s="334">
        <v>0</v>
      </c>
      <c r="J268" s="289">
        <f t="shared" si="34"/>
        <v>158.99491290885814</v>
      </c>
    </row>
    <row r="269" spans="1:18" ht="19">
      <c r="C269" s="157">
        <f t="shared" si="37"/>
        <v>900</v>
      </c>
      <c r="D269" s="287">
        <f t="shared" si="35"/>
        <v>7.3851073279052548E-2</v>
      </c>
      <c r="E269" s="288">
        <f t="shared" si="36"/>
        <v>1.4513632208683096E+31</v>
      </c>
      <c r="F269" s="234">
        <f t="shared" si="33"/>
        <v>140.44714907612419</v>
      </c>
      <c r="G269" s="341">
        <f t="shared" si="38"/>
        <v>5.4619712952200986E-2</v>
      </c>
      <c r="H269" s="256">
        <f t="shared" si="39"/>
        <v>21.950421549252944</v>
      </c>
      <c r="I269" s="334">
        <v>0</v>
      </c>
      <c r="J269" s="289">
        <f t="shared" si="34"/>
        <v>162.45219033832933</v>
      </c>
    </row>
    <row r="270" spans="1:18" ht="19">
      <c r="C270" s="157">
        <f t="shared" si="37"/>
        <v>1000</v>
      </c>
      <c r="D270" s="287">
        <f t="shared" si="35"/>
        <v>8.2056748087836168E-2</v>
      </c>
      <c r="E270" s="288">
        <f t="shared" si="36"/>
        <v>1.6998568482006842E+31</v>
      </c>
      <c r="F270" s="234">
        <f t="shared" si="33"/>
        <v>142.63717275458771</v>
      </c>
      <c r="G270" s="341">
        <f t="shared" si="38"/>
        <v>0.10164162466945899</v>
      </c>
      <c r="H270" s="256">
        <f t="shared" si="39"/>
        <v>22.826431020638378</v>
      </c>
      <c r="I270" s="334">
        <v>0</v>
      </c>
      <c r="J270" s="289">
        <f t="shared" si="34"/>
        <v>165.56524539989556</v>
      </c>
    </row>
    <row r="271" spans="1:18" ht="19">
      <c r="C271" s="157">
        <f t="shared" si="37"/>
        <v>1100</v>
      </c>
      <c r="D271" s="287">
        <f t="shared" si="35"/>
        <v>9.0262422896619773E-2</v>
      </c>
      <c r="E271" s="288">
        <f t="shared" si="36"/>
        <v>1.9611073933170669E+31</v>
      </c>
      <c r="F271" s="234">
        <f t="shared" si="33"/>
        <v>144.61829015200047</v>
      </c>
      <c r="G271" s="341">
        <f t="shared" si="38"/>
        <v>0.16789482437857117</v>
      </c>
      <c r="H271" s="256">
        <f t="shared" si="39"/>
        <v>23.618877979603454</v>
      </c>
      <c r="I271" s="334">
        <v>0</v>
      </c>
      <c r="J271" s="289">
        <f t="shared" si="34"/>
        <v>168.40506295598249</v>
      </c>
    </row>
    <row r="272" spans="1:18" ht="19">
      <c r="C272" s="157">
        <f t="shared" si="37"/>
        <v>1200</v>
      </c>
      <c r="D272" s="287">
        <f t="shared" si="35"/>
        <v>9.8468097705403393E-2</v>
      </c>
      <c r="E272" s="288">
        <f t="shared" si="36"/>
        <v>2.2345198566939639E+31</v>
      </c>
      <c r="F272" s="234">
        <f t="shared" si="33"/>
        <v>146.42690863410689</v>
      </c>
      <c r="G272" s="341">
        <f t="shared" si="38"/>
        <v>0.25384758043592615</v>
      </c>
      <c r="H272" s="256">
        <f t="shared" si="39"/>
        <v>24.34232537244603</v>
      </c>
      <c r="I272" s="334">
        <v>0</v>
      </c>
      <c r="J272" s="289">
        <f t="shared" si="34"/>
        <v>171.02308158698884</v>
      </c>
    </row>
    <row r="273" spans="3:10" ht="19">
      <c r="C273" s="157">
        <f t="shared" si="37"/>
        <v>1300</v>
      </c>
      <c r="D273" s="287">
        <f t="shared" si="35"/>
        <v>0.10667377251418701</v>
      </c>
      <c r="E273" s="288">
        <f t="shared" si="36"/>
        <v>2.5195755058563723E+31</v>
      </c>
      <c r="F273" s="234">
        <f t="shared" si="33"/>
        <v>148.09067635580899</v>
      </c>
      <c r="G273" s="341">
        <f t="shared" si="38"/>
        <v>0.3587998506127591</v>
      </c>
      <c r="H273" s="256">
        <f t="shared" si="39"/>
        <v>25.007832461126881</v>
      </c>
      <c r="I273" s="334">
        <v>0</v>
      </c>
      <c r="J273" s="289">
        <f t="shared" si="34"/>
        <v>173.45730866754866</v>
      </c>
    </row>
    <row r="274" spans="3:10" ht="19">
      <c r="C274" s="157">
        <f t="shared" si="37"/>
        <v>1400</v>
      </c>
      <c r="D274" s="287">
        <f t="shared" si="35"/>
        <v>0.11487944732297062</v>
      </c>
      <c r="E274" s="288">
        <f t="shared" si="36"/>
        <v>2.8158168454649867E+31</v>
      </c>
      <c r="F274" s="234">
        <f t="shared" si="33"/>
        <v>149.63108466499625</v>
      </c>
      <c r="G274" s="341">
        <f t="shared" si="38"/>
        <v>0.48126742036694287</v>
      </c>
      <c r="H274" s="256">
        <f t="shared" si="39"/>
        <v>25.623995784801789</v>
      </c>
      <c r="I274" s="334">
        <v>0</v>
      </c>
      <c r="J274" s="289">
        <f t="shared" si="34"/>
        <v>175.73634787016499</v>
      </c>
    </row>
    <row r="275" spans="3:10" ht="19">
      <c r="C275" s="157">
        <f t="shared" si="37"/>
        <v>1500</v>
      </c>
      <c r="D275" s="287">
        <f t="shared" si="35"/>
        <v>0.12308512213175424</v>
      </c>
      <c r="E275" s="288">
        <f t="shared" si="36"/>
        <v>3.1228364354005132E+31</v>
      </c>
      <c r="F275" s="234">
        <f t="shared" si="33"/>
        <v>151.06517049172407</v>
      </c>
      <c r="G275" s="341">
        <f t="shared" si="38"/>
        <v>0.61932415102229899</v>
      </c>
      <c r="H275" s="256">
        <f t="shared" si="39"/>
        <v>26.197630115492895</v>
      </c>
      <c r="I275" s="334">
        <v>0</v>
      </c>
      <c r="J275" s="289">
        <f t="shared" si="34"/>
        <v>177.88212475823929</v>
      </c>
    </row>
    <row r="276" spans="3:10" ht="19">
      <c r="C276" s="157">
        <f t="shared" si="37"/>
        <v>1600</v>
      </c>
      <c r="D276" s="287">
        <f t="shared" si="35"/>
        <v>0.13129079694053786</v>
      </c>
      <c r="E276" s="288">
        <f t="shared" si="36"/>
        <v>3.4402683753915625E+31</v>
      </c>
      <c r="F276" s="234">
        <f t="shared" si="33"/>
        <v>152.40666819208965</v>
      </c>
      <c r="G276" s="341">
        <f t="shared" si="38"/>
        <v>0.77086320706146416</v>
      </c>
      <c r="H276" s="256">
        <f t="shared" si="39"/>
        <v>26.734229195639116</v>
      </c>
      <c r="I276" s="334">
        <v>0</v>
      </c>
      <c r="J276" s="289">
        <f t="shared" si="34"/>
        <v>179.91176059479022</v>
      </c>
    </row>
    <row r="277" spans="3:10" ht="19">
      <c r="C277" s="157">
        <f t="shared" si="37"/>
        <v>1700</v>
      </c>
      <c r="D277" s="287">
        <f t="shared" si="35"/>
        <v>0.13949647174932148</v>
      </c>
      <c r="E277" s="288">
        <f t="shared" si="36"/>
        <v>3.7677816901186478E+31</v>
      </c>
      <c r="F277" s="234">
        <f t="shared" si="33"/>
        <v>153.666811581166</v>
      </c>
      <c r="G277" s="341">
        <f t="shared" si="38"/>
        <v>0.93377612467824589</v>
      </c>
      <c r="H277" s="256">
        <f t="shared" si="39"/>
        <v>27.238286551269685</v>
      </c>
      <c r="I277" s="334">
        <v>0</v>
      </c>
      <c r="J277" s="289">
        <f t="shared" si="34"/>
        <v>181.83887425711393</v>
      </c>
    </row>
    <row r="278" spans="3:10" ht="19">
      <c r="C278" s="157">
        <f t="shared" si="37"/>
        <v>1800</v>
      </c>
      <c r="D278" s="287">
        <f t="shared" si="35"/>
        <v>0.1477021465581051</v>
      </c>
      <c r="E278" s="288">
        <f t="shared" si="36"/>
        <v>4.1050751017628756E+31</v>
      </c>
      <c r="F278" s="234">
        <f t="shared" si="33"/>
        <v>154.85490637124312</v>
      </c>
      <c r="G278" s="341">
        <f t="shared" si="38"/>
        <v>1.1060640879514283</v>
      </c>
      <c r="H278" s="256">
        <f t="shared" si="39"/>
        <v>27.713524467300555</v>
      </c>
      <c r="I278" s="334">
        <v>0</v>
      </c>
      <c r="J278" s="289">
        <f t="shared" si="34"/>
        <v>183.6744949264951</v>
      </c>
    </row>
    <row r="279" spans="3:10" ht="19">
      <c r="C279" s="157">
        <f t="shared" si="37"/>
        <v>1900</v>
      </c>
      <c r="D279" s="287">
        <f t="shared" si="35"/>
        <v>0.15590782136688872</v>
      </c>
      <c r="E279" s="288">
        <f t="shared" si="36"/>
        <v>4.4518728367628634E+31</v>
      </c>
      <c r="F279" s="234">
        <f t="shared" si="33"/>
        <v>155.97874763256723</v>
      </c>
      <c r="G279" s="341">
        <f t="shared" si="38"/>
        <v>1.2858991466276239</v>
      </c>
      <c r="H279" s="256">
        <f t="shared" si="39"/>
        <v>28.163060971830134</v>
      </c>
      <c r="I279" s="334">
        <v>0</v>
      </c>
      <c r="J279" s="289">
        <f t="shared" si="34"/>
        <v>185.427707751025</v>
      </c>
    </row>
    <row r="280" spans="3:10" ht="20" thickBot="1">
      <c r="C280" s="166">
        <f t="shared" si="37"/>
        <v>2000</v>
      </c>
      <c r="D280" s="291">
        <f t="shared" si="35"/>
        <v>0.16411349617567234</v>
      </c>
      <c r="E280" s="292">
        <f t="shared" si="36"/>
        <v>4.8079212176363959E+31</v>
      </c>
      <c r="F280" s="259">
        <f t="shared" si="33"/>
        <v>157.04493004970675</v>
      </c>
      <c r="G280" s="342">
        <f>$B$7*SUM((($D$42)/$C280)/(EXP($D$42/$C280)-1)-LN(1-EXP(-$D$42/$C280)))</f>
        <v>1.4716512000961615</v>
      </c>
      <c r="H280" s="260">
        <f>$B$7*LN(EXP(1)*$C280/($A$31*$J$254))</f>
        <v>28.589533938685985</v>
      </c>
      <c r="I280" s="337">
        <v>0</v>
      </c>
      <c r="J280" s="293">
        <f t="shared" si="34"/>
        <v>187.1061151884889</v>
      </c>
    </row>
  </sheetData>
  <mergeCells count="13">
    <mergeCell ref="D245:E245"/>
    <mergeCell ref="C131:D131"/>
    <mergeCell ref="H198:K198"/>
    <mergeCell ref="D203:E203"/>
    <mergeCell ref="D212:H212"/>
    <mergeCell ref="H239:K239"/>
    <mergeCell ref="D244:E244"/>
    <mergeCell ref="A18:V18"/>
    <mergeCell ref="A53:V53"/>
    <mergeCell ref="U93:W93"/>
    <mergeCell ref="C100:D100"/>
    <mergeCell ref="AB101:AH101"/>
    <mergeCell ref="C130:D13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1615-168E-FA4A-8304-C591B1F86B31}">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NH3</vt:lpstr>
      <vt:lpstr>H</vt:lpstr>
      <vt:lpstr>NH2</vt:lpstr>
      <vt:lpstr>H2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2024-09-15T14:30:30Z</dcterms:created>
  <dcterms:modified xsi:type="dcterms:W3CDTF">2024-09-15T14:56:13Z</dcterms:modified>
</cp:coreProperties>
</file>