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6.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edoardocabiati/Desktop/Cose_brutte_PoliMI/V_anno/II_semestre/Molecular_Modeling_for_Process_Engineering/MMfP/Project9/"/>
    </mc:Choice>
  </mc:AlternateContent>
  <xr:revisionPtr revIDLastSave="0" documentId="13_ncr:1_{6D900A32-E50F-9F43-951D-A1AC13012184}" xr6:coauthVersionLast="47" xr6:coauthVersionMax="47" xr10:uidLastSave="{00000000-0000-0000-0000-000000000000}"/>
  <bookViews>
    <workbookView xWindow="400" yWindow="760" windowWidth="28040" windowHeight="17440" activeTab="5" xr2:uid="{1C275B8A-5798-DC42-835E-F1E35F3FF430}"/>
  </bookViews>
  <sheets>
    <sheet name="CH4" sheetId="3" r:id="rId1"/>
    <sheet name="H" sheetId="4" r:id="rId2"/>
    <sheet name="CH3" sheetId="5" r:id="rId3"/>
    <sheet name="H2" sheetId="10" r:id="rId4"/>
    <sheet name="TS" sheetId="8" r:id="rId5"/>
    <sheet name="CH4+H---CH3+H2" sheetId="9" r:id="rId6"/>
  </sheets>
  <externalReferences>
    <externalReference r:id="rId7"/>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7" i="8" l="1" a="1"/>
  <c r="E97" i="8" s="1"/>
  <c r="F97" i="8" a="1"/>
  <c r="F97" i="8" s="1"/>
  <c r="G97" i="8" a="1"/>
  <c r="G97" i="8"/>
  <c r="H97" i="8" a="1"/>
  <c r="H97" i="8" s="1"/>
  <c r="I97" i="8" a="1"/>
  <c r="I97" i="8" s="1"/>
  <c r="J97" i="8" a="1"/>
  <c r="J97" i="8"/>
  <c r="K97" i="8" a="1"/>
  <c r="K97" i="8"/>
  <c r="L97" i="8" a="1"/>
  <c r="L97" i="8"/>
  <c r="M97" i="8" a="1"/>
  <c r="M97" i="8" s="1"/>
  <c r="N97" i="8" a="1"/>
  <c r="N97" i="8" s="1"/>
  <c r="O97" i="8" a="1"/>
  <c r="O97" i="8"/>
  <c r="D97" i="8" a="1"/>
  <c r="D97" i="8" s="1"/>
  <c r="C172" i="8"/>
  <c r="G169" i="8"/>
  <c r="H169" i="8"/>
  <c r="G168" i="8"/>
  <c r="H168" i="8"/>
  <c r="F167" i="8"/>
  <c r="G167" i="8"/>
  <c r="D47" i="9"/>
  <c r="K58" i="9"/>
  <c r="L58" i="9"/>
  <c r="M58" i="9"/>
  <c r="K59" i="9"/>
  <c r="L59" i="9"/>
  <c r="M59" i="9"/>
  <c r="K60" i="9"/>
  <c r="L60" i="9"/>
  <c r="M60" i="9"/>
  <c r="K61" i="9"/>
  <c r="L61" i="9"/>
  <c r="M61" i="9"/>
  <c r="K62" i="9"/>
  <c r="L62" i="9"/>
  <c r="M62" i="9"/>
  <c r="K63" i="9"/>
  <c r="L63" i="9"/>
  <c r="M63" i="9"/>
  <c r="K64" i="9"/>
  <c r="L64" i="9"/>
  <c r="M64" i="9"/>
  <c r="K65" i="9"/>
  <c r="L65" i="9"/>
  <c r="M65" i="9"/>
  <c r="K66" i="9"/>
  <c r="L66" i="9"/>
  <c r="M66" i="9"/>
  <c r="K67" i="9"/>
  <c r="L67" i="9"/>
  <c r="M67" i="9"/>
  <c r="K68" i="9"/>
  <c r="L68" i="9"/>
  <c r="M68" i="9"/>
  <c r="K69" i="9"/>
  <c r="L69" i="9"/>
  <c r="M69" i="9"/>
  <c r="K70" i="9"/>
  <c r="L70" i="9"/>
  <c r="M70" i="9"/>
  <c r="K71" i="9"/>
  <c r="L71" i="9"/>
  <c r="M71" i="9"/>
  <c r="K72" i="9"/>
  <c r="L72" i="9"/>
  <c r="M72" i="9"/>
  <c r="K73" i="9"/>
  <c r="L73" i="9"/>
  <c r="M73" i="9"/>
  <c r="K74" i="9"/>
  <c r="L74" i="9"/>
  <c r="M74" i="9"/>
  <c r="M57" i="9"/>
  <c r="L57" i="9"/>
  <c r="K57" i="9"/>
  <c r="J58" i="9"/>
  <c r="J59" i="9"/>
  <c r="J60" i="9"/>
  <c r="J61" i="9"/>
  <c r="J62" i="9"/>
  <c r="J63" i="9"/>
  <c r="J64" i="9"/>
  <c r="J65" i="9"/>
  <c r="J66" i="9"/>
  <c r="J67" i="9"/>
  <c r="J68" i="9"/>
  <c r="J69" i="9"/>
  <c r="J70" i="9"/>
  <c r="J71" i="9"/>
  <c r="J72" i="9"/>
  <c r="J73" i="9"/>
  <c r="J74" i="9"/>
  <c r="J57" i="9"/>
  <c r="N266" i="10"/>
  <c r="O264" i="10"/>
  <c r="N264" i="10"/>
  <c r="E264" i="10"/>
  <c r="C264" i="10"/>
  <c r="G263" i="10"/>
  <c r="E263" i="10"/>
  <c r="D263" i="10"/>
  <c r="F263" i="10" s="1"/>
  <c r="I262" i="10"/>
  <c r="Q264" i="10" s="1"/>
  <c r="Q266" i="10" s="1"/>
  <c r="G262" i="10"/>
  <c r="E262" i="10"/>
  <c r="D262" i="10"/>
  <c r="F262" i="10" s="1"/>
  <c r="F258" i="10"/>
  <c r="D258" i="10"/>
  <c r="F257" i="10"/>
  <c r="E257" i="10"/>
  <c r="E258" i="10" s="1"/>
  <c r="F256" i="10"/>
  <c r="E256" i="10"/>
  <c r="D256" i="10"/>
  <c r="D257" i="10" s="1"/>
  <c r="D251" i="10"/>
  <c r="E251" i="10" s="1"/>
  <c r="O265" i="10" s="1"/>
  <c r="O266" i="10" s="1"/>
  <c r="E250" i="10"/>
  <c r="P265" i="10" s="1"/>
  <c r="D250" i="10"/>
  <c r="D249" i="10"/>
  <c r="E249" i="10" s="1"/>
  <c r="N265" i="10" s="1"/>
  <c r="D248" i="10"/>
  <c r="E248" i="10" s="1"/>
  <c r="Q265" i="10" s="1"/>
  <c r="D247" i="10"/>
  <c r="E247" i="10" s="1"/>
  <c r="R265" i="10" s="1"/>
  <c r="D232" i="10"/>
  <c r="D231" i="10"/>
  <c r="D230" i="10"/>
  <c r="D229" i="10"/>
  <c r="D228" i="10"/>
  <c r="D227" i="10"/>
  <c r="D226" i="10"/>
  <c r="D225" i="10"/>
  <c r="D224" i="10"/>
  <c r="D223" i="10"/>
  <c r="D222" i="10"/>
  <c r="D221" i="10"/>
  <c r="D220" i="10"/>
  <c r="D219" i="10"/>
  <c r="D218" i="10"/>
  <c r="L217" i="10"/>
  <c r="K217" i="10"/>
  <c r="D217" i="10"/>
  <c r="L216" i="10"/>
  <c r="D216" i="10"/>
  <c r="C216" i="10"/>
  <c r="N215" i="10"/>
  <c r="K215" i="10"/>
  <c r="E215" i="10"/>
  <c r="D215" i="10"/>
  <c r="H215" i="10" s="1"/>
  <c r="F214" i="10"/>
  <c r="E214" i="10"/>
  <c r="L215" i="10" s="1"/>
  <c r="D214" i="10"/>
  <c r="D209" i="10"/>
  <c r="E209" i="10" s="1"/>
  <c r="D208" i="10"/>
  <c r="E208" i="10" s="1"/>
  <c r="M216" i="10" s="1"/>
  <c r="D207" i="10"/>
  <c r="E207" i="10" s="1"/>
  <c r="K216" i="10" s="1"/>
  <c r="E206" i="10"/>
  <c r="N216" i="10" s="1"/>
  <c r="D206" i="10"/>
  <c r="D205" i="10"/>
  <c r="E205" i="10" s="1"/>
  <c r="O216" i="10" s="1"/>
  <c r="C177" i="10"/>
  <c r="C178" i="10" s="1"/>
  <c r="C179" i="10" s="1"/>
  <c r="C180" i="10" s="1"/>
  <c r="C181" i="10" s="1"/>
  <c r="C182" i="10" s="1"/>
  <c r="C183" i="10" s="1"/>
  <c r="C184" i="10" s="1"/>
  <c r="C185" i="10" s="1"/>
  <c r="C186" i="10" s="1"/>
  <c r="C187" i="10" s="1"/>
  <c r="C188" i="10" s="1"/>
  <c r="C189" i="10" s="1"/>
  <c r="C190" i="10" s="1"/>
  <c r="C191" i="10" s="1"/>
  <c r="C192" i="10" s="1"/>
  <c r="C193" i="10" s="1"/>
  <c r="L176" i="10"/>
  <c r="L175" i="10"/>
  <c r="L177" i="10" s="1"/>
  <c r="D175" i="10"/>
  <c r="D169" i="10"/>
  <c r="F168" i="10"/>
  <c r="F169" i="10" s="1"/>
  <c r="E168" i="10"/>
  <c r="E169" i="10" s="1"/>
  <c r="D168" i="10"/>
  <c r="E167" i="10"/>
  <c r="C142" i="10"/>
  <c r="D141" i="10"/>
  <c r="X106" i="10" s="1"/>
  <c r="C141" i="10"/>
  <c r="L140" i="10"/>
  <c r="C139" i="10"/>
  <c r="C140" i="10" s="1"/>
  <c r="D134" i="10"/>
  <c r="C131" i="10" s="1"/>
  <c r="D138" i="10" s="1"/>
  <c r="X103" i="10" s="1"/>
  <c r="D133" i="10"/>
  <c r="D132" i="10"/>
  <c r="Y120" i="10"/>
  <c r="Y119" i="10"/>
  <c r="Y118" i="10"/>
  <c r="Y117" i="10"/>
  <c r="Y116" i="10"/>
  <c r="Y115" i="10"/>
  <c r="Y114" i="10"/>
  <c r="Y113" i="10"/>
  <c r="Y112" i="10"/>
  <c r="Y111" i="10"/>
  <c r="Y110" i="10"/>
  <c r="Y109" i="10"/>
  <c r="Y108" i="10"/>
  <c r="AE107" i="10"/>
  <c r="Y107" i="10"/>
  <c r="Y106" i="10"/>
  <c r="Y105" i="10"/>
  <c r="P105" i="10"/>
  <c r="O105" i="10"/>
  <c r="N105" i="10"/>
  <c r="C105" i="10"/>
  <c r="C106" i="10" s="1"/>
  <c r="C107" i="10" s="1"/>
  <c r="C108" i="10" s="1"/>
  <c r="C109" i="10" s="1"/>
  <c r="C110" i="10" s="1"/>
  <c r="C111" i="10" s="1"/>
  <c r="C112" i="10" s="1"/>
  <c r="Y104" i="10"/>
  <c r="U104" i="10"/>
  <c r="U105" i="10" s="1"/>
  <c r="U106" i="10" s="1"/>
  <c r="U107" i="10" s="1"/>
  <c r="U108" i="10" s="1"/>
  <c r="U109" i="10" s="1"/>
  <c r="U110" i="10" s="1"/>
  <c r="U111" i="10" s="1"/>
  <c r="U112" i="10" s="1"/>
  <c r="U113" i="10" s="1"/>
  <c r="U114" i="10" s="1"/>
  <c r="U115" i="10" s="1"/>
  <c r="U116" i="10" s="1"/>
  <c r="U117" i="10" s="1"/>
  <c r="U118" i="10" s="1"/>
  <c r="U119" i="10" s="1"/>
  <c r="U120" i="10" s="1"/>
  <c r="C104" i="10"/>
  <c r="Y103" i="10"/>
  <c r="Y102" i="10"/>
  <c r="D97" i="10"/>
  <c r="D98" i="10" s="1"/>
  <c r="W117" i="10" s="1"/>
  <c r="D97" i="10" a="1"/>
  <c r="L68" i="10"/>
  <c r="C68" i="10"/>
  <c r="L67" i="10"/>
  <c r="L69" i="10" s="1"/>
  <c r="C67" i="10"/>
  <c r="E66" i="10"/>
  <c r="V103" i="10" s="1"/>
  <c r="D66" i="10"/>
  <c r="D65" i="10"/>
  <c r="E65" i="10" s="1"/>
  <c r="V102" i="10" s="1"/>
  <c r="L45" i="10"/>
  <c r="K45" i="10"/>
  <c r="F42" i="10"/>
  <c r="L38" i="10"/>
  <c r="K38" i="10"/>
  <c r="J38" i="10"/>
  <c r="I38" i="10"/>
  <c r="L33" i="10"/>
  <c r="K33" i="10"/>
  <c r="J33" i="10"/>
  <c r="I33" i="10"/>
  <c r="L28" i="10"/>
  <c r="K28" i="10"/>
  <c r="J28" i="10"/>
  <c r="I28" i="10"/>
  <c r="F25" i="10"/>
  <c r="F24" i="10"/>
  <c r="E24" i="10"/>
  <c r="E25" i="10" s="1"/>
  <c r="D24" i="10"/>
  <c r="D25" i="10" s="1"/>
  <c r="L23" i="10"/>
  <c r="K23" i="10"/>
  <c r="J23" i="10"/>
  <c r="I23" i="10"/>
  <c r="B13" i="10"/>
  <c r="T9" i="10"/>
  <c r="V8" i="10"/>
  <c r="V7" i="10" s="1"/>
  <c r="B105" i="9"/>
  <c r="B106" i="9" s="1"/>
  <c r="B107" i="9" s="1"/>
  <c r="B108" i="9" s="1"/>
  <c r="B109" i="9" s="1"/>
  <c r="B110" i="9" s="1"/>
  <c r="B111" i="9" s="1"/>
  <c r="B112" i="9" s="1"/>
  <c r="B113" i="9" s="1"/>
  <c r="B114" i="9" s="1"/>
  <c r="B115" i="9" s="1"/>
  <c r="B116" i="9" s="1"/>
  <c r="B117" i="9" s="1"/>
  <c r="B118" i="9" s="1"/>
  <c r="B119" i="9" s="1"/>
  <c r="B120" i="9" s="1"/>
  <c r="B121" i="9" s="1"/>
  <c r="A58" i="9"/>
  <c r="A59" i="9" s="1"/>
  <c r="E138" i="8"/>
  <c r="M139" i="8" s="1"/>
  <c r="C20" i="9"/>
  <c r="C57" i="9" s="1"/>
  <c r="A21" i="9"/>
  <c r="A22" i="9" s="1"/>
  <c r="A23" i="9" s="1"/>
  <c r="A24" i="9" s="1"/>
  <c r="A25" i="9" s="1"/>
  <c r="A26" i="9" s="1"/>
  <c r="A27" i="9" s="1"/>
  <c r="A28" i="9" s="1"/>
  <c r="A29" i="9" s="1"/>
  <c r="A30" i="9" s="1"/>
  <c r="A31" i="9" s="1"/>
  <c r="A32" i="9" s="1"/>
  <c r="A33" i="9" s="1"/>
  <c r="A34" i="9" s="1"/>
  <c r="A35" i="9" s="1"/>
  <c r="A36" i="9" s="1"/>
  <c r="A37" i="9" s="1"/>
  <c r="C113" i="10" l="1"/>
  <c r="C114" i="10" s="1"/>
  <c r="C115" i="10" s="1"/>
  <c r="C116" i="10" s="1"/>
  <c r="C117" i="10" s="1"/>
  <c r="C118" i="10" s="1"/>
  <c r="C119" i="10" s="1"/>
  <c r="C120" i="10" s="1"/>
  <c r="D112" i="10"/>
  <c r="E112" i="10" s="1"/>
  <c r="E216" i="10"/>
  <c r="C217" i="10"/>
  <c r="M215" i="10"/>
  <c r="M217" i="10" s="1"/>
  <c r="H214" i="10"/>
  <c r="O215" i="10" s="1"/>
  <c r="O217" i="10" s="1"/>
  <c r="N97" i="10"/>
  <c r="P104" i="10" s="1"/>
  <c r="P106" i="10" s="1"/>
  <c r="C69" i="10"/>
  <c r="D68" i="10"/>
  <c r="E68" i="10" s="1"/>
  <c r="V105" i="10" s="1"/>
  <c r="Z105" i="10" s="1"/>
  <c r="D111" i="10"/>
  <c r="E111" i="10" s="1"/>
  <c r="W120" i="10"/>
  <c r="W112" i="10"/>
  <c r="D102" i="10"/>
  <c r="E102" i="10" s="1"/>
  <c r="N104" i="10" s="1"/>
  <c r="N106" i="10" s="1"/>
  <c r="W110" i="10"/>
  <c r="W119" i="10"/>
  <c r="D115" i="10"/>
  <c r="E115" i="10" s="1"/>
  <c r="W111" i="10"/>
  <c r="D108" i="10"/>
  <c r="E108" i="10" s="1"/>
  <c r="D106" i="10"/>
  <c r="E106" i="10" s="1"/>
  <c r="D104" i="10"/>
  <c r="E104" i="10" s="1"/>
  <c r="D103" i="10"/>
  <c r="E103" i="10" s="1"/>
  <c r="AF106" i="10" s="1"/>
  <c r="W118" i="10"/>
  <c r="D114" i="10"/>
  <c r="E114" i="10" s="1"/>
  <c r="D124" i="10"/>
  <c r="E124" i="10" s="1"/>
  <c r="O104" i="10" s="1"/>
  <c r="O106" i="10" s="1"/>
  <c r="W114" i="10"/>
  <c r="D107" i="10"/>
  <c r="E107" i="10" s="1"/>
  <c r="W105" i="10"/>
  <c r="D118" i="10"/>
  <c r="E118" i="10" s="1"/>
  <c r="D109" i="10"/>
  <c r="E109" i="10" s="1"/>
  <c r="D110" i="10"/>
  <c r="E110" i="10" s="1"/>
  <c r="D117" i="10"/>
  <c r="E117" i="10" s="1"/>
  <c r="W102" i="10"/>
  <c r="W115" i="10"/>
  <c r="W104" i="10"/>
  <c r="W116" i="10"/>
  <c r="W113" i="10"/>
  <c r="W109" i="10"/>
  <c r="W108" i="10"/>
  <c r="W107" i="10"/>
  <c r="W106" i="10"/>
  <c r="D105" i="10"/>
  <c r="E105" i="10" s="1"/>
  <c r="D120" i="10"/>
  <c r="E120" i="10" s="1"/>
  <c r="W103" i="10"/>
  <c r="Z103" i="10" s="1"/>
  <c r="N217" i="10"/>
  <c r="C265" i="10"/>
  <c r="G264" i="10"/>
  <c r="D67" i="10"/>
  <c r="E67" i="10" s="1"/>
  <c r="V104" i="10" s="1"/>
  <c r="Z104" i="10" s="1"/>
  <c r="D264" i="10"/>
  <c r="F264" i="10" s="1"/>
  <c r="H216" i="10"/>
  <c r="D142" i="10"/>
  <c r="X107" i="10" s="1"/>
  <c r="C143" i="10"/>
  <c r="D137" i="10"/>
  <c r="D140" i="10"/>
  <c r="X105" i="10" s="1"/>
  <c r="J254" i="10"/>
  <c r="H264" i="10" s="1"/>
  <c r="D139" i="10"/>
  <c r="X104" i="10" s="1"/>
  <c r="C172" i="10"/>
  <c r="A60" i="9"/>
  <c r="AD26" i="9"/>
  <c r="AD25" i="9"/>
  <c r="AD24" i="9"/>
  <c r="AD23" i="9"/>
  <c r="AD22" i="9"/>
  <c r="AD21" i="9"/>
  <c r="AD20" i="9"/>
  <c r="AD19" i="9"/>
  <c r="AD18" i="9"/>
  <c r="AD17" i="9"/>
  <c r="AD16" i="9"/>
  <c r="AD15" i="9"/>
  <c r="AD14" i="9"/>
  <c r="AD13" i="9"/>
  <c r="AD12" i="9"/>
  <c r="AD11" i="9"/>
  <c r="AD10" i="9"/>
  <c r="AD9" i="9"/>
  <c r="AD8" i="9"/>
  <c r="AD7" i="9"/>
  <c r="AD6" i="9"/>
  <c r="AA7" i="9"/>
  <c r="AA8" i="9"/>
  <c r="AA9" i="9"/>
  <c r="AA10" i="9"/>
  <c r="AA11" i="9"/>
  <c r="AA12" i="9"/>
  <c r="AA13" i="9"/>
  <c r="AA14" i="9"/>
  <c r="AA15" i="9"/>
  <c r="AA16" i="9"/>
  <c r="AA17" i="9"/>
  <c r="AA18" i="9"/>
  <c r="AA19" i="9"/>
  <c r="AA20" i="9"/>
  <c r="AA21" i="9"/>
  <c r="AA22" i="9"/>
  <c r="AA23" i="9"/>
  <c r="AA24" i="9"/>
  <c r="AA25" i="9"/>
  <c r="AA26" i="9"/>
  <c r="AA6" i="9"/>
  <c r="N215" i="8"/>
  <c r="G263" i="8" a="1"/>
  <c r="G263" i="8" s="1"/>
  <c r="O264" i="8" s="1"/>
  <c r="G262" i="8" a="1"/>
  <c r="G262" i="8" s="1"/>
  <c r="E214" i="8" a="1"/>
  <c r="E214" i="8" s="1"/>
  <c r="E215" i="8" a="1"/>
  <c r="E215" i="8" s="1"/>
  <c r="L215" i="8" s="1"/>
  <c r="L176" i="8"/>
  <c r="L175" i="8"/>
  <c r="V105" i="8"/>
  <c r="U105" i="8"/>
  <c r="T105" i="8"/>
  <c r="E123" i="8"/>
  <c r="F123" i="8" s="1"/>
  <c r="G123" i="8" s="1"/>
  <c r="H123" i="8" s="1"/>
  <c r="I123" i="8" s="1"/>
  <c r="J123" i="8" s="1"/>
  <c r="K123" i="8" s="1"/>
  <c r="L123" i="8" s="1"/>
  <c r="M123" i="8" s="1"/>
  <c r="N123" i="8" s="1"/>
  <c r="O123" i="8" s="1"/>
  <c r="P105" i="5"/>
  <c r="O105" i="5"/>
  <c r="E123" i="5"/>
  <c r="F123" i="5" s="1"/>
  <c r="G123" i="5" s="1"/>
  <c r="H123" i="5" s="1"/>
  <c r="I123" i="5" s="1"/>
  <c r="W104" i="4"/>
  <c r="W105" i="4"/>
  <c r="W106" i="4"/>
  <c r="W107" i="4"/>
  <c r="W108" i="4"/>
  <c r="W109" i="4"/>
  <c r="W110" i="4"/>
  <c r="W111" i="4"/>
  <c r="W112" i="4"/>
  <c r="W113" i="4"/>
  <c r="W114" i="4"/>
  <c r="W115" i="4"/>
  <c r="W116" i="4"/>
  <c r="W117" i="4"/>
  <c r="W118" i="4"/>
  <c r="W119" i="4"/>
  <c r="W120" i="4"/>
  <c r="W103" i="4"/>
  <c r="W102" i="4"/>
  <c r="O106" i="4"/>
  <c r="N105" i="4"/>
  <c r="O105" i="4"/>
  <c r="M99" i="4"/>
  <c r="O104" i="4" s="1"/>
  <c r="D124" i="4"/>
  <c r="E124" i="4" s="1"/>
  <c r="N104" i="4" s="1"/>
  <c r="N106" i="4" s="1"/>
  <c r="T105" i="3"/>
  <c r="S105" i="3"/>
  <c r="E123" i="3"/>
  <c r="F123" i="3" s="1"/>
  <c r="G123" i="3" s="1"/>
  <c r="H123" i="3" s="1"/>
  <c r="I123" i="3" s="1"/>
  <c r="J123" i="3" s="1"/>
  <c r="K123" i="3" s="1"/>
  <c r="L123" i="3" s="1"/>
  <c r="N105" i="5"/>
  <c r="M105" i="4"/>
  <c r="R105" i="3"/>
  <c r="J264" i="10" l="1"/>
  <c r="H263" i="10"/>
  <c r="J263" i="10" s="1"/>
  <c r="H262" i="10"/>
  <c r="D69" i="10"/>
  <c r="E69" i="10" s="1"/>
  <c r="V106" i="10" s="1"/>
  <c r="Z106" i="10" s="1"/>
  <c r="C70" i="10"/>
  <c r="L139" i="10"/>
  <c r="L141" i="10" s="1"/>
  <c r="X102" i="10"/>
  <c r="Z102" i="10" s="1"/>
  <c r="AE106" i="10" s="1"/>
  <c r="AE108" i="10" s="1"/>
  <c r="D113" i="10"/>
  <c r="E113" i="10" s="1"/>
  <c r="D119" i="10"/>
  <c r="E119" i="10" s="1"/>
  <c r="D116" i="10"/>
  <c r="E116" i="10" s="1"/>
  <c r="E217" i="10"/>
  <c r="H217" i="10" s="1"/>
  <c r="C218" i="10"/>
  <c r="D143" i="10"/>
  <c r="X108" i="10" s="1"/>
  <c r="C144" i="10"/>
  <c r="D265" i="10"/>
  <c r="C266" i="10"/>
  <c r="H265" i="10"/>
  <c r="E265" i="10"/>
  <c r="G265" i="10"/>
  <c r="A61" i="9"/>
  <c r="C71" i="10" l="1"/>
  <c r="D70" i="10"/>
  <c r="E70" i="10" s="1"/>
  <c r="V107" i="10" s="1"/>
  <c r="Z107" i="10" s="1"/>
  <c r="P264" i="10"/>
  <c r="P266" i="10" s="1"/>
  <c r="J262" i="10"/>
  <c r="R264" i="10" s="1"/>
  <c r="R266" i="10" s="1"/>
  <c r="H266" i="10"/>
  <c r="C267" i="10"/>
  <c r="G266" i="10"/>
  <c r="E266" i="10"/>
  <c r="D266" i="10"/>
  <c r="F266" i="10" s="1"/>
  <c r="C145" i="10"/>
  <c r="D144" i="10"/>
  <c r="X109" i="10" s="1"/>
  <c r="E218" i="10"/>
  <c r="H218" i="10" s="1"/>
  <c r="C219" i="10"/>
  <c r="F265" i="10"/>
  <c r="J265" i="10" s="1"/>
  <c r="A62" i="9"/>
  <c r="J266" i="10" l="1"/>
  <c r="D267" i="10"/>
  <c r="C268" i="10"/>
  <c r="E267" i="10"/>
  <c r="G267" i="10"/>
  <c r="H267" i="10"/>
  <c r="C220" i="10"/>
  <c r="E219" i="10"/>
  <c r="H219" i="10" s="1"/>
  <c r="C146" i="10"/>
  <c r="D145" i="10"/>
  <c r="X110" i="10" s="1"/>
  <c r="C72" i="10"/>
  <c r="D71" i="10"/>
  <c r="E71" i="10" s="1"/>
  <c r="V108" i="10" s="1"/>
  <c r="Z108" i="10" s="1"/>
  <c r="A63" i="9"/>
  <c r="E268" i="10" l="1"/>
  <c r="D268" i="10"/>
  <c r="F268" i="10" s="1"/>
  <c r="H268" i="10"/>
  <c r="G268" i="10"/>
  <c r="C269" i="10"/>
  <c r="E220" i="10"/>
  <c r="H220" i="10" s="1"/>
  <c r="C221" i="10"/>
  <c r="E72" i="10"/>
  <c r="V109" i="10" s="1"/>
  <c r="Z109" i="10" s="1"/>
  <c r="D72" i="10"/>
  <c r="C73" i="10"/>
  <c r="F267" i="10"/>
  <c r="J267" i="10" s="1"/>
  <c r="D146" i="10"/>
  <c r="X111" i="10" s="1"/>
  <c r="C147" i="10"/>
  <c r="A64" i="9"/>
  <c r="C222" i="10" l="1"/>
  <c r="E221" i="10"/>
  <c r="H221" i="10" s="1"/>
  <c r="D147" i="10"/>
  <c r="X112" i="10" s="1"/>
  <c r="C148" i="10"/>
  <c r="E269" i="10"/>
  <c r="D269" i="10"/>
  <c r="F269" i="10" s="1"/>
  <c r="C270" i="10"/>
  <c r="G269" i="10"/>
  <c r="H269" i="10"/>
  <c r="D73" i="10"/>
  <c r="E73" i="10"/>
  <c r="V110" i="10" s="1"/>
  <c r="Z110" i="10" s="1"/>
  <c r="C74" i="10"/>
  <c r="J268" i="10"/>
  <c r="A65" i="9"/>
  <c r="J269" i="10" l="1"/>
  <c r="G270" i="10"/>
  <c r="E270" i="10"/>
  <c r="H270" i="10"/>
  <c r="D270" i="10"/>
  <c r="F270" i="10" s="1"/>
  <c r="J270" i="10" s="1"/>
  <c r="C271" i="10"/>
  <c r="D74" i="10"/>
  <c r="E74" i="10" s="1"/>
  <c r="V111" i="10" s="1"/>
  <c r="Z111" i="10" s="1"/>
  <c r="C75" i="10"/>
  <c r="C149" i="10"/>
  <c r="D148" i="10"/>
  <c r="X113" i="10" s="1"/>
  <c r="E222" i="10"/>
  <c r="H222" i="10" s="1"/>
  <c r="C223" i="10"/>
  <c r="A66" i="9"/>
  <c r="C224" i="10" l="1"/>
  <c r="E223" i="10"/>
  <c r="H223" i="10" s="1"/>
  <c r="D149" i="10"/>
  <c r="X114" i="10" s="1"/>
  <c r="C150" i="10"/>
  <c r="H271" i="10"/>
  <c r="G271" i="10"/>
  <c r="C272" i="10"/>
  <c r="D271" i="10"/>
  <c r="F271" i="10" s="1"/>
  <c r="J271" i="10" s="1"/>
  <c r="E271" i="10"/>
  <c r="C76" i="10"/>
  <c r="D75" i="10"/>
  <c r="E75" i="10" s="1"/>
  <c r="V112" i="10" s="1"/>
  <c r="Z112" i="10" s="1"/>
  <c r="A67" i="9"/>
  <c r="H272" i="10" l="1"/>
  <c r="G272" i="10"/>
  <c r="E272" i="10"/>
  <c r="D272" i="10"/>
  <c r="F272" i="10" s="1"/>
  <c r="J272" i="10" s="1"/>
  <c r="C273" i="10"/>
  <c r="C151" i="10"/>
  <c r="D150" i="10"/>
  <c r="X115" i="10" s="1"/>
  <c r="C77" i="10"/>
  <c r="D76" i="10"/>
  <c r="E76" i="10" s="1"/>
  <c r="V113" i="10" s="1"/>
  <c r="Z113" i="10" s="1"/>
  <c r="E224" i="10"/>
  <c r="H224" i="10" s="1"/>
  <c r="C225" i="10"/>
  <c r="A68" i="9"/>
  <c r="D77" i="10" l="1"/>
  <c r="E77" i="10"/>
  <c r="V114" i="10" s="1"/>
  <c r="Z114" i="10" s="1"/>
  <c r="C78" i="10"/>
  <c r="D151" i="10"/>
  <c r="X116" i="10" s="1"/>
  <c r="C152" i="10"/>
  <c r="C274" i="10"/>
  <c r="H273" i="10"/>
  <c r="G273" i="10"/>
  <c r="E273" i="10"/>
  <c r="D273" i="10"/>
  <c r="F273" i="10" s="1"/>
  <c r="C226" i="10"/>
  <c r="E225" i="10"/>
  <c r="H225" i="10" s="1"/>
  <c r="A69" i="9"/>
  <c r="C275" i="10" l="1"/>
  <c r="E274" i="10"/>
  <c r="D274" i="10"/>
  <c r="F274" i="10" s="1"/>
  <c r="H274" i="10"/>
  <c r="G274" i="10"/>
  <c r="C153" i="10"/>
  <c r="D152" i="10"/>
  <c r="X117" i="10" s="1"/>
  <c r="E226" i="10"/>
  <c r="H226" i="10" s="1"/>
  <c r="C227" i="10"/>
  <c r="C79" i="10"/>
  <c r="D78" i="10"/>
  <c r="E78" i="10" s="1"/>
  <c r="V115" i="10" s="1"/>
  <c r="Z115" i="10" s="1"/>
  <c r="J273" i="10"/>
  <c r="A70" i="9"/>
  <c r="C80" i="10" l="1"/>
  <c r="D79" i="10"/>
  <c r="E79" i="10" s="1"/>
  <c r="V116" i="10" s="1"/>
  <c r="Z116" i="10" s="1"/>
  <c r="C154" i="10"/>
  <c r="D153" i="10"/>
  <c r="X118" i="10" s="1"/>
  <c r="J274" i="10"/>
  <c r="C228" i="10"/>
  <c r="E227" i="10"/>
  <c r="H227" i="10" s="1"/>
  <c r="D275" i="10"/>
  <c r="C276" i="10"/>
  <c r="G275" i="10"/>
  <c r="H275" i="10"/>
  <c r="E275" i="10"/>
  <c r="A71" i="9"/>
  <c r="E228" i="10" l="1"/>
  <c r="H228" i="10" s="1"/>
  <c r="C229" i="10"/>
  <c r="D154" i="10"/>
  <c r="X119" i="10" s="1"/>
  <c r="C155" i="10"/>
  <c r="D155" i="10" s="1"/>
  <c r="X120" i="10" s="1"/>
  <c r="E276" i="10"/>
  <c r="D276" i="10"/>
  <c r="F276" i="10" s="1"/>
  <c r="C277" i="10"/>
  <c r="H276" i="10"/>
  <c r="G276" i="10"/>
  <c r="F275" i="10"/>
  <c r="J275" i="10" s="1"/>
  <c r="C81" i="10"/>
  <c r="D80" i="10"/>
  <c r="E80" i="10" s="1"/>
  <c r="V117" i="10" s="1"/>
  <c r="Z117" i="10" s="1"/>
  <c r="A72" i="9"/>
  <c r="J276" i="10" l="1"/>
  <c r="C230" i="10"/>
  <c r="E229" i="10"/>
  <c r="H229" i="10" s="1"/>
  <c r="E277" i="10"/>
  <c r="D277" i="10"/>
  <c r="C278" i="10"/>
  <c r="H277" i="10"/>
  <c r="G277" i="10"/>
  <c r="C82" i="10"/>
  <c r="D81" i="10"/>
  <c r="E81" i="10" s="1"/>
  <c r="V118" i="10" s="1"/>
  <c r="Z118" i="10" s="1"/>
  <c r="A73" i="9"/>
  <c r="G278" i="10" l="1"/>
  <c r="E278" i="10"/>
  <c r="C279" i="10"/>
  <c r="H278" i="10"/>
  <c r="D278" i="10"/>
  <c r="F278" i="10" s="1"/>
  <c r="J278" i="10" s="1"/>
  <c r="F277" i="10"/>
  <c r="J277" i="10" s="1"/>
  <c r="E230" i="10"/>
  <c r="H230" i="10" s="1"/>
  <c r="C231" i="10"/>
  <c r="D82" i="10"/>
  <c r="E82" i="10" s="1"/>
  <c r="V119" i="10" s="1"/>
  <c r="Z119" i="10" s="1"/>
  <c r="C83" i="10"/>
  <c r="A74" i="9"/>
  <c r="C232" i="10" l="1"/>
  <c r="E232" i="10" s="1"/>
  <c r="H232" i="10" s="1"/>
  <c r="E231" i="10"/>
  <c r="H231" i="10" s="1"/>
  <c r="D83" i="10"/>
  <c r="E83" i="10"/>
  <c r="V120" i="10" s="1"/>
  <c r="Z120" i="10" s="1"/>
  <c r="H279" i="10"/>
  <c r="G279" i="10"/>
  <c r="C280" i="10"/>
  <c r="D279" i="10"/>
  <c r="F279" i="10" s="1"/>
  <c r="J279" i="10" s="1"/>
  <c r="E279" i="10"/>
  <c r="J98" i="8"/>
  <c r="K98" i="8"/>
  <c r="L98" i="8"/>
  <c r="M98" i="8"/>
  <c r="N98" i="8"/>
  <c r="O98" i="8"/>
  <c r="F48" i="8"/>
  <c r="F49" i="8"/>
  <c r="F50" i="8"/>
  <c r="F51" i="8"/>
  <c r="F52" i="8"/>
  <c r="F53" i="8"/>
  <c r="F42" i="8"/>
  <c r="F43" i="8"/>
  <c r="F44" i="8"/>
  <c r="F45" i="8"/>
  <c r="F46" i="8"/>
  <c r="F47" i="8"/>
  <c r="M45" i="8"/>
  <c r="N45" i="8" s="1"/>
  <c r="I280" i="8"/>
  <c r="I279" i="8"/>
  <c r="I278" i="8"/>
  <c r="I277" i="8"/>
  <c r="I276" i="8"/>
  <c r="I275" i="8"/>
  <c r="I274" i="8"/>
  <c r="I273" i="8"/>
  <c r="I272" i="8"/>
  <c r="I271" i="8"/>
  <c r="I270" i="8"/>
  <c r="I269" i="8"/>
  <c r="I268" i="8"/>
  <c r="I267" i="8"/>
  <c r="I266" i="8"/>
  <c r="I265" i="8"/>
  <c r="C265" i="8"/>
  <c r="G265" i="8" s="1" a="1"/>
  <c r="G265" i="8" s="1"/>
  <c r="I264" i="8"/>
  <c r="H264" i="8"/>
  <c r="C264" i="8"/>
  <c r="I263" i="8"/>
  <c r="Q264" i="8" s="1"/>
  <c r="H263" i="8"/>
  <c r="P264" i="8" s="1"/>
  <c r="E263" i="8"/>
  <c r="D263" i="8"/>
  <c r="I262" i="8"/>
  <c r="H262" i="8"/>
  <c r="E262" i="8"/>
  <c r="D262" i="8"/>
  <c r="F256" i="8"/>
  <c r="F257" i="8" s="1"/>
  <c r="F258" i="8" s="1"/>
  <c r="E256" i="8"/>
  <c r="E257" i="8" s="1"/>
  <c r="E258" i="8" s="1"/>
  <c r="D256" i="8"/>
  <c r="D257" i="8" s="1"/>
  <c r="D258" i="8" s="1"/>
  <c r="D251" i="8"/>
  <c r="E251" i="8" s="1"/>
  <c r="O265" i="8" s="1"/>
  <c r="O266" i="8" s="1"/>
  <c r="D250" i="8"/>
  <c r="E250" i="8" s="1"/>
  <c r="P265" i="8" s="1"/>
  <c r="D249" i="8"/>
  <c r="E249" i="8" s="1"/>
  <c r="N265" i="8" s="1"/>
  <c r="D248" i="8"/>
  <c r="E248" i="8" s="1"/>
  <c r="Q265" i="8" s="1"/>
  <c r="D247" i="8"/>
  <c r="E247" i="8" s="1"/>
  <c r="R265" i="8" s="1"/>
  <c r="F232" i="8"/>
  <c r="D232" i="8"/>
  <c r="F231" i="8"/>
  <c r="D231" i="8"/>
  <c r="F230" i="8"/>
  <c r="D230" i="8"/>
  <c r="F229" i="8"/>
  <c r="D229" i="8"/>
  <c r="F228" i="8"/>
  <c r="D228" i="8"/>
  <c r="F227" i="8"/>
  <c r="D227" i="8"/>
  <c r="F226" i="8"/>
  <c r="D226" i="8"/>
  <c r="F225" i="8"/>
  <c r="D225" i="8"/>
  <c r="F224" i="8"/>
  <c r="D224" i="8"/>
  <c r="F223" i="8"/>
  <c r="D223" i="8"/>
  <c r="F222" i="8"/>
  <c r="D222" i="8"/>
  <c r="F221" i="8"/>
  <c r="D221" i="8"/>
  <c r="F220" i="8"/>
  <c r="D220" i="8"/>
  <c r="F219" i="8"/>
  <c r="D219" i="8"/>
  <c r="F218" i="8"/>
  <c r="D218" i="8"/>
  <c r="F217" i="8"/>
  <c r="D217" i="8"/>
  <c r="F216" i="8"/>
  <c r="D216" i="8"/>
  <c r="C216" i="8"/>
  <c r="E216" i="8" s="1" a="1"/>
  <c r="E216" i="8" s="1"/>
  <c r="F215" i="8"/>
  <c r="M215" i="8" s="1"/>
  <c r="D215" i="8"/>
  <c r="K215" i="8" s="1"/>
  <c r="F214" i="8"/>
  <c r="D214" i="8"/>
  <c r="K209" i="8"/>
  <c r="D209" i="8"/>
  <c r="E209" i="8" s="1"/>
  <c r="L216" i="8" s="1"/>
  <c r="E208" i="8"/>
  <c r="M216" i="8" s="1"/>
  <c r="D208" i="8"/>
  <c r="D207" i="8"/>
  <c r="E207" i="8" s="1"/>
  <c r="K216" i="8" s="1"/>
  <c r="K217" i="8" s="1"/>
  <c r="D206" i="8"/>
  <c r="E206" i="8" s="1"/>
  <c r="N216" i="8" s="1"/>
  <c r="N217" i="8" s="1"/>
  <c r="D205" i="8"/>
  <c r="E205" i="8" s="1"/>
  <c r="O216" i="8" s="1"/>
  <c r="D193" i="8"/>
  <c r="D192" i="8"/>
  <c r="E36" i="9" s="1"/>
  <c r="E73" i="9" s="1"/>
  <c r="D191" i="8"/>
  <c r="E35" i="9" s="1"/>
  <c r="E72" i="9" s="1"/>
  <c r="D190" i="8"/>
  <c r="D189" i="8"/>
  <c r="E33" i="9" s="1"/>
  <c r="E70" i="9" s="1"/>
  <c r="D188" i="8"/>
  <c r="D187" i="8"/>
  <c r="E31" i="9" s="1"/>
  <c r="E68" i="9" s="1"/>
  <c r="D186" i="8"/>
  <c r="D185" i="8"/>
  <c r="E29" i="9" s="1"/>
  <c r="E66" i="9" s="1"/>
  <c r="D184" i="8"/>
  <c r="D183" i="8"/>
  <c r="E27" i="9" s="1"/>
  <c r="E64" i="9" s="1"/>
  <c r="D182" i="8"/>
  <c r="D181" i="8"/>
  <c r="D180" i="8"/>
  <c r="D179" i="8"/>
  <c r="E23" i="9" s="1"/>
  <c r="E60" i="9" s="1"/>
  <c r="D178" i="8"/>
  <c r="E22" i="9" s="1"/>
  <c r="E59" i="9" s="1"/>
  <c r="D177" i="8"/>
  <c r="C177" i="8"/>
  <c r="C178" i="8" s="1"/>
  <c r="C179" i="8" s="1"/>
  <c r="C180" i="8" s="1"/>
  <c r="C181" i="8" s="1"/>
  <c r="C182" i="8" s="1"/>
  <c r="C183" i="8" s="1"/>
  <c r="C184" i="8" s="1"/>
  <c r="C185" i="8" s="1"/>
  <c r="C186" i="8" s="1"/>
  <c r="C187" i="8" s="1"/>
  <c r="C188" i="8" s="1"/>
  <c r="C189" i="8" s="1"/>
  <c r="C190" i="8" s="1"/>
  <c r="C191" i="8" s="1"/>
  <c r="C192" i="8" s="1"/>
  <c r="C193" i="8" s="1"/>
  <c r="L177" i="8"/>
  <c r="D176" i="8"/>
  <c r="D175" i="8"/>
  <c r="AG102" i="8" s="1"/>
  <c r="F168" i="8"/>
  <c r="F169" i="8" s="1"/>
  <c r="E168" i="8"/>
  <c r="E169" i="8" s="1"/>
  <c r="D168" i="8"/>
  <c r="D169" i="8" s="1"/>
  <c r="E167" i="8"/>
  <c r="M140" i="8"/>
  <c r="L140" i="8"/>
  <c r="C139" i="8"/>
  <c r="C140" i="8" s="1"/>
  <c r="C141" i="8" s="1"/>
  <c r="E141" i="8" s="1"/>
  <c r="AF103" i="8"/>
  <c r="E137" i="8"/>
  <c r="AF102" i="8" s="1"/>
  <c r="AG119" i="8"/>
  <c r="AG118" i="8"/>
  <c r="AG116" i="8"/>
  <c r="AG114" i="8"/>
  <c r="AN107" i="8"/>
  <c r="AM107" i="8"/>
  <c r="AG106" i="8"/>
  <c r="AG105" i="8"/>
  <c r="AC104" i="8"/>
  <c r="AC105" i="8" s="1"/>
  <c r="AC106" i="8" s="1"/>
  <c r="AC107" i="8" s="1"/>
  <c r="AC108" i="8" s="1"/>
  <c r="AC109" i="8" s="1"/>
  <c r="AC110" i="8" s="1"/>
  <c r="AC111" i="8" s="1"/>
  <c r="AC112" i="8" s="1"/>
  <c r="AC113" i="8" s="1"/>
  <c r="AC114" i="8" s="1"/>
  <c r="AC115" i="8" s="1"/>
  <c r="AC116" i="8" s="1"/>
  <c r="AC117" i="8" s="1"/>
  <c r="AC118" i="8" s="1"/>
  <c r="AC119" i="8" s="1"/>
  <c r="AC120" i="8" s="1"/>
  <c r="C104" i="8"/>
  <c r="C105" i="8" s="1"/>
  <c r="E101" i="8"/>
  <c r="F101" i="8" s="1"/>
  <c r="G101" i="8" s="1"/>
  <c r="H101" i="8" s="1"/>
  <c r="I101" i="8" s="1"/>
  <c r="J101" i="8" s="1"/>
  <c r="K101" i="8" s="1"/>
  <c r="L101" i="8" s="1"/>
  <c r="M101" i="8" s="1"/>
  <c r="N101" i="8" s="1"/>
  <c r="O101" i="8" s="1"/>
  <c r="I98" i="8"/>
  <c r="H98" i="8"/>
  <c r="G98" i="8"/>
  <c r="F98" i="8"/>
  <c r="E98" i="8"/>
  <c r="D98" i="8"/>
  <c r="L68" i="8"/>
  <c r="C67" i="8"/>
  <c r="C68" i="8" s="1"/>
  <c r="D68" i="8" s="1"/>
  <c r="D66" i="8"/>
  <c r="E66" i="8" s="1"/>
  <c r="E65" i="8"/>
  <c r="AD102" i="8" s="1"/>
  <c r="D65" i="8"/>
  <c r="K45" i="8"/>
  <c r="L45" i="8" s="1"/>
  <c r="C43" i="8"/>
  <c r="C44" i="8" s="1"/>
  <c r="C45" i="8" s="1"/>
  <c r="C46" i="8" s="1"/>
  <c r="C47" i="8" s="1"/>
  <c r="C48" i="8" s="1"/>
  <c r="C49" i="8" s="1"/>
  <c r="C50" i="8" s="1"/>
  <c r="C51" i="8" s="1"/>
  <c r="C52" i="8" s="1"/>
  <c r="C53" i="8" s="1"/>
  <c r="L38" i="8"/>
  <c r="K38" i="8"/>
  <c r="J38" i="8"/>
  <c r="I38" i="8"/>
  <c r="L33" i="8"/>
  <c r="K33" i="8"/>
  <c r="J33" i="8"/>
  <c r="I33" i="8"/>
  <c r="L28" i="8"/>
  <c r="K28" i="8"/>
  <c r="J28" i="8"/>
  <c r="I28" i="8"/>
  <c r="D25" i="8"/>
  <c r="F24" i="8"/>
  <c r="F132" i="8" s="1"/>
  <c r="E24" i="8"/>
  <c r="E132" i="8" s="1"/>
  <c r="D24" i="8"/>
  <c r="D132" i="8" s="1"/>
  <c r="L23" i="8"/>
  <c r="K23" i="8"/>
  <c r="J23" i="8"/>
  <c r="I23" i="8"/>
  <c r="B13" i="8"/>
  <c r="T9" i="8"/>
  <c r="V8" i="8"/>
  <c r="V7" i="8" s="1"/>
  <c r="H280" i="10" l="1"/>
  <c r="G280" i="10"/>
  <c r="E280" i="10"/>
  <c r="D280" i="10"/>
  <c r="F280" i="10" s="1"/>
  <c r="J280" i="10" s="1"/>
  <c r="F104" i="8"/>
  <c r="F105" i="8"/>
  <c r="F102" i="8"/>
  <c r="F103" i="8"/>
  <c r="F124" i="8"/>
  <c r="AG103" i="8"/>
  <c r="E20" i="9"/>
  <c r="E57" i="9" s="1"/>
  <c r="AG108" i="8"/>
  <c r="E25" i="9"/>
  <c r="E62" i="9" s="1"/>
  <c r="O104" i="8"/>
  <c r="O105" i="8"/>
  <c r="O103" i="8"/>
  <c r="O102" i="8"/>
  <c r="O124" i="8"/>
  <c r="AD103" i="8"/>
  <c r="B20" i="9"/>
  <c r="L67" i="8"/>
  <c r="G104" i="8"/>
  <c r="G105" i="8"/>
  <c r="G124" i="8"/>
  <c r="G103" i="8"/>
  <c r="G102" i="8"/>
  <c r="G106" i="8"/>
  <c r="AG109" i="8"/>
  <c r="E26" i="9"/>
  <c r="E63" i="9" s="1"/>
  <c r="N104" i="8"/>
  <c r="N105" i="8"/>
  <c r="N102" i="8"/>
  <c r="N103" i="8"/>
  <c r="N124" i="8"/>
  <c r="M105" i="8"/>
  <c r="M102" i="8"/>
  <c r="M103" i="8"/>
  <c r="M124" i="8"/>
  <c r="M104" i="8"/>
  <c r="L124" i="8"/>
  <c r="L105" i="8"/>
  <c r="L102" i="8"/>
  <c r="L103" i="8"/>
  <c r="L106" i="8"/>
  <c r="L104" i="8"/>
  <c r="C69" i="8"/>
  <c r="AG120" i="8"/>
  <c r="E37" i="9"/>
  <c r="E74" i="9" s="1"/>
  <c r="K105" i="8"/>
  <c r="K102" i="8"/>
  <c r="K124" i="8"/>
  <c r="K103" i="8"/>
  <c r="K104" i="8"/>
  <c r="H104" i="8"/>
  <c r="H124" i="8"/>
  <c r="H105" i="8"/>
  <c r="H102" i="8"/>
  <c r="H103" i="8"/>
  <c r="J103" i="8"/>
  <c r="J124" i="8"/>
  <c r="J104" i="8"/>
  <c r="J105" i="8"/>
  <c r="J102" i="8"/>
  <c r="I103" i="8"/>
  <c r="I104" i="8"/>
  <c r="I124" i="8"/>
  <c r="I105" i="8"/>
  <c r="I102" i="8"/>
  <c r="AG110" i="8"/>
  <c r="AG112" i="8"/>
  <c r="E139" i="8"/>
  <c r="C21" i="9" s="1"/>
  <c r="F262" i="8"/>
  <c r="E264" i="8"/>
  <c r="G264" i="8" a="1"/>
  <c r="G264" i="8" s="1"/>
  <c r="AG117" i="8"/>
  <c r="E34" i="9"/>
  <c r="E71" i="9" s="1"/>
  <c r="AG104" i="8"/>
  <c r="E21" i="9"/>
  <c r="E58" i="9" s="1"/>
  <c r="AG111" i="8"/>
  <c r="E28" i="9"/>
  <c r="E65" i="9" s="1"/>
  <c r="F263" i="8"/>
  <c r="N264" i="8" s="1"/>
  <c r="N266" i="8" s="1"/>
  <c r="AG113" i="8"/>
  <c r="E30" i="9"/>
  <c r="E67" i="9" s="1"/>
  <c r="AE105" i="8" a="1"/>
  <c r="AE105" i="8" s="1"/>
  <c r="AE110" i="8" a="1"/>
  <c r="AE110" i="8" s="1"/>
  <c r="AE115" i="8" a="1"/>
  <c r="AE115" i="8" s="1"/>
  <c r="AE102" i="8" a="1"/>
  <c r="AE102" i="8" s="1"/>
  <c r="E124" i="8"/>
  <c r="AE116" i="8" a="1"/>
  <c r="AE116" i="8" s="1"/>
  <c r="T97" i="8" a="1"/>
  <c r="T97" i="8" s="1"/>
  <c r="V104" i="8" s="1"/>
  <c r="V106" i="8" s="1"/>
  <c r="AE106" i="8" a="1"/>
  <c r="AE106" i="8" s="1"/>
  <c r="AE111" i="8" a="1"/>
  <c r="AE111" i="8" s="1"/>
  <c r="AE117" i="8" a="1"/>
  <c r="AE117" i="8" s="1"/>
  <c r="E105" i="8"/>
  <c r="E102" i="8"/>
  <c r="AE112" i="8" a="1"/>
  <c r="AE112" i="8" s="1"/>
  <c r="AE107" i="8" a="1"/>
  <c r="AE107" i="8" s="1"/>
  <c r="AE113" i="8" a="1"/>
  <c r="AE113" i="8" s="1"/>
  <c r="AE118" i="8" a="1"/>
  <c r="AE118" i="8" s="1"/>
  <c r="AE108" i="8" a="1"/>
  <c r="AE108" i="8" s="1"/>
  <c r="E106" i="8"/>
  <c r="AE103" i="8" a="1"/>
  <c r="AE103" i="8" s="1"/>
  <c r="AE109" i="8" a="1"/>
  <c r="AE109" i="8" s="1"/>
  <c r="AE114" i="8" a="1"/>
  <c r="AE114" i="8" s="1"/>
  <c r="AE119" i="8" a="1"/>
  <c r="AE119" i="8" s="1"/>
  <c r="E103" i="8"/>
  <c r="AE104" i="8" a="1"/>
  <c r="AE104" i="8" s="1"/>
  <c r="AE120" i="8" a="1"/>
  <c r="AE120" i="8" s="1"/>
  <c r="E104" i="8"/>
  <c r="AG107" i="8"/>
  <c r="E24" i="9"/>
  <c r="E61" i="9" s="1"/>
  <c r="AG115" i="8"/>
  <c r="E32" i="9"/>
  <c r="E69" i="9" s="1"/>
  <c r="H215" i="8"/>
  <c r="O215" i="8" s="1"/>
  <c r="AF106" i="8"/>
  <c r="C23" i="9"/>
  <c r="H214" i="8"/>
  <c r="D139" i="8"/>
  <c r="M141" i="8"/>
  <c r="Q266" i="8"/>
  <c r="C106" i="8"/>
  <c r="J106" i="8" s="1"/>
  <c r="L217" i="8"/>
  <c r="D138" i="8"/>
  <c r="J262" i="8"/>
  <c r="G258" i="8"/>
  <c r="J254" i="8" s="1"/>
  <c r="P266" i="8"/>
  <c r="D265" i="8"/>
  <c r="C266" i="8"/>
  <c r="G266" i="8" s="1" a="1"/>
  <c r="G266" i="8" s="1"/>
  <c r="H265" i="8"/>
  <c r="G257" i="8"/>
  <c r="E265" i="8"/>
  <c r="D141" i="8"/>
  <c r="C217" i="8"/>
  <c r="E217" i="8" s="1" a="1"/>
  <c r="E217" i="8" s="1"/>
  <c r="H216" i="8"/>
  <c r="D67" i="8"/>
  <c r="E67" i="8" s="1"/>
  <c r="E25" i="8"/>
  <c r="C142" i="8"/>
  <c r="F25" i="8"/>
  <c r="E68" i="8"/>
  <c r="D137" i="8"/>
  <c r="D140" i="8"/>
  <c r="E140" i="8"/>
  <c r="M217" i="8"/>
  <c r="J263" i="8"/>
  <c r="R264" i="8" s="1"/>
  <c r="L69" i="8"/>
  <c r="D264" i="8"/>
  <c r="G256" i="8"/>
  <c r="AN106" i="8" l="1"/>
  <c r="P103" i="8"/>
  <c r="C58" i="9"/>
  <c r="AF104" i="8"/>
  <c r="R266" i="8"/>
  <c r="B47" i="9"/>
  <c r="B10" i="9"/>
  <c r="H106" i="8"/>
  <c r="O106" i="8"/>
  <c r="P102" i="8"/>
  <c r="F106" i="8"/>
  <c r="AD104" i="8"/>
  <c r="B21" i="9"/>
  <c r="B58" i="9" s="1"/>
  <c r="N58" i="9" s="1"/>
  <c r="K106" i="8"/>
  <c r="C60" i="9"/>
  <c r="P105" i="8"/>
  <c r="D22" i="9" s="1"/>
  <c r="D59" i="9" s="1"/>
  <c r="I106" i="8"/>
  <c r="B57" i="9"/>
  <c r="D20" i="9"/>
  <c r="D57" i="9" s="1"/>
  <c r="T104" i="8"/>
  <c r="AO106" i="8" s="1"/>
  <c r="P124" i="8"/>
  <c r="U104" i="8" s="1"/>
  <c r="U106" i="8" s="1"/>
  <c r="M106" i="8"/>
  <c r="N106" i="8"/>
  <c r="C70" i="8"/>
  <c r="D69" i="8"/>
  <c r="E69" i="8" s="1"/>
  <c r="P104" i="8"/>
  <c r="D21" i="9" s="1"/>
  <c r="D58" i="9" s="1"/>
  <c r="F264" i="8"/>
  <c r="J264" i="8" s="1"/>
  <c r="AD105" i="8"/>
  <c r="B22" i="9"/>
  <c r="B59" i="9" s="1"/>
  <c r="O217" i="8"/>
  <c r="AF105" i="8"/>
  <c r="C22" i="9"/>
  <c r="AH105" i="8"/>
  <c r="AH103" i="8"/>
  <c r="AM106" i="8" s="1"/>
  <c r="D266" i="8"/>
  <c r="E266" i="8"/>
  <c r="H266" i="8"/>
  <c r="C267" i="8"/>
  <c r="G267" i="8" s="1" a="1"/>
  <c r="G267" i="8" s="1"/>
  <c r="D142" i="8"/>
  <c r="C143" i="8"/>
  <c r="E142" i="8"/>
  <c r="L139" i="8"/>
  <c r="L141" i="8" s="1"/>
  <c r="C107" i="8"/>
  <c r="C218" i="8"/>
  <c r="E218" i="8" s="1" a="1"/>
  <c r="E218" i="8" s="1"/>
  <c r="H217" i="8"/>
  <c r="F265" i="8"/>
  <c r="J265" i="8" s="1"/>
  <c r="AH104" i="8"/>
  <c r="P106" i="8" l="1"/>
  <c r="D23" i="9" s="1"/>
  <c r="D60" i="9" s="1"/>
  <c r="D70" i="8"/>
  <c r="E70" i="8"/>
  <c r="C71" i="8"/>
  <c r="AD106" i="8"/>
  <c r="AH106" i="8" s="1"/>
  <c r="B23" i="9"/>
  <c r="N20" i="9"/>
  <c r="N21" i="9"/>
  <c r="N22" i="9"/>
  <c r="C59" i="9"/>
  <c r="N59" i="9" s="1"/>
  <c r="N57" i="9"/>
  <c r="M107" i="8"/>
  <c r="H107" i="8"/>
  <c r="G107" i="8"/>
  <c r="O107" i="8"/>
  <c r="K107" i="8"/>
  <c r="E107" i="8"/>
  <c r="F107" i="8"/>
  <c r="I107" i="8"/>
  <c r="L107" i="8"/>
  <c r="N107" i="8"/>
  <c r="J107" i="8"/>
  <c r="AF107" i="8"/>
  <c r="C24" i="9"/>
  <c r="E267" i="8"/>
  <c r="H267" i="8"/>
  <c r="C268" i="8"/>
  <c r="G268" i="8" s="1" a="1"/>
  <c r="G268" i="8" s="1"/>
  <c r="D267" i="8"/>
  <c r="F267" i="8" s="1"/>
  <c r="D143" i="8"/>
  <c r="E143" i="8"/>
  <c r="C144" i="8"/>
  <c r="C108" i="8"/>
  <c r="C219" i="8"/>
  <c r="E219" i="8" s="1" a="1"/>
  <c r="E219" i="8" s="1"/>
  <c r="H218" i="8"/>
  <c r="F266" i="8"/>
  <c r="J266" i="8" s="1"/>
  <c r="T106" i="8"/>
  <c r="B60" i="9" l="1"/>
  <c r="N60" i="9" s="1"/>
  <c r="N23" i="9"/>
  <c r="D71" i="8"/>
  <c r="C72" i="8"/>
  <c r="E71" i="8"/>
  <c r="O108" i="8"/>
  <c r="L108" i="8"/>
  <c r="K108" i="8"/>
  <c r="I108" i="8"/>
  <c r="J108" i="8"/>
  <c r="N108" i="8"/>
  <c r="M108" i="8"/>
  <c r="H108" i="8"/>
  <c r="F108" i="8"/>
  <c r="G108" i="8"/>
  <c r="E108" i="8"/>
  <c r="AD107" i="8"/>
  <c r="B24" i="9"/>
  <c r="B61" i="9" s="1"/>
  <c r="P107" i="8"/>
  <c r="D24" i="9" s="1"/>
  <c r="D61" i="9" s="1"/>
  <c r="N24" i="9"/>
  <c r="C61" i="9"/>
  <c r="AF108" i="8"/>
  <c r="C25" i="9"/>
  <c r="J267" i="8"/>
  <c r="E268" i="8"/>
  <c r="H268" i="8"/>
  <c r="D268" i="8"/>
  <c r="F268" i="8" s="1"/>
  <c r="C269" i="8"/>
  <c r="G269" i="8" s="1" a="1"/>
  <c r="G269" i="8" s="1"/>
  <c r="AH107" i="8"/>
  <c r="H219" i="8"/>
  <c r="C220" i="8"/>
  <c r="E220" i="8" s="1" a="1"/>
  <c r="E220" i="8" s="1"/>
  <c r="C145" i="8"/>
  <c r="D144" i="8"/>
  <c r="E144" i="8"/>
  <c r="AH102" i="8"/>
  <c r="AN108" i="8"/>
  <c r="C109" i="8"/>
  <c r="N61" i="9" l="1"/>
  <c r="C62" i="9"/>
  <c r="AD108" i="8"/>
  <c r="B25" i="9"/>
  <c r="B62" i="9" s="1"/>
  <c r="C73" i="8"/>
  <c r="D72" i="8"/>
  <c r="E72" i="8"/>
  <c r="K109" i="8"/>
  <c r="H109" i="8"/>
  <c r="L109" i="8"/>
  <c r="F109" i="8"/>
  <c r="M109" i="8"/>
  <c r="J109" i="8"/>
  <c r="G109" i="8"/>
  <c r="N109" i="8"/>
  <c r="O109" i="8"/>
  <c r="I109" i="8"/>
  <c r="E109" i="8"/>
  <c r="P108" i="8"/>
  <c r="D25" i="9" s="1"/>
  <c r="D62" i="9" s="1"/>
  <c r="AF109" i="8"/>
  <c r="C26" i="9"/>
  <c r="AM108" i="8"/>
  <c r="J268" i="8"/>
  <c r="E269" i="8"/>
  <c r="H269" i="8"/>
  <c r="D269" i="8"/>
  <c r="C270" i="8"/>
  <c r="G270" i="8" s="1" a="1"/>
  <c r="G270" i="8" s="1"/>
  <c r="AH108" i="8"/>
  <c r="C221" i="8"/>
  <c r="E221" i="8" s="1" a="1"/>
  <c r="E221" i="8" s="1"/>
  <c r="H220" i="8"/>
  <c r="C110" i="8"/>
  <c r="E145" i="8"/>
  <c r="C146" i="8"/>
  <c r="D145" i="8"/>
  <c r="AD109" i="8" l="1"/>
  <c r="B26" i="9"/>
  <c r="B63" i="9" s="1"/>
  <c r="N62" i="9"/>
  <c r="P109" i="8"/>
  <c r="D26" i="9" s="1"/>
  <c r="D63" i="9" s="1"/>
  <c r="N26" i="9"/>
  <c r="C63" i="9"/>
  <c r="C74" i="8"/>
  <c r="E73" i="8"/>
  <c r="D73" i="8"/>
  <c r="M110" i="8"/>
  <c r="H110" i="8"/>
  <c r="J110" i="8"/>
  <c r="E110" i="8"/>
  <c r="L110" i="8"/>
  <c r="G110" i="8"/>
  <c r="O110" i="8"/>
  <c r="I110" i="8"/>
  <c r="K110" i="8"/>
  <c r="F110" i="8"/>
  <c r="N110" i="8"/>
  <c r="N25" i="9"/>
  <c r="AF110" i="8"/>
  <c r="C27" i="9"/>
  <c r="F269" i="8"/>
  <c r="J269" i="8" s="1"/>
  <c r="AH109" i="8"/>
  <c r="C222" i="8"/>
  <c r="E222" i="8" s="1" a="1"/>
  <c r="E222" i="8" s="1"/>
  <c r="H221" i="8"/>
  <c r="D146" i="8"/>
  <c r="E146" i="8"/>
  <c r="C147" i="8"/>
  <c r="C111" i="8"/>
  <c r="E270" i="8"/>
  <c r="H270" i="8"/>
  <c r="D270" i="8"/>
  <c r="C271" i="8"/>
  <c r="G271" i="8" s="1" a="1"/>
  <c r="G271" i="8" s="1"/>
  <c r="C75" i="8" l="1"/>
  <c r="D74" i="8"/>
  <c r="E74" i="8" s="1"/>
  <c r="C64" i="9"/>
  <c r="N63" i="9"/>
  <c r="AD110" i="8"/>
  <c r="AH110" i="8" s="1"/>
  <c r="B27" i="9"/>
  <c r="B64" i="9" s="1"/>
  <c r="N111" i="8"/>
  <c r="K111" i="8"/>
  <c r="H111" i="8"/>
  <c r="I111" i="8"/>
  <c r="E111" i="8"/>
  <c r="J111" i="8"/>
  <c r="F111" i="8"/>
  <c r="O111" i="8"/>
  <c r="G111" i="8"/>
  <c r="L111" i="8"/>
  <c r="M111" i="8"/>
  <c r="P110" i="8"/>
  <c r="D27" i="9" s="1"/>
  <c r="D64" i="9" s="1"/>
  <c r="AF111" i="8"/>
  <c r="C28" i="9"/>
  <c r="E147" i="8"/>
  <c r="C148" i="8"/>
  <c r="D147" i="8"/>
  <c r="C272" i="8"/>
  <c r="G272" i="8" s="1" a="1"/>
  <c r="G272" i="8" s="1"/>
  <c r="D271" i="8"/>
  <c r="H271" i="8"/>
  <c r="E271" i="8"/>
  <c r="H222" i="8"/>
  <c r="C223" i="8"/>
  <c r="E223" i="8" s="1" a="1"/>
  <c r="E223" i="8" s="1"/>
  <c r="C112" i="8"/>
  <c r="F270" i="8"/>
  <c r="J270" i="8" s="1"/>
  <c r="N64" i="9" l="1"/>
  <c r="C65" i="9"/>
  <c r="AD111" i="8"/>
  <c r="B28" i="9"/>
  <c r="B65" i="9" s="1"/>
  <c r="O112" i="8"/>
  <c r="M112" i="8"/>
  <c r="K112" i="8"/>
  <c r="I112" i="8"/>
  <c r="E112" i="8"/>
  <c r="J112" i="8"/>
  <c r="F112" i="8"/>
  <c r="L112" i="8"/>
  <c r="N112" i="8"/>
  <c r="H112" i="8"/>
  <c r="G112" i="8"/>
  <c r="P111" i="8"/>
  <c r="D28" i="9" s="1"/>
  <c r="D65" i="9" s="1"/>
  <c r="N27" i="9"/>
  <c r="C76" i="8"/>
  <c r="D75" i="8"/>
  <c r="E75" i="8" s="1"/>
  <c r="AF112" i="8"/>
  <c r="C29" i="9"/>
  <c r="F271" i="8"/>
  <c r="J271" i="8" s="1"/>
  <c r="AH111" i="8"/>
  <c r="H272" i="8"/>
  <c r="C273" i="8"/>
  <c r="G273" i="8" s="1" a="1"/>
  <c r="G273" i="8" s="1"/>
  <c r="E272" i="8"/>
  <c r="D272" i="8"/>
  <c r="F272" i="8" s="1"/>
  <c r="C113" i="8"/>
  <c r="H223" i="8"/>
  <c r="C224" i="8"/>
  <c r="E224" i="8" s="1" a="1"/>
  <c r="E224" i="8" s="1"/>
  <c r="C149" i="8"/>
  <c r="E148" i="8"/>
  <c r="D148" i="8"/>
  <c r="N65" i="9" l="1"/>
  <c r="C66" i="9"/>
  <c r="AD112" i="8"/>
  <c r="B29" i="9"/>
  <c r="B66" i="9" s="1"/>
  <c r="D76" i="8"/>
  <c r="E76" i="8"/>
  <c r="C77" i="8"/>
  <c r="P112" i="8"/>
  <c r="D29" i="9" s="1"/>
  <c r="D66" i="9" s="1"/>
  <c r="N28" i="9"/>
  <c r="F113" i="8"/>
  <c r="L113" i="8"/>
  <c r="G113" i="8"/>
  <c r="N113" i="8"/>
  <c r="M113" i="8"/>
  <c r="H113" i="8"/>
  <c r="J113" i="8"/>
  <c r="K113" i="8"/>
  <c r="E113" i="8"/>
  <c r="O113" i="8"/>
  <c r="I113" i="8"/>
  <c r="AF113" i="8"/>
  <c r="C30" i="9"/>
  <c r="H273" i="8"/>
  <c r="E273" i="8"/>
  <c r="C274" i="8"/>
  <c r="G274" i="8" s="1" a="1"/>
  <c r="G274" i="8" s="1"/>
  <c r="D273" i="8"/>
  <c r="F273" i="8" s="1"/>
  <c r="D149" i="8"/>
  <c r="E149" i="8"/>
  <c r="C150" i="8"/>
  <c r="C225" i="8"/>
  <c r="E225" i="8" s="1" a="1"/>
  <c r="E225" i="8" s="1"/>
  <c r="H224" i="8"/>
  <c r="C114" i="8"/>
  <c r="J272" i="8"/>
  <c r="AH112" i="8"/>
  <c r="N66" i="9" l="1"/>
  <c r="D77" i="8"/>
  <c r="E77" i="8" s="1"/>
  <c r="C78" i="8"/>
  <c r="C67" i="9"/>
  <c r="AD113" i="8"/>
  <c r="AH113" i="8" s="1"/>
  <c r="B30" i="9"/>
  <c r="B67" i="9" s="1"/>
  <c r="P113" i="8"/>
  <c r="D30" i="9" s="1"/>
  <c r="D67" i="9" s="1"/>
  <c r="O114" i="8"/>
  <c r="H114" i="8"/>
  <c r="F114" i="8"/>
  <c r="J114" i="8"/>
  <c r="N114" i="8"/>
  <c r="M114" i="8"/>
  <c r="L114" i="8"/>
  <c r="I114" i="8"/>
  <c r="K114" i="8"/>
  <c r="G114" i="8"/>
  <c r="E114" i="8"/>
  <c r="N29" i="9"/>
  <c r="AF114" i="8"/>
  <c r="C31" i="9"/>
  <c r="J273" i="8"/>
  <c r="H274" i="8"/>
  <c r="E274" i="8"/>
  <c r="D274" i="8"/>
  <c r="F274" i="8" s="1"/>
  <c r="C275" i="8"/>
  <c r="G275" i="8" s="1" a="1"/>
  <c r="G275" i="8" s="1"/>
  <c r="C115" i="8"/>
  <c r="C226" i="8"/>
  <c r="E226" i="8" s="1" a="1"/>
  <c r="E226" i="8" s="1"/>
  <c r="H225" i="8"/>
  <c r="D150" i="8"/>
  <c r="E150" i="8"/>
  <c r="C151" i="8"/>
  <c r="N67" i="9" l="1"/>
  <c r="J115" i="8"/>
  <c r="N115" i="8"/>
  <c r="I115" i="8"/>
  <c r="G115" i="8"/>
  <c r="O115" i="8"/>
  <c r="K115" i="8"/>
  <c r="E115" i="8"/>
  <c r="P115" i="8" s="1"/>
  <c r="D32" i="9" s="1"/>
  <c r="D69" i="9" s="1"/>
  <c r="F115" i="8"/>
  <c r="L115" i="8"/>
  <c r="M115" i="8"/>
  <c r="H115" i="8"/>
  <c r="P114" i="8"/>
  <c r="D31" i="9" s="1"/>
  <c r="D68" i="9" s="1"/>
  <c r="C79" i="8"/>
  <c r="D78" i="8"/>
  <c r="E78" i="8" s="1"/>
  <c r="N31" i="9"/>
  <c r="C68" i="9"/>
  <c r="N30" i="9"/>
  <c r="AD114" i="8"/>
  <c r="B31" i="9"/>
  <c r="B68" i="9" s="1"/>
  <c r="AF115" i="8"/>
  <c r="C32" i="9"/>
  <c r="J274" i="8"/>
  <c r="C116" i="8"/>
  <c r="C152" i="8"/>
  <c r="E151" i="8"/>
  <c r="D151" i="8"/>
  <c r="E275" i="8"/>
  <c r="H275" i="8"/>
  <c r="C276" i="8"/>
  <c r="G276" i="8" s="1" a="1"/>
  <c r="G276" i="8" s="1"/>
  <c r="D275" i="8"/>
  <c r="AH114" i="8"/>
  <c r="H226" i="8"/>
  <c r="C227" i="8"/>
  <c r="E227" i="8" s="1" a="1"/>
  <c r="E227" i="8" s="1"/>
  <c r="N68" i="9" l="1"/>
  <c r="F116" i="8"/>
  <c r="G116" i="8"/>
  <c r="E116" i="8"/>
  <c r="H116" i="8"/>
  <c r="O116" i="8"/>
  <c r="L116" i="8"/>
  <c r="M116" i="8"/>
  <c r="N116" i="8"/>
  <c r="I116" i="8"/>
  <c r="J116" i="8"/>
  <c r="K116" i="8"/>
  <c r="AD115" i="8"/>
  <c r="B32" i="9"/>
  <c r="B69" i="9" s="1"/>
  <c r="N32" i="9"/>
  <c r="C69" i="9"/>
  <c r="D79" i="8"/>
  <c r="C80" i="8"/>
  <c r="E79" i="8"/>
  <c r="AF116" i="8"/>
  <c r="C33" i="9"/>
  <c r="AH115" i="8"/>
  <c r="H227" i="8"/>
  <c r="C228" i="8"/>
  <c r="E228" i="8" s="1" a="1"/>
  <c r="E228" i="8" s="1"/>
  <c r="C117" i="8"/>
  <c r="C153" i="8"/>
  <c r="D152" i="8"/>
  <c r="E152" i="8"/>
  <c r="F275" i="8"/>
  <c r="J275" i="8" s="1"/>
  <c r="E276" i="8"/>
  <c r="H276" i="8"/>
  <c r="D276" i="8"/>
  <c r="C277" i="8"/>
  <c r="G277" i="8" s="1" a="1"/>
  <c r="G277" i="8" s="1"/>
  <c r="C70" i="9" l="1"/>
  <c r="P116" i="8"/>
  <c r="D33" i="9" s="1"/>
  <c r="D70" i="9" s="1"/>
  <c r="C81" i="8"/>
  <c r="D80" i="8"/>
  <c r="E80" i="8" s="1"/>
  <c r="N69" i="9"/>
  <c r="E117" i="8"/>
  <c r="O117" i="8"/>
  <c r="I117" i="8"/>
  <c r="H117" i="8"/>
  <c r="F117" i="8"/>
  <c r="M117" i="8"/>
  <c r="K117" i="8"/>
  <c r="J117" i="8"/>
  <c r="G117" i="8"/>
  <c r="N117" i="8"/>
  <c r="L117" i="8"/>
  <c r="AD116" i="8"/>
  <c r="B33" i="9"/>
  <c r="B70" i="9" s="1"/>
  <c r="N70" i="9" s="1"/>
  <c r="F276" i="8"/>
  <c r="J276" i="8" s="1"/>
  <c r="AF117" i="8"/>
  <c r="C34" i="9"/>
  <c r="H277" i="8"/>
  <c r="E277" i="8"/>
  <c r="C278" i="8"/>
  <c r="G278" i="8" s="1" a="1"/>
  <c r="G278" i="8" s="1"/>
  <c r="D277" i="8"/>
  <c r="F277" i="8" s="1"/>
  <c r="D153" i="8"/>
  <c r="C154" i="8"/>
  <c r="E153" i="8"/>
  <c r="H228" i="8"/>
  <c r="C229" i="8"/>
  <c r="E229" i="8" s="1" a="1"/>
  <c r="E229" i="8" s="1"/>
  <c r="C118" i="8"/>
  <c r="AH116" i="8"/>
  <c r="AD117" i="8" l="1"/>
  <c r="B34" i="9"/>
  <c r="B71" i="9" s="1"/>
  <c r="C71" i="9"/>
  <c r="P117" i="8"/>
  <c r="D34" i="9" s="1"/>
  <c r="D71" i="9" s="1"/>
  <c r="N118" i="8"/>
  <c r="M118" i="8"/>
  <c r="K118" i="8"/>
  <c r="J118" i="8"/>
  <c r="L118" i="8"/>
  <c r="G118" i="8"/>
  <c r="O118" i="8"/>
  <c r="I118" i="8"/>
  <c r="F118" i="8"/>
  <c r="H118" i="8"/>
  <c r="E118" i="8"/>
  <c r="C82" i="8"/>
  <c r="D81" i="8"/>
  <c r="E81" i="8" s="1"/>
  <c r="N33" i="9"/>
  <c r="AF118" i="8"/>
  <c r="C35" i="9"/>
  <c r="J277" i="8"/>
  <c r="E154" i="8"/>
  <c r="C155" i="8"/>
  <c r="D154" i="8"/>
  <c r="AH117" i="8"/>
  <c r="E278" i="8"/>
  <c r="H278" i="8"/>
  <c r="C279" i="8"/>
  <c r="G279" i="8" s="1" a="1"/>
  <c r="G279" i="8" s="1"/>
  <c r="D278" i="8"/>
  <c r="C230" i="8"/>
  <c r="E230" i="8" s="1" a="1"/>
  <c r="E230" i="8" s="1"/>
  <c r="H229" i="8"/>
  <c r="C119" i="8"/>
  <c r="P118" i="8" l="1"/>
  <c r="D35" i="9" s="1"/>
  <c r="D72" i="9" s="1"/>
  <c r="C72" i="9"/>
  <c r="AD118" i="8"/>
  <c r="B35" i="9"/>
  <c r="B72" i="9" s="1"/>
  <c r="N72" i="9" s="1"/>
  <c r="M119" i="8"/>
  <c r="K119" i="8"/>
  <c r="H119" i="8"/>
  <c r="I119" i="8"/>
  <c r="F119" i="8"/>
  <c r="O119" i="8"/>
  <c r="G119" i="8"/>
  <c r="L119" i="8"/>
  <c r="N119" i="8"/>
  <c r="J119" i="8"/>
  <c r="E119" i="8"/>
  <c r="C83" i="8"/>
  <c r="D83" i="8" s="1"/>
  <c r="E83" i="8" s="1"/>
  <c r="D82" i="8"/>
  <c r="E82" i="8"/>
  <c r="N34" i="9"/>
  <c r="N71" i="9"/>
  <c r="AF119" i="8"/>
  <c r="C36" i="9"/>
  <c r="C120" i="8"/>
  <c r="F278" i="8"/>
  <c r="J278" i="8" s="1"/>
  <c r="E155" i="8"/>
  <c r="D155" i="8"/>
  <c r="AH118" i="8"/>
  <c r="C231" i="8"/>
  <c r="E231" i="8" s="1" a="1"/>
  <c r="E231" i="8" s="1"/>
  <c r="H230" i="8"/>
  <c r="C280" i="8"/>
  <c r="G280" i="8" s="1" a="1"/>
  <c r="G280" i="8" s="1"/>
  <c r="D279" i="8"/>
  <c r="E279" i="8"/>
  <c r="H279" i="8"/>
  <c r="G120" i="8" l="1"/>
  <c r="O120" i="8"/>
  <c r="M120" i="8"/>
  <c r="K120" i="8"/>
  <c r="I120" i="8"/>
  <c r="F120" i="8"/>
  <c r="L120" i="8"/>
  <c r="E120" i="8"/>
  <c r="J120" i="8"/>
  <c r="N120" i="8"/>
  <c r="H120" i="8"/>
  <c r="P119" i="8"/>
  <c r="D36" i="9" s="1"/>
  <c r="D73" i="9" s="1"/>
  <c r="N35" i="9"/>
  <c r="N36" i="9"/>
  <c r="C73" i="9"/>
  <c r="AD119" i="8"/>
  <c r="B36" i="9"/>
  <c r="B73" i="9" s="1"/>
  <c r="AD120" i="8"/>
  <c r="B37" i="9"/>
  <c r="B74" i="9" s="1"/>
  <c r="AF120" i="8"/>
  <c r="C37" i="9"/>
  <c r="F279" i="8"/>
  <c r="J279" i="8" s="1"/>
  <c r="H280" i="8"/>
  <c r="E280" i="8"/>
  <c r="D280" i="8"/>
  <c r="AH119" i="8"/>
  <c r="H231" i="8"/>
  <c r="C232" i="8"/>
  <c r="C74" i="9" l="1"/>
  <c r="E232" i="8" a="1"/>
  <c r="E232" i="8" s="1"/>
  <c r="H232" i="8" s="1"/>
  <c r="N73" i="9"/>
  <c r="P120" i="8"/>
  <c r="D37" i="9" s="1"/>
  <c r="D74" i="9" s="1"/>
  <c r="N74" i="9" s="1"/>
  <c r="F280" i="8"/>
  <c r="J280" i="8" s="1"/>
  <c r="AH120" i="8"/>
  <c r="N37" i="9" l="1"/>
  <c r="I280" i="5" l="1"/>
  <c r="I279" i="5"/>
  <c r="I278" i="5"/>
  <c r="I277" i="5"/>
  <c r="I276" i="5"/>
  <c r="I275" i="5"/>
  <c r="I274" i="5"/>
  <c r="I273" i="5"/>
  <c r="I272" i="5"/>
  <c r="I271" i="5"/>
  <c r="I270" i="5"/>
  <c r="I269" i="5"/>
  <c r="I268" i="5"/>
  <c r="I267" i="5"/>
  <c r="I266" i="5"/>
  <c r="I265" i="5"/>
  <c r="I264" i="5"/>
  <c r="C264" i="5"/>
  <c r="G264" i="5" s="1" a="1"/>
  <c r="G264" i="5" s="1"/>
  <c r="I263" i="5"/>
  <c r="H263" i="5"/>
  <c r="G263" i="5" a="1"/>
  <c r="G263" i="5" s="1"/>
  <c r="E263" i="5"/>
  <c r="D263" i="5"/>
  <c r="I262" i="5"/>
  <c r="Q264" i="5" s="1"/>
  <c r="H262" i="5"/>
  <c r="P264" i="5" s="1"/>
  <c r="G262" i="5"/>
  <c r="O264" i="5" s="1"/>
  <c r="G262" i="5" a="1"/>
  <c r="E262" i="5"/>
  <c r="D262" i="5"/>
  <c r="F256" i="5"/>
  <c r="F257" i="5" s="1"/>
  <c r="F258" i="5" s="1"/>
  <c r="E256" i="5"/>
  <c r="E257" i="5" s="1"/>
  <c r="E258" i="5" s="1"/>
  <c r="D256" i="5"/>
  <c r="D257" i="5" s="1"/>
  <c r="D258" i="5" s="1"/>
  <c r="D251" i="5"/>
  <c r="E251" i="5" s="1"/>
  <c r="O265" i="5" s="1"/>
  <c r="D250" i="5"/>
  <c r="E250" i="5" s="1"/>
  <c r="P265" i="5" s="1"/>
  <c r="D249" i="5"/>
  <c r="E249" i="5" s="1"/>
  <c r="N265" i="5" s="1"/>
  <c r="D248" i="5"/>
  <c r="E248" i="5" s="1"/>
  <c r="Q265" i="5" s="1"/>
  <c r="D247" i="5"/>
  <c r="E247" i="5" s="1"/>
  <c r="R265" i="5" s="1"/>
  <c r="F232" i="5"/>
  <c r="D232" i="5"/>
  <c r="F231" i="5"/>
  <c r="D231" i="5"/>
  <c r="F230" i="5"/>
  <c r="D230" i="5"/>
  <c r="F229" i="5"/>
  <c r="D229" i="5"/>
  <c r="F228" i="5"/>
  <c r="D228" i="5"/>
  <c r="F227" i="5"/>
  <c r="D227" i="5"/>
  <c r="F226" i="5"/>
  <c r="D226" i="5"/>
  <c r="F225" i="5"/>
  <c r="D225" i="5"/>
  <c r="F224" i="5"/>
  <c r="D224" i="5"/>
  <c r="F223" i="5"/>
  <c r="D223" i="5"/>
  <c r="F222" i="5"/>
  <c r="D222" i="5"/>
  <c r="F221" i="5"/>
  <c r="D221" i="5"/>
  <c r="F220" i="5"/>
  <c r="D220" i="5"/>
  <c r="F219" i="5"/>
  <c r="D219" i="5"/>
  <c r="F218" i="5"/>
  <c r="D218" i="5"/>
  <c r="F217" i="5"/>
  <c r="D217" i="5"/>
  <c r="F216" i="5"/>
  <c r="D216" i="5"/>
  <c r="C216" i="5"/>
  <c r="E216" i="5" s="1" a="1"/>
  <c r="E216" i="5" s="1"/>
  <c r="N215" i="5"/>
  <c r="F215" i="5"/>
  <c r="E215" i="5" a="1"/>
  <c r="E215" i="5" s="1"/>
  <c r="D215" i="5"/>
  <c r="F214" i="5"/>
  <c r="M215" i="5" s="1"/>
  <c r="E214" i="5" a="1"/>
  <c r="E214" i="5" s="1"/>
  <c r="L215" i="5" s="1"/>
  <c r="D214" i="5"/>
  <c r="K209" i="5"/>
  <c r="D209" i="5"/>
  <c r="E209" i="5" s="1"/>
  <c r="L216" i="5" s="1"/>
  <c r="D208" i="5"/>
  <c r="E208" i="5" s="1"/>
  <c r="M216" i="5" s="1"/>
  <c r="D207" i="5"/>
  <c r="E207" i="5" s="1"/>
  <c r="K216" i="5" s="1"/>
  <c r="D206" i="5"/>
  <c r="E206" i="5" s="1"/>
  <c r="N216" i="5" s="1"/>
  <c r="D205" i="5"/>
  <c r="E205" i="5" s="1"/>
  <c r="O216" i="5" s="1"/>
  <c r="D193" i="5"/>
  <c r="D192" i="5"/>
  <c r="D191" i="5"/>
  <c r="D190" i="5"/>
  <c r="I71" i="9" s="1"/>
  <c r="D189" i="5"/>
  <c r="I70" i="9" s="1"/>
  <c r="D188" i="5"/>
  <c r="I69" i="9" s="1"/>
  <c r="D187" i="5"/>
  <c r="D186" i="5"/>
  <c r="D185" i="5"/>
  <c r="D184" i="5"/>
  <c r="D183" i="5"/>
  <c r="D182" i="5"/>
  <c r="D181" i="5"/>
  <c r="I62" i="9" s="1"/>
  <c r="D180" i="5"/>
  <c r="I61" i="9" s="1"/>
  <c r="D179" i="5"/>
  <c r="D178" i="5"/>
  <c r="D177" i="5"/>
  <c r="C177" i="5"/>
  <c r="C178" i="5" s="1"/>
  <c r="C179" i="5" s="1"/>
  <c r="C180" i="5" s="1"/>
  <c r="C181" i="5" s="1"/>
  <c r="C182" i="5" s="1"/>
  <c r="C183" i="5" s="1"/>
  <c r="C184" i="5" s="1"/>
  <c r="C185" i="5" s="1"/>
  <c r="C186" i="5" s="1"/>
  <c r="C187" i="5" s="1"/>
  <c r="C188" i="5" s="1"/>
  <c r="C189" i="5" s="1"/>
  <c r="C190" i="5" s="1"/>
  <c r="C191" i="5" s="1"/>
  <c r="C192" i="5" s="1"/>
  <c r="C193" i="5" s="1"/>
  <c r="L176" i="5"/>
  <c r="D176" i="5"/>
  <c r="L175" i="5"/>
  <c r="D175" i="5"/>
  <c r="F168" i="5"/>
  <c r="F169" i="5" s="1"/>
  <c r="E168" i="5"/>
  <c r="E169" i="5" s="1"/>
  <c r="D168" i="5"/>
  <c r="D169" i="5" s="1"/>
  <c r="E167" i="5"/>
  <c r="L140" i="5"/>
  <c r="M140" i="5" s="1"/>
  <c r="C140" i="5"/>
  <c r="E140" i="5" s="1"/>
  <c r="M139" i="5"/>
  <c r="E139" i="5"/>
  <c r="C139" i="5"/>
  <c r="E138" i="5"/>
  <c r="G57" i="9" s="1"/>
  <c r="E137" i="5"/>
  <c r="Y117" i="5"/>
  <c r="Y116" i="5"/>
  <c r="Y115" i="5"/>
  <c r="Y108" i="5"/>
  <c r="AF107" i="5"/>
  <c r="AE107" i="5"/>
  <c r="Y107" i="5"/>
  <c r="U104" i="5"/>
  <c r="U105" i="5" s="1"/>
  <c r="U106" i="5" s="1"/>
  <c r="U107" i="5" s="1"/>
  <c r="U108" i="5" s="1"/>
  <c r="U109" i="5" s="1"/>
  <c r="U110" i="5" s="1"/>
  <c r="U111" i="5" s="1"/>
  <c r="U112" i="5" s="1"/>
  <c r="U113" i="5" s="1"/>
  <c r="U114" i="5" s="1"/>
  <c r="U115" i="5" s="1"/>
  <c r="U116" i="5" s="1"/>
  <c r="U117" i="5" s="1"/>
  <c r="U118" i="5" s="1"/>
  <c r="U119" i="5" s="1"/>
  <c r="U120" i="5" s="1"/>
  <c r="C104" i="5"/>
  <c r="C105" i="5" s="1"/>
  <c r="C106" i="5" s="1"/>
  <c r="C107" i="5" s="1"/>
  <c r="C108" i="5" s="1"/>
  <c r="X103" i="5"/>
  <c r="Y102" i="5"/>
  <c r="X102" i="5"/>
  <c r="E101" i="5"/>
  <c r="F101" i="5" s="1"/>
  <c r="G101" i="5" s="1"/>
  <c r="H101" i="5" s="1"/>
  <c r="I101" i="5" s="1"/>
  <c r="I97" i="5" a="1"/>
  <c r="I97" i="5" s="1"/>
  <c r="I98" i="5" s="1"/>
  <c r="I124" i="5" s="1"/>
  <c r="H97" i="5" a="1"/>
  <c r="H97" i="5" s="1"/>
  <c r="H98" i="5" s="1"/>
  <c r="H124" i="5" s="1"/>
  <c r="G97" i="5" a="1"/>
  <c r="G97" i="5" s="1"/>
  <c r="G98" i="5" s="1"/>
  <c r="G124" i="5" s="1"/>
  <c r="F97" i="5" a="1"/>
  <c r="F97" i="5" s="1"/>
  <c r="F98" i="5" s="1"/>
  <c r="F124" i="5" s="1"/>
  <c r="E97" i="5" a="1"/>
  <c r="E97" i="5" s="1"/>
  <c r="E98" i="5" s="1"/>
  <c r="E124" i="5" s="1"/>
  <c r="D97" i="5" a="1"/>
  <c r="D97" i="5" s="1"/>
  <c r="D98" i="5" s="1"/>
  <c r="L68" i="5"/>
  <c r="C67" i="5"/>
  <c r="C68" i="5" s="1"/>
  <c r="C69" i="5" s="1"/>
  <c r="D69" i="5" s="1"/>
  <c r="D66" i="5"/>
  <c r="E66" i="5" s="1"/>
  <c r="D65" i="5"/>
  <c r="E65" i="5" s="1"/>
  <c r="F47" i="5"/>
  <c r="F46" i="5"/>
  <c r="K45" i="5"/>
  <c r="L45" i="5" s="1"/>
  <c r="F45" i="5"/>
  <c r="F44" i="5"/>
  <c r="F43" i="5"/>
  <c r="C43" i="5"/>
  <c r="C44" i="5" s="1"/>
  <c r="C45" i="5" s="1"/>
  <c r="C46" i="5" s="1"/>
  <c r="C47" i="5" s="1"/>
  <c r="F42" i="5"/>
  <c r="L38" i="5"/>
  <c r="K38" i="5"/>
  <c r="J38" i="5"/>
  <c r="I38" i="5"/>
  <c r="L33" i="5"/>
  <c r="K33" i="5"/>
  <c r="J33" i="5"/>
  <c r="I33" i="5"/>
  <c r="L28" i="5"/>
  <c r="K28" i="5"/>
  <c r="J28" i="5"/>
  <c r="I28" i="5"/>
  <c r="F24" i="5"/>
  <c r="F132" i="5" s="1"/>
  <c r="E24" i="5"/>
  <c r="E132" i="5" s="1"/>
  <c r="D24" i="5"/>
  <c r="D25" i="5" s="1"/>
  <c r="L23" i="5"/>
  <c r="K23" i="5"/>
  <c r="J23" i="5"/>
  <c r="I23" i="5"/>
  <c r="B13" i="5"/>
  <c r="T9" i="5"/>
  <c r="V8" i="5"/>
  <c r="V7" i="5" s="1"/>
  <c r="I280" i="4"/>
  <c r="H280" i="4"/>
  <c r="G280" i="4"/>
  <c r="I279" i="4"/>
  <c r="H279" i="4"/>
  <c r="G279" i="4"/>
  <c r="I278" i="4"/>
  <c r="H278" i="4"/>
  <c r="G278" i="4"/>
  <c r="I277" i="4"/>
  <c r="H277" i="4"/>
  <c r="G277" i="4"/>
  <c r="I276" i="4"/>
  <c r="H276" i="4"/>
  <c r="G276" i="4"/>
  <c r="I275" i="4"/>
  <c r="H275" i="4"/>
  <c r="G275" i="4"/>
  <c r="I274" i="4"/>
  <c r="H274" i="4"/>
  <c r="G274" i="4"/>
  <c r="I273" i="4"/>
  <c r="H273" i="4"/>
  <c r="G273" i="4"/>
  <c r="I272" i="4"/>
  <c r="H272" i="4"/>
  <c r="G272" i="4"/>
  <c r="I271" i="4"/>
  <c r="H271" i="4"/>
  <c r="G271" i="4"/>
  <c r="I270" i="4"/>
  <c r="H270" i="4"/>
  <c r="G270" i="4"/>
  <c r="I269" i="4"/>
  <c r="H269" i="4"/>
  <c r="G269" i="4"/>
  <c r="I268" i="4"/>
  <c r="H268" i="4"/>
  <c r="G268" i="4"/>
  <c r="I267" i="4"/>
  <c r="H267" i="4"/>
  <c r="G267" i="4"/>
  <c r="I266" i="4"/>
  <c r="H266" i="4"/>
  <c r="G266" i="4"/>
  <c r="I265" i="4"/>
  <c r="H265" i="4"/>
  <c r="G265" i="4"/>
  <c r="P264" i="4"/>
  <c r="O264" i="4"/>
  <c r="I264" i="4"/>
  <c r="H264" i="4"/>
  <c r="G264" i="4"/>
  <c r="C264" i="4"/>
  <c r="C265" i="4" s="1"/>
  <c r="D265" i="4" s="1"/>
  <c r="I263" i="4"/>
  <c r="H263" i="4"/>
  <c r="G263" i="4"/>
  <c r="E263" i="4"/>
  <c r="F263" i="4" s="1"/>
  <c r="J263" i="4" s="1"/>
  <c r="D263" i="4"/>
  <c r="I262" i="4"/>
  <c r="Q264" i="4" s="1"/>
  <c r="H262" i="4"/>
  <c r="G262" i="4"/>
  <c r="E262" i="4"/>
  <c r="D262" i="4"/>
  <c r="F256" i="4"/>
  <c r="F257" i="4" s="1"/>
  <c r="E256" i="4"/>
  <c r="E257" i="4" s="1"/>
  <c r="E258" i="4" s="1"/>
  <c r="D256" i="4"/>
  <c r="D257" i="4" s="1"/>
  <c r="D258" i="4" s="1"/>
  <c r="D251" i="4"/>
  <c r="E251" i="4" s="1"/>
  <c r="O265" i="4" s="1"/>
  <c r="D250" i="4"/>
  <c r="E250" i="4" s="1"/>
  <c r="P265" i="4" s="1"/>
  <c r="D249" i="4"/>
  <c r="E249" i="4" s="1"/>
  <c r="N265" i="4" s="1"/>
  <c r="D248" i="4"/>
  <c r="E248" i="4" s="1"/>
  <c r="Q265" i="4" s="1"/>
  <c r="D247" i="4"/>
  <c r="E247" i="4" s="1"/>
  <c r="R265" i="4" s="1"/>
  <c r="D232" i="4"/>
  <c r="H232" i="4" s="1"/>
  <c r="D231" i="4"/>
  <c r="H231" i="4" s="1"/>
  <c r="D230" i="4"/>
  <c r="H230" i="4" s="1"/>
  <c r="D229" i="4"/>
  <c r="H229" i="4" s="1"/>
  <c r="D228" i="4"/>
  <c r="H228" i="4" s="1"/>
  <c r="D227" i="4"/>
  <c r="H227" i="4" s="1"/>
  <c r="D226" i="4"/>
  <c r="H226" i="4" s="1"/>
  <c r="D225" i="4"/>
  <c r="H225" i="4" s="1"/>
  <c r="D224" i="4"/>
  <c r="H224" i="4" s="1"/>
  <c r="H223" i="4"/>
  <c r="D223" i="4"/>
  <c r="D222" i="4"/>
  <c r="H222" i="4" s="1"/>
  <c r="D221" i="4"/>
  <c r="H221" i="4" s="1"/>
  <c r="D220" i="4"/>
  <c r="H220" i="4" s="1"/>
  <c r="D219" i="4"/>
  <c r="H219" i="4" s="1"/>
  <c r="D218" i="4"/>
  <c r="H218" i="4" s="1"/>
  <c r="D217" i="4"/>
  <c r="H217" i="4" s="1"/>
  <c r="D216" i="4"/>
  <c r="H216" i="4" s="1"/>
  <c r="C216" i="4"/>
  <c r="C217" i="4" s="1"/>
  <c r="C218" i="4" s="1"/>
  <c r="C219" i="4" s="1"/>
  <c r="C220" i="4" s="1"/>
  <c r="C221" i="4" s="1"/>
  <c r="C222" i="4" s="1"/>
  <c r="C223" i="4" s="1"/>
  <c r="C224" i="4" s="1"/>
  <c r="C225" i="4" s="1"/>
  <c r="C226" i="4" s="1"/>
  <c r="C227" i="4" s="1"/>
  <c r="C228" i="4" s="1"/>
  <c r="C229" i="4" s="1"/>
  <c r="C230" i="4" s="1"/>
  <c r="C231" i="4" s="1"/>
  <c r="C232" i="4" s="1"/>
  <c r="N215" i="4"/>
  <c r="N217" i="4" s="1"/>
  <c r="M215" i="4"/>
  <c r="L215" i="4"/>
  <c r="D215" i="4"/>
  <c r="H215" i="4" s="1"/>
  <c r="D214" i="4"/>
  <c r="H214" i="4" s="1"/>
  <c r="O215" i="4" s="1"/>
  <c r="K209" i="4"/>
  <c r="D209" i="4"/>
  <c r="E209" i="4" s="1"/>
  <c r="L216" i="4" s="1"/>
  <c r="D208" i="4"/>
  <c r="E208" i="4" s="1"/>
  <c r="M216" i="4" s="1"/>
  <c r="D207" i="4"/>
  <c r="E207" i="4" s="1"/>
  <c r="K216" i="4" s="1"/>
  <c r="D206" i="4"/>
  <c r="E206" i="4" s="1"/>
  <c r="N216" i="4" s="1"/>
  <c r="D205" i="4"/>
  <c r="E205" i="4" s="1"/>
  <c r="O216" i="4" s="1"/>
  <c r="D193" i="4"/>
  <c r="M37" i="9" s="1"/>
  <c r="D192" i="4"/>
  <c r="D191" i="4"/>
  <c r="D190" i="4"/>
  <c r="D189" i="4"/>
  <c r="M33" i="9" s="1"/>
  <c r="D188" i="4"/>
  <c r="D187" i="4"/>
  <c r="M31" i="9" s="1"/>
  <c r="D186" i="4"/>
  <c r="D185" i="4"/>
  <c r="D184" i="4"/>
  <c r="D183" i="4"/>
  <c r="M27" i="9" s="1"/>
  <c r="D182" i="4"/>
  <c r="D181" i="4"/>
  <c r="M25" i="9" s="1"/>
  <c r="D180" i="4"/>
  <c r="M24" i="9" s="1"/>
  <c r="D179" i="4"/>
  <c r="M23" i="9" s="1"/>
  <c r="D178" i="4"/>
  <c r="D177" i="4"/>
  <c r="C177" i="4"/>
  <c r="C178" i="4" s="1"/>
  <c r="C179" i="4" s="1"/>
  <c r="C180" i="4" s="1"/>
  <c r="C181" i="4" s="1"/>
  <c r="C182" i="4" s="1"/>
  <c r="C183" i="4" s="1"/>
  <c r="C184" i="4" s="1"/>
  <c r="C185" i="4" s="1"/>
  <c r="C186" i="4" s="1"/>
  <c r="C187" i="4" s="1"/>
  <c r="C188" i="4" s="1"/>
  <c r="C189" i="4" s="1"/>
  <c r="C190" i="4" s="1"/>
  <c r="C191" i="4" s="1"/>
  <c r="C192" i="4" s="1"/>
  <c r="C193" i="4" s="1"/>
  <c r="L176" i="4"/>
  <c r="D176" i="4"/>
  <c r="M20" i="9" s="1"/>
  <c r="L175" i="4"/>
  <c r="D175" i="4"/>
  <c r="Y102" i="4" s="1"/>
  <c r="E168" i="4"/>
  <c r="E169" i="4" s="1"/>
  <c r="D168" i="4"/>
  <c r="D169" i="4" s="1"/>
  <c r="D155" i="4"/>
  <c r="D154" i="4"/>
  <c r="D153" i="4"/>
  <c r="D152" i="4"/>
  <c r="D151" i="4"/>
  <c r="D150" i="4"/>
  <c r="D149" i="4"/>
  <c r="D148" i="4"/>
  <c r="K30" i="9" s="1"/>
  <c r="D147" i="4"/>
  <c r="D146" i="4"/>
  <c r="D145" i="4"/>
  <c r="K27" i="9" s="1"/>
  <c r="D144" i="4"/>
  <c r="D143" i="4"/>
  <c r="D142" i="4"/>
  <c r="D141" i="4"/>
  <c r="K23" i="9" s="1"/>
  <c r="L140" i="4"/>
  <c r="D140" i="4"/>
  <c r="L139" i="4"/>
  <c r="D139" i="4"/>
  <c r="C139" i="4"/>
  <c r="C140" i="4" s="1"/>
  <c r="C141" i="4" s="1"/>
  <c r="C142" i="4" s="1"/>
  <c r="C143" i="4" s="1"/>
  <c r="C144" i="4" s="1"/>
  <c r="C145" i="4" s="1"/>
  <c r="C146" i="4" s="1"/>
  <c r="C147" i="4" s="1"/>
  <c r="C148" i="4" s="1"/>
  <c r="C149" i="4" s="1"/>
  <c r="C150" i="4" s="1"/>
  <c r="C151" i="4" s="1"/>
  <c r="C152" i="4" s="1"/>
  <c r="C153" i="4" s="1"/>
  <c r="C154" i="4" s="1"/>
  <c r="C155" i="4" s="1"/>
  <c r="D138" i="4"/>
  <c r="K20" i="9" s="1"/>
  <c r="D137" i="4"/>
  <c r="E120" i="4"/>
  <c r="L37" i="9" s="1"/>
  <c r="D120" i="4"/>
  <c r="D119" i="4"/>
  <c r="E119" i="4" s="1"/>
  <c r="L36" i="9" s="1"/>
  <c r="D118" i="4"/>
  <c r="E118" i="4" s="1"/>
  <c r="L35" i="9" s="1"/>
  <c r="E117" i="4"/>
  <c r="L34" i="9" s="1"/>
  <c r="D117" i="4"/>
  <c r="Y116" i="4"/>
  <c r="D116" i="4"/>
  <c r="E116" i="4" s="1"/>
  <c r="L33" i="9" s="1"/>
  <c r="D115" i="4"/>
  <c r="E115" i="4" s="1"/>
  <c r="L32" i="9" s="1"/>
  <c r="Y114" i="4"/>
  <c r="D114" i="4"/>
  <c r="E114" i="4" s="1"/>
  <c r="L31" i="9" s="1"/>
  <c r="X113" i="4"/>
  <c r="D113" i="4"/>
  <c r="E113" i="4" s="1"/>
  <c r="L30" i="9" s="1"/>
  <c r="D112" i="4"/>
  <c r="E112" i="4" s="1"/>
  <c r="L29" i="9" s="1"/>
  <c r="D111" i="4"/>
  <c r="E111" i="4" s="1"/>
  <c r="L28" i="9" s="1"/>
  <c r="D110" i="4"/>
  <c r="E110" i="4" s="1"/>
  <c r="L27" i="9" s="1"/>
  <c r="D109" i="4"/>
  <c r="E109" i="4" s="1"/>
  <c r="L26" i="9" s="1"/>
  <c r="Y108" i="4"/>
  <c r="D108" i="4"/>
  <c r="E108" i="4" s="1"/>
  <c r="L25" i="9" s="1"/>
  <c r="AE107" i="4"/>
  <c r="Y107" i="4"/>
  <c r="D107" i="4"/>
  <c r="E107" i="4" s="1"/>
  <c r="L24" i="9" s="1"/>
  <c r="Y106" i="4"/>
  <c r="X106" i="4"/>
  <c r="D106" i="4"/>
  <c r="E106" i="4" s="1"/>
  <c r="L23" i="9" s="1"/>
  <c r="D105" i="4"/>
  <c r="E105" i="4" s="1"/>
  <c r="L22" i="9" s="1"/>
  <c r="U104" i="4"/>
  <c r="U105" i="4" s="1"/>
  <c r="U106" i="4" s="1"/>
  <c r="U107" i="4" s="1"/>
  <c r="U108" i="4" s="1"/>
  <c r="U109" i="4" s="1"/>
  <c r="U110" i="4" s="1"/>
  <c r="U111" i="4" s="1"/>
  <c r="U112" i="4" s="1"/>
  <c r="U113" i="4" s="1"/>
  <c r="U114" i="4" s="1"/>
  <c r="U115" i="4" s="1"/>
  <c r="U116" i="4" s="1"/>
  <c r="U117" i="4" s="1"/>
  <c r="U118" i="4" s="1"/>
  <c r="U119" i="4" s="1"/>
  <c r="U120" i="4" s="1"/>
  <c r="D104" i="4"/>
  <c r="E104" i="4" s="1"/>
  <c r="L21" i="9" s="1"/>
  <c r="C104" i="4"/>
  <c r="C105" i="4" s="1"/>
  <c r="C106" i="4" s="1"/>
  <c r="C107" i="4" s="1"/>
  <c r="C108" i="4" s="1"/>
  <c r="C109" i="4" s="1"/>
  <c r="C110" i="4" s="1"/>
  <c r="C111" i="4" s="1"/>
  <c r="C112" i="4" s="1"/>
  <c r="C113" i="4" s="1"/>
  <c r="C114" i="4" s="1"/>
  <c r="C115" i="4" s="1"/>
  <c r="C116" i="4" s="1"/>
  <c r="C117" i="4" s="1"/>
  <c r="C118" i="4" s="1"/>
  <c r="C119" i="4" s="1"/>
  <c r="C120" i="4" s="1"/>
  <c r="X103" i="4"/>
  <c r="D103" i="4"/>
  <c r="E103" i="4" s="1"/>
  <c r="L20" i="9" s="1"/>
  <c r="X102" i="4"/>
  <c r="D102" i="4"/>
  <c r="E102" i="4" s="1"/>
  <c r="M104" i="4" s="1"/>
  <c r="D97" i="4" a="1"/>
  <c r="D97" i="4" s="1"/>
  <c r="L68" i="4"/>
  <c r="C67" i="4"/>
  <c r="C68" i="4" s="1"/>
  <c r="D66" i="4"/>
  <c r="E66" i="4" s="1"/>
  <c r="D65" i="4"/>
  <c r="E65" i="4" s="1"/>
  <c r="V102" i="4" s="1"/>
  <c r="K45" i="4"/>
  <c r="L38" i="4"/>
  <c r="K38" i="4"/>
  <c r="J38" i="4"/>
  <c r="I38" i="4"/>
  <c r="L33" i="4"/>
  <c r="K33" i="4"/>
  <c r="J33" i="4"/>
  <c r="I33" i="4"/>
  <c r="L28" i="4"/>
  <c r="K28" i="4"/>
  <c r="J28" i="4"/>
  <c r="I28" i="4"/>
  <c r="F24" i="4"/>
  <c r="F25" i="4" s="1"/>
  <c r="E24" i="4"/>
  <c r="E25" i="4" s="1"/>
  <c r="D24" i="4"/>
  <c r="D25" i="4" s="1"/>
  <c r="L23" i="4"/>
  <c r="K23" i="4"/>
  <c r="J23" i="4"/>
  <c r="I23" i="4"/>
  <c r="B13" i="4"/>
  <c r="T9" i="4"/>
  <c r="V8" i="4"/>
  <c r="V7" i="4"/>
  <c r="Q264" i="3"/>
  <c r="C264" i="3"/>
  <c r="E264" i="3" s="1"/>
  <c r="H263" i="3"/>
  <c r="G263" i="3" a="1"/>
  <c r="G263" i="3" s="1"/>
  <c r="E263" i="3"/>
  <c r="D263" i="3"/>
  <c r="H262" i="3"/>
  <c r="P264" i="3" s="1"/>
  <c r="P266" i="3" s="1"/>
  <c r="G262" i="3"/>
  <c r="O264" i="3" s="1"/>
  <c r="O266" i="3" s="1"/>
  <c r="G262" i="3" a="1"/>
  <c r="E262" i="3"/>
  <c r="F262" i="3" s="1"/>
  <c r="D262" i="3"/>
  <c r="F256" i="3"/>
  <c r="F257" i="3" s="1"/>
  <c r="F258" i="3" s="1"/>
  <c r="E256" i="3"/>
  <c r="E257" i="3" s="1"/>
  <c r="E258" i="3" s="1"/>
  <c r="D256" i="3"/>
  <c r="D251" i="3"/>
  <c r="E251" i="3" s="1"/>
  <c r="O265" i="3" s="1"/>
  <c r="D250" i="3"/>
  <c r="E250" i="3" s="1"/>
  <c r="P265" i="3" s="1"/>
  <c r="D249" i="3"/>
  <c r="E249" i="3" s="1"/>
  <c r="N265" i="3" s="1"/>
  <c r="D248" i="3"/>
  <c r="E248" i="3" s="1"/>
  <c r="Q265" i="3" s="1"/>
  <c r="E247" i="3"/>
  <c r="R265" i="3" s="1"/>
  <c r="D247" i="3"/>
  <c r="F232" i="3"/>
  <c r="D232" i="3"/>
  <c r="F231" i="3"/>
  <c r="D231" i="3"/>
  <c r="F230" i="3"/>
  <c r="D230" i="3"/>
  <c r="F229" i="3"/>
  <c r="D229" i="3"/>
  <c r="F228" i="3"/>
  <c r="D228" i="3"/>
  <c r="F227" i="3"/>
  <c r="D227" i="3"/>
  <c r="F226" i="3"/>
  <c r="D226" i="3"/>
  <c r="F225" i="3"/>
  <c r="D225" i="3"/>
  <c r="F224" i="3"/>
  <c r="D224" i="3"/>
  <c r="F223" i="3"/>
  <c r="D223" i="3"/>
  <c r="F222" i="3"/>
  <c r="D222" i="3"/>
  <c r="F221" i="3"/>
  <c r="D221" i="3"/>
  <c r="F220" i="3"/>
  <c r="D220" i="3"/>
  <c r="F219" i="3"/>
  <c r="D219" i="3"/>
  <c r="F218" i="3"/>
  <c r="D218" i="3"/>
  <c r="M217" i="3"/>
  <c r="F217" i="3"/>
  <c r="D217" i="3"/>
  <c r="F216" i="3"/>
  <c r="D216" i="3"/>
  <c r="C216" i="3"/>
  <c r="C217" i="3" s="1"/>
  <c r="E217" i="3" s="1" a="1"/>
  <c r="E217" i="3" s="1"/>
  <c r="N215" i="3"/>
  <c r="N217" i="3" s="1"/>
  <c r="F215" i="3"/>
  <c r="E215" i="3" a="1"/>
  <c r="E215" i="3" s="1"/>
  <c r="D215" i="3"/>
  <c r="F214" i="3"/>
  <c r="M215" i="3" s="1"/>
  <c r="E214" i="3" a="1"/>
  <c r="E214" i="3" s="1"/>
  <c r="L215" i="3" s="1"/>
  <c r="L217" i="3" s="1"/>
  <c r="D214" i="3"/>
  <c r="K209" i="3"/>
  <c r="D209" i="3"/>
  <c r="E209" i="3" s="1"/>
  <c r="L216" i="3" s="1"/>
  <c r="D208" i="3"/>
  <c r="E208" i="3" s="1"/>
  <c r="M216" i="3" s="1"/>
  <c r="D207" i="3"/>
  <c r="E207" i="3" s="1"/>
  <c r="K216" i="3" s="1"/>
  <c r="D206" i="3"/>
  <c r="E206" i="3" s="1"/>
  <c r="N216" i="3" s="1"/>
  <c r="D205" i="3"/>
  <c r="E205" i="3" s="1"/>
  <c r="O216" i="3" s="1"/>
  <c r="D193" i="3"/>
  <c r="I37" i="9" s="1"/>
  <c r="D192" i="3"/>
  <c r="I36" i="9" s="1"/>
  <c r="D191" i="3"/>
  <c r="I35" i="9" s="1"/>
  <c r="D190" i="3"/>
  <c r="D189" i="3"/>
  <c r="I33" i="9" s="1"/>
  <c r="D188" i="3"/>
  <c r="I32" i="9" s="1"/>
  <c r="D187" i="3"/>
  <c r="D186" i="3"/>
  <c r="D185" i="3"/>
  <c r="I29" i="9" s="1"/>
  <c r="D184" i="3"/>
  <c r="I28" i="9" s="1"/>
  <c r="D183" i="3"/>
  <c r="I27" i="9" s="1"/>
  <c r="D182" i="3"/>
  <c r="D181" i="3"/>
  <c r="I25" i="9" s="1"/>
  <c r="D180" i="3"/>
  <c r="I24" i="9" s="1"/>
  <c r="D179" i="3"/>
  <c r="I23" i="9" s="1"/>
  <c r="D178" i="3"/>
  <c r="I22" i="9" s="1"/>
  <c r="C178" i="3"/>
  <c r="C179" i="3" s="1"/>
  <c r="C180" i="3" s="1"/>
  <c r="C181" i="3" s="1"/>
  <c r="C182" i="3" s="1"/>
  <c r="C183" i="3" s="1"/>
  <c r="C184" i="3" s="1"/>
  <c r="C185" i="3" s="1"/>
  <c r="C186" i="3" s="1"/>
  <c r="C187" i="3" s="1"/>
  <c r="C188" i="3" s="1"/>
  <c r="C189" i="3" s="1"/>
  <c r="C190" i="3" s="1"/>
  <c r="C191" i="3" s="1"/>
  <c r="C192" i="3" s="1"/>
  <c r="C193" i="3" s="1"/>
  <c r="D177" i="3"/>
  <c r="C177" i="3"/>
  <c r="L176" i="3"/>
  <c r="D176" i="3"/>
  <c r="I20" i="9" s="1"/>
  <c r="L175" i="3"/>
  <c r="L177" i="3" s="1"/>
  <c r="D175" i="3"/>
  <c r="AD102" i="3" s="1"/>
  <c r="C172" i="3"/>
  <c r="C10" i="9" s="1"/>
  <c r="E169" i="3"/>
  <c r="D169" i="3"/>
  <c r="F168" i="3"/>
  <c r="F169" i="3" s="1"/>
  <c r="E168" i="3"/>
  <c r="D168" i="3"/>
  <c r="E167" i="3"/>
  <c r="L140" i="3"/>
  <c r="M140" i="3" s="1"/>
  <c r="C139" i="3"/>
  <c r="E138" i="3"/>
  <c r="E137" i="3"/>
  <c r="AC102" i="3" s="1"/>
  <c r="AD118" i="3"/>
  <c r="AD116" i="3"/>
  <c r="AD112" i="3"/>
  <c r="AD110" i="3"/>
  <c r="AD108" i="3"/>
  <c r="AJ107" i="3"/>
  <c r="AD106" i="3"/>
  <c r="C105" i="3"/>
  <c r="C106" i="3" s="1"/>
  <c r="C107" i="3" s="1"/>
  <c r="C108" i="3" s="1"/>
  <c r="C109" i="3" s="1"/>
  <c r="C110" i="3" s="1"/>
  <c r="C111" i="3" s="1"/>
  <c r="C112" i="3" s="1"/>
  <c r="C113" i="3" s="1"/>
  <c r="C114" i="3" s="1"/>
  <c r="Z104" i="3"/>
  <c r="Z105" i="3" s="1"/>
  <c r="Z106" i="3" s="1"/>
  <c r="Z107" i="3" s="1"/>
  <c r="Z108" i="3" s="1"/>
  <c r="Z109" i="3" s="1"/>
  <c r="Z110" i="3" s="1"/>
  <c r="Z111" i="3" s="1"/>
  <c r="Z112" i="3" s="1"/>
  <c r="Z113" i="3" s="1"/>
  <c r="Z114" i="3" s="1"/>
  <c r="Z115" i="3" s="1"/>
  <c r="Z116" i="3" s="1"/>
  <c r="Z117" i="3" s="1"/>
  <c r="Z118" i="3" s="1"/>
  <c r="Z119" i="3" s="1"/>
  <c r="Z120" i="3" s="1"/>
  <c r="C104" i="3"/>
  <c r="AD103" i="3"/>
  <c r="E101" i="3"/>
  <c r="F101" i="3" s="1"/>
  <c r="G101" i="3" s="1"/>
  <c r="H101" i="3" s="1"/>
  <c r="I101" i="3" s="1"/>
  <c r="J101" i="3" s="1"/>
  <c r="K101" i="3" s="1"/>
  <c r="L101" i="3" s="1"/>
  <c r="L97" i="3" a="1"/>
  <c r="L97" i="3" s="1"/>
  <c r="L98" i="3" s="1"/>
  <c r="L124" i="3" s="1"/>
  <c r="K97" i="3" a="1"/>
  <c r="K97" i="3" s="1"/>
  <c r="K98" i="3" s="1"/>
  <c r="K124" i="3" s="1"/>
  <c r="J97" i="3" a="1"/>
  <c r="J97" i="3" s="1"/>
  <c r="J98" i="3" s="1"/>
  <c r="J124" i="3" s="1"/>
  <c r="I97" i="3" a="1"/>
  <c r="I97" i="3" s="1"/>
  <c r="I98" i="3" s="1"/>
  <c r="I124" i="3" s="1"/>
  <c r="H97" i="3" a="1"/>
  <c r="H97" i="3" s="1"/>
  <c r="H98" i="3" s="1"/>
  <c r="H124" i="3" s="1"/>
  <c r="G97" i="3" a="1"/>
  <c r="G97" i="3" s="1"/>
  <c r="G98" i="3" s="1"/>
  <c r="G124" i="3" s="1"/>
  <c r="F97" i="3" a="1"/>
  <c r="F97" i="3" s="1"/>
  <c r="F98" i="3" s="1"/>
  <c r="F124" i="3" s="1"/>
  <c r="E97" i="3" a="1"/>
  <c r="E97" i="3" s="1"/>
  <c r="E98" i="3" s="1"/>
  <c r="E124" i="3" s="1"/>
  <c r="D97" i="3" a="1"/>
  <c r="D97" i="3" s="1"/>
  <c r="D98" i="3" s="1"/>
  <c r="L68" i="3"/>
  <c r="C67" i="3"/>
  <c r="D66" i="3"/>
  <c r="E65" i="3"/>
  <c r="L67" i="3" s="1"/>
  <c r="D65" i="3"/>
  <c r="F50" i="3"/>
  <c r="F49" i="3"/>
  <c r="F48" i="3"/>
  <c r="F47" i="3"/>
  <c r="F46" i="3"/>
  <c r="K45" i="3"/>
  <c r="L45" i="3" s="1"/>
  <c r="F45" i="3"/>
  <c r="F44" i="3"/>
  <c r="F43" i="3"/>
  <c r="C43" i="3"/>
  <c r="C44" i="3" s="1"/>
  <c r="C45" i="3" s="1"/>
  <c r="C46" i="3" s="1"/>
  <c r="C47" i="3" s="1"/>
  <c r="C48" i="3" s="1"/>
  <c r="C49" i="3" s="1"/>
  <c r="C50" i="3" s="1"/>
  <c r="F42" i="3"/>
  <c r="L38" i="3"/>
  <c r="K38" i="3"/>
  <c r="J38" i="3"/>
  <c r="I38" i="3"/>
  <c r="L33" i="3"/>
  <c r="K33" i="3"/>
  <c r="J33" i="3"/>
  <c r="I33" i="3"/>
  <c r="L28" i="3"/>
  <c r="K28" i="3"/>
  <c r="J28" i="3"/>
  <c r="I28" i="3"/>
  <c r="F24" i="3"/>
  <c r="F132" i="3" s="1"/>
  <c r="E24" i="3"/>
  <c r="D24" i="3"/>
  <c r="D25" i="3" s="1"/>
  <c r="L23" i="3"/>
  <c r="K23" i="3"/>
  <c r="J23" i="3"/>
  <c r="I23" i="3"/>
  <c r="B13" i="3"/>
  <c r="T9" i="3"/>
  <c r="V8" i="3"/>
  <c r="V7" i="3" s="1"/>
  <c r="Y109" i="4" l="1"/>
  <c r="M26" i="9"/>
  <c r="Y117" i="4"/>
  <c r="M34" i="9"/>
  <c r="X117" i="4"/>
  <c r="K34" i="9"/>
  <c r="AD105" i="3"/>
  <c r="G20" i="9"/>
  <c r="AC103" i="3"/>
  <c r="H214" i="3"/>
  <c r="O215" i="3" s="1"/>
  <c r="D264" i="3"/>
  <c r="X104" i="4"/>
  <c r="K21" i="9"/>
  <c r="X118" i="4"/>
  <c r="K35" i="9"/>
  <c r="Y118" i="4"/>
  <c r="M35" i="9"/>
  <c r="W108" i="5" a="1"/>
  <c r="W108" i="5" s="1"/>
  <c r="W103" i="5" a="1"/>
  <c r="W103" i="5" s="1"/>
  <c r="W109" i="5" a="1"/>
  <c r="W109" i="5" s="1"/>
  <c r="W114" i="5" a="1"/>
  <c r="W114" i="5" s="1"/>
  <c r="W119" i="5" a="1"/>
  <c r="W119" i="5" s="1"/>
  <c r="D124" i="5"/>
  <c r="J124" i="5" s="1"/>
  <c r="O104" i="5" s="1"/>
  <c r="O106" i="5" s="1"/>
  <c r="W104" i="5" a="1"/>
  <c r="W104" i="5" s="1"/>
  <c r="W120" i="5" a="1"/>
  <c r="W120" i="5" s="1"/>
  <c r="W105" i="5" a="1"/>
  <c r="W105" i="5" s="1"/>
  <c r="W106" i="5" a="1"/>
  <c r="W106" i="5" s="1"/>
  <c r="N97" i="5" a="1"/>
  <c r="N97" i="5" s="1"/>
  <c r="P104" i="5" s="1"/>
  <c r="P106" i="5" s="1"/>
  <c r="W112" i="5" a="1"/>
  <c r="W112" i="5" s="1"/>
  <c r="W117" i="5" a="1"/>
  <c r="W117" i="5" s="1"/>
  <c r="W107" i="5" a="1"/>
  <c r="W107" i="5" s="1"/>
  <c r="W113" i="5" a="1"/>
  <c r="W113" i="5" s="1"/>
  <c r="W118" i="5" a="1"/>
  <c r="W118" i="5" s="1"/>
  <c r="W110" i="5" a="1"/>
  <c r="W110" i="5" s="1"/>
  <c r="W115" i="5" a="1"/>
  <c r="W115" i="5" s="1"/>
  <c r="W102" i="5" a="1"/>
  <c r="W102" i="5" s="1"/>
  <c r="W116" i="5" a="1"/>
  <c r="W116" i="5" s="1"/>
  <c r="W111" i="5" a="1"/>
  <c r="W111" i="5" s="1"/>
  <c r="X105" i="5"/>
  <c r="G59" i="9"/>
  <c r="Y103" i="5"/>
  <c r="I57" i="9"/>
  <c r="Y109" i="5"/>
  <c r="I63" i="9"/>
  <c r="L141" i="4"/>
  <c r="X111" i="4"/>
  <c r="K28" i="9"/>
  <c r="X119" i="4"/>
  <c r="K36" i="9"/>
  <c r="Y111" i="4"/>
  <c r="M28" i="9"/>
  <c r="Y119" i="4"/>
  <c r="M36" i="9"/>
  <c r="Y110" i="5"/>
  <c r="I64" i="9"/>
  <c r="Y118" i="5"/>
  <c r="I72" i="9"/>
  <c r="F25" i="3"/>
  <c r="AD107" i="3"/>
  <c r="AD115" i="3"/>
  <c r="AD114" i="3"/>
  <c r="I31" i="9"/>
  <c r="E216" i="3" a="1"/>
  <c r="E216" i="3" s="1"/>
  <c r="H264" i="3"/>
  <c r="V103" i="4"/>
  <c r="J20" i="9"/>
  <c r="X105" i="4"/>
  <c r="K22" i="9"/>
  <c r="X112" i="4"/>
  <c r="K29" i="9"/>
  <c r="X120" i="4"/>
  <c r="K37" i="9"/>
  <c r="Y104" i="4"/>
  <c r="M21" i="9"/>
  <c r="Y112" i="4"/>
  <c r="M29" i="9"/>
  <c r="V103" i="5"/>
  <c r="F57" i="9"/>
  <c r="Y111" i="5"/>
  <c r="I65" i="9"/>
  <c r="Y119" i="5"/>
  <c r="I73" i="9"/>
  <c r="E66" i="3"/>
  <c r="F20" i="9" s="1"/>
  <c r="Y105" i="4"/>
  <c r="M22" i="9"/>
  <c r="Y113" i="4"/>
  <c r="M30" i="9"/>
  <c r="Y104" i="5"/>
  <c r="I58" i="9"/>
  <c r="Y112" i="5"/>
  <c r="I66" i="9"/>
  <c r="Y120" i="5"/>
  <c r="I74" i="9"/>
  <c r="X109" i="4"/>
  <c r="K26" i="9"/>
  <c r="Q266" i="3"/>
  <c r="L67" i="4"/>
  <c r="L69" i="4" s="1"/>
  <c r="Y103" i="4"/>
  <c r="Y110" i="4"/>
  <c r="Y120" i="4"/>
  <c r="X114" i="4"/>
  <c r="K31" i="9"/>
  <c r="C172" i="4"/>
  <c r="D10" i="9" s="1"/>
  <c r="D67" i="5"/>
  <c r="E67" i="5" s="1"/>
  <c r="Y105" i="5"/>
  <c r="I59" i="9"/>
  <c r="Y113" i="5"/>
  <c r="I67" i="9"/>
  <c r="E10" i="9"/>
  <c r="AD113" i="3"/>
  <c r="I30" i="9"/>
  <c r="G264" i="3" a="1"/>
  <c r="G264" i="3" s="1"/>
  <c r="AD119" i="3"/>
  <c r="AD109" i="3"/>
  <c r="I26" i="9"/>
  <c r="AD117" i="3"/>
  <c r="I34" i="9"/>
  <c r="H215" i="3"/>
  <c r="C265" i="3"/>
  <c r="X107" i="4"/>
  <c r="K24" i="9"/>
  <c r="X115" i="4"/>
  <c r="K32" i="9"/>
  <c r="Y115" i="4"/>
  <c r="M32" i="9"/>
  <c r="Y106" i="5"/>
  <c r="I60" i="9"/>
  <c r="Y114" i="5"/>
  <c r="I68" i="9"/>
  <c r="N217" i="5"/>
  <c r="Q266" i="5"/>
  <c r="F262" i="5"/>
  <c r="N264" i="5" s="1"/>
  <c r="AD104" i="3"/>
  <c r="I21" i="9"/>
  <c r="X110" i="4"/>
  <c r="AD111" i="3"/>
  <c r="AD120" i="3"/>
  <c r="K215" i="3"/>
  <c r="K217" i="3" s="1"/>
  <c r="X108" i="4"/>
  <c r="K25" i="9"/>
  <c r="X116" i="4"/>
  <c r="K33" i="9"/>
  <c r="X104" i="5"/>
  <c r="G58" i="9"/>
  <c r="H215" i="5"/>
  <c r="AB102" i="3" a="1"/>
  <c r="AB102" i="3" s="1"/>
  <c r="R97" i="3" a="1"/>
  <c r="R97" i="3" s="1"/>
  <c r="D132" i="4"/>
  <c r="P266" i="4"/>
  <c r="E264" i="4"/>
  <c r="Z103" i="4"/>
  <c r="Q266" i="4"/>
  <c r="F262" i="4"/>
  <c r="N264" i="4" s="1"/>
  <c r="N266" i="4" s="1"/>
  <c r="E132" i="4"/>
  <c r="K215" i="4"/>
  <c r="K217" i="4" s="1"/>
  <c r="O266" i="4"/>
  <c r="L217" i="4"/>
  <c r="L177" i="4"/>
  <c r="M217" i="4"/>
  <c r="D124" i="3"/>
  <c r="M124" i="3" s="1"/>
  <c r="S104" i="3" s="1"/>
  <c r="S106" i="3" s="1"/>
  <c r="AB105" i="3" a="1"/>
  <c r="AB105" i="3" s="1"/>
  <c r="AB112" i="3" a="1"/>
  <c r="AB112" i="3" s="1"/>
  <c r="AB118" i="3" a="1"/>
  <c r="AB118" i="3" s="1"/>
  <c r="AB113" i="3" a="1"/>
  <c r="AB113" i="3" s="1"/>
  <c r="AB108" i="3" a="1"/>
  <c r="AB108" i="3" s="1"/>
  <c r="AB115" i="3" a="1"/>
  <c r="AB115" i="3" s="1"/>
  <c r="AB116" i="3" a="1"/>
  <c r="AB116" i="3" s="1"/>
  <c r="AB103" i="3" a="1"/>
  <c r="AB103" i="3" s="1"/>
  <c r="AB111" i="3" a="1"/>
  <c r="AB111" i="3" s="1"/>
  <c r="AB106" i="3" a="1"/>
  <c r="AB106" i="3" s="1"/>
  <c r="AB119" i="3" a="1"/>
  <c r="AB119" i="3" s="1"/>
  <c r="AB107" i="3" a="1"/>
  <c r="AB107" i="3" s="1"/>
  <c r="AB120" i="3" a="1"/>
  <c r="AB120" i="3" s="1"/>
  <c r="AB114" i="3" a="1"/>
  <c r="AB114" i="3" s="1"/>
  <c r="AB109" i="3" a="1"/>
  <c r="AB109" i="3" s="1"/>
  <c r="AB110" i="3" a="1"/>
  <c r="AB110" i="3" s="1"/>
  <c r="AB104" i="3" a="1"/>
  <c r="AB104" i="3" s="1"/>
  <c r="AB117" i="3" a="1"/>
  <c r="AB117" i="3" s="1"/>
  <c r="T104" i="3"/>
  <c r="T106" i="3" s="1"/>
  <c r="F105" i="5"/>
  <c r="F102" i="5"/>
  <c r="F107" i="5"/>
  <c r="F104" i="5"/>
  <c r="F106" i="5"/>
  <c r="F103" i="5"/>
  <c r="F108" i="5"/>
  <c r="G108" i="5"/>
  <c r="G105" i="5"/>
  <c r="G107" i="5"/>
  <c r="G104" i="5"/>
  <c r="G102" i="5"/>
  <c r="G106" i="5"/>
  <c r="G103" i="5"/>
  <c r="H103" i="5"/>
  <c r="H108" i="5"/>
  <c r="H105" i="5"/>
  <c r="H107" i="5"/>
  <c r="H104" i="5"/>
  <c r="H102" i="5"/>
  <c r="H106" i="5"/>
  <c r="I106" i="5"/>
  <c r="I103" i="5"/>
  <c r="I108" i="5"/>
  <c r="I105" i="5"/>
  <c r="I107" i="5"/>
  <c r="I102" i="5"/>
  <c r="I104" i="5"/>
  <c r="D105" i="5"/>
  <c r="D106" i="5"/>
  <c r="D102" i="5"/>
  <c r="D107" i="5"/>
  <c r="D108" i="5"/>
  <c r="D104" i="5"/>
  <c r="D103" i="5"/>
  <c r="E102" i="5"/>
  <c r="E107" i="5"/>
  <c r="E104" i="5"/>
  <c r="E106" i="5"/>
  <c r="E103" i="5"/>
  <c r="E108" i="5"/>
  <c r="E105" i="5"/>
  <c r="D132" i="5"/>
  <c r="D140" i="5" s="1"/>
  <c r="M141" i="5"/>
  <c r="D264" i="5"/>
  <c r="F25" i="5"/>
  <c r="C141" i="5"/>
  <c r="C142" i="5" s="1"/>
  <c r="C217" i="5"/>
  <c r="E25" i="5"/>
  <c r="L177" i="5"/>
  <c r="F263" i="5"/>
  <c r="J263" i="5" s="1"/>
  <c r="L104" i="3"/>
  <c r="L107" i="3"/>
  <c r="L110" i="3"/>
  <c r="L113" i="3"/>
  <c r="L103" i="3"/>
  <c r="L106" i="3"/>
  <c r="L108" i="3"/>
  <c r="L111" i="3"/>
  <c r="L105" i="3"/>
  <c r="L109" i="3"/>
  <c r="L114" i="3"/>
  <c r="L102" i="3"/>
  <c r="L112" i="3"/>
  <c r="E102" i="3"/>
  <c r="E103" i="3"/>
  <c r="E104" i="3"/>
  <c r="E105" i="3"/>
  <c r="E106" i="3"/>
  <c r="E107" i="3"/>
  <c r="E108" i="3"/>
  <c r="E109" i="3"/>
  <c r="E110" i="3"/>
  <c r="E111" i="3"/>
  <c r="E112" i="3"/>
  <c r="E113" i="3"/>
  <c r="E114" i="3"/>
  <c r="F102" i="3"/>
  <c r="F103" i="3"/>
  <c r="F104" i="3"/>
  <c r="F105" i="3"/>
  <c r="F106" i="3"/>
  <c r="F107" i="3"/>
  <c r="F108" i="3"/>
  <c r="F109" i="3"/>
  <c r="F110" i="3"/>
  <c r="F111" i="3"/>
  <c r="F112" i="3"/>
  <c r="F113" i="3"/>
  <c r="F114" i="3"/>
  <c r="D103" i="3"/>
  <c r="D111" i="3"/>
  <c r="D105" i="3"/>
  <c r="D102" i="3"/>
  <c r="D107" i="3"/>
  <c r="D108" i="3"/>
  <c r="D110" i="3"/>
  <c r="D104" i="3"/>
  <c r="D112" i="3"/>
  <c r="D113" i="3"/>
  <c r="D106" i="3"/>
  <c r="D114" i="3"/>
  <c r="D109" i="3"/>
  <c r="G103" i="3"/>
  <c r="G104" i="3"/>
  <c r="G105" i="3"/>
  <c r="G106" i="3"/>
  <c r="G107" i="3"/>
  <c r="G108" i="3"/>
  <c r="G109" i="3"/>
  <c r="G110" i="3"/>
  <c r="G111" i="3"/>
  <c r="G112" i="3"/>
  <c r="G113" i="3"/>
  <c r="G114" i="3"/>
  <c r="G102" i="3"/>
  <c r="H104" i="3"/>
  <c r="H103" i="3"/>
  <c r="H105" i="3"/>
  <c r="H106" i="3"/>
  <c r="H107" i="3"/>
  <c r="H108" i="3"/>
  <c r="H109" i="3"/>
  <c r="H110" i="3"/>
  <c r="H111" i="3"/>
  <c r="H112" i="3"/>
  <c r="H113" i="3"/>
  <c r="H114" i="3"/>
  <c r="H102" i="3"/>
  <c r="I104" i="3"/>
  <c r="I105" i="3"/>
  <c r="I106" i="3"/>
  <c r="I107" i="3"/>
  <c r="I108" i="3"/>
  <c r="I109" i="3"/>
  <c r="I110" i="3"/>
  <c r="I111" i="3"/>
  <c r="I112" i="3"/>
  <c r="I113" i="3"/>
  <c r="I114" i="3"/>
  <c r="I103" i="3"/>
  <c r="I102" i="3"/>
  <c r="J104" i="3"/>
  <c r="J106" i="3"/>
  <c r="J109" i="3"/>
  <c r="J103" i="3"/>
  <c r="J105" i="3"/>
  <c r="J108" i="3"/>
  <c r="J110" i="3"/>
  <c r="J111" i="3"/>
  <c r="J113" i="3"/>
  <c r="J114" i="3"/>
  <c r="J102" i="3"/>
  <c r="J107" i="3"/>
  <c r="J112" i="3"/>
  <c r="K102" i="3"/>
  <c r="K105" i="3"/>
  <c r="K106" i="3"/>
  <c r="K107" i="3"/>
  <c r="K109" i="3"/>
  <c r="K111" i="3"/>
  <c r="K114" i="3"/>
  <c r="K103" i="3"/>
  <c r="K113" i="3"/>
  <c r="K104" i="3"/>
  <c r="K110" i="3"/>
  <c r="K112" i="3"/>
  <c r="K108" i="3"/>
  <c r="M217" i="5"/>
  <c r="N266" i="5"/>
  <c r="P266" i="5"/>
  <c r="M139" i="3"/>
  <c r="AA102" i="3"/>
  <c r="F263" i="3"/>
  <c r="J263" i="3" s="1"/>
  <c r="C172" i="5"/>
  <c r="C47" i="9" s="1"/>
  <c r="E47" i="9" s="1"/>
  <c r="E104" i="9" s="1"/>
  <c r="C109" i="5"/>
  <c r="C110" i="5" s="1"/>
  <c r="H110" i="5" s="1"/>
  <c r="O266" i="5"/>
  <c r="H214" i="5"/>
  <c r="O215" i="5" s="1"/>
  <c r="O217" i="5" s="1"/>
  <c r="K215" i="5"/>
  <c r="K217" i="5" s="1"/>
  <c r="V102" i="5"/>
  <c r="L67" i="5"/>
  <c r="L69" i="5" s="1"/>
  <c r="D138" i="5"/>
  <c r="L217" i="5"/>
  <c r="E69" i="5"/>
  <c r="C70" i="5"/>
  <c r="G258" i="5"/>
  <c r="J254" i="5" s="1"/>
  <c r="C265" i="5"/>
  <c r="H264" i="5"/>
  <c r="D139" i="5"/>
  <c r="D68" i="5"/>
  <c r="E68" i="5" s="1"/>
  <c r="E264" i="5"/>
  <c r="F264" i="5" s="1"/>
  <c r="J264" i="5" s="1"/>
  <c r="D142" i="5"/>
  <c r="E141" i="5"/>
  <c r="G256" i="5"/>
  <c r="G257" i="5"/>
  <c r="H216" i="5"/>
  <c r="J262" i="5"/>
  <c r="R264" i="5" s="1"/>
  <c r="R266" i="5" s="1"/>
  <c r="C218" i="5"/>
  <c r="E217" i="5" a="1"/>
  <c r="E217" i="5" s="1"/>
  <c r="H217" i="5" s="1"/>
  <c r="E265" i="4"/>
  <c r="F265" i="4" s="1"/>
  <c r="J265" i="4" s="1"/>
  <c r="O217" i="4"/>
  <c r="M106" i="4"/>
  <c r="C69" i="4"/>
  <c r="D68" i="4"/>
  <c r="E68" i="4" s="1"/>
  <c r="G257" i="4"/>
  <c r="F258" i="4"/>
  <c r="G258" i="4" s="1"/>
  <c r="J254" i="4" s="1"/>
  <c r="Z102" i="4"/>
  <c r="AE106" i="4" s="1"/>
  <c r="AE108" i="4" s="1"/>
  <c r="F132" i="4"/>
  <c r="J262" i="4"/>
  <c r="R264" i="4" s="1"/>
  <c r="R266" i="4" s="1"/>
  <c r="C266" i="4"/>
  <c r="G256" i="4"/>
  <c r="D264" i="4"/>
  <c r="F264" i="4" s="1"/>
  <c r="J264" i="4" s="1"/>
  <c r="D67" i="4"/>
  <c r="E67" i="4" s="1"/>
  <c r="C115" i="3"/>
  <c r="C116" i="3" s="1"/>
  <c r="C117" i="3" s="1"/>
  <c r="D117" i="3" s="1"/>
  <c r="E25" i="3"/>
  <c r="E132" i="3"/>
  <c r="D67" i="3"/>
  <c r="E67" i="3" s="1"/>
  <c r="C68" i="3"/>
  <c r="M141" i="3"/>
  <c r="O217" i="3"/>
  <c r="C140" i="3"/>
  <c r="E139" i="3"/>
  <c r="D257" i="3"/>
  <c r="G256" i="3"/>
  <c r="L69" i="3"/>
  <c r="D132" i="3"/>
  <c r="N264" i="3"/>
  <c r="N266" i="3" s="1"/>
  <c r="J262" i="3"/>
  <c r="R264" i="3" s="1"/>
  <c r="R266" i="3" s="1"/>
  <c r="C218" i="3"/>
  <c r="F264" i="3"/>
  <c r="J264" i="3" s="1"/>
  <c r="H216" i="3"/>
  <c r="H217" i="3"/>
  <c r="E265" i="3"/>
  <c r="AA104" i="3" l="1"/>
  <c r="F21" i="9"/>
  <c r="V106" i="5"/>
  <c r="F60" i="9"/>
  <c r="D109" i="5"/>
  <c r="H109" i="5"/>
  <c r="X106" i="5"/>
  <c r="G60" i="9"/>
  <c r="D137" i="5"/>
  <c r="L139" i="5" s="1"/>
  <c r="L141" i="5" s="1"/>
  <c r="K117" i="3"/>
  <c r="I117" i="3"/>
  <c r="D115" i="3"/>
  <c r="F110" i="5"/>
  <c r="AF106" i="4"/>
  <c r="I116" i="3"/>
  <c r="H117" i="3"/>
  <c r="I109" i="5"/>
  <c r="I110" i="5"/>
  <c r="F109" i="5"/>
  <c r="J109" i="5" s="1"/>
  <c r="H63" i="9" s="1"/>
  <c r="F10" i="9"/>
  <c r="C117" i="9"/>
  <c r="C112" i="9"/>
  <c r="C104" i="9"/>
  <c r="C119" i="9"/>
  <c r="C120" i="9"/>
  <c r="C110" i="9"/>
  <c r="C118" i="9"/>
  <c r="C107" i="9"/>
  <c r="C108" i="9"/>
  <c r="C105" i="9"/>
  <c r="C111" i="9"/>
  <c r="C115" i="9"/>
  <c r="C116" i="9"/>
  <c r="C121" i="9"/>
  <c r="C114" i="9"/>
  <c r="C109" i="9"/>
  <c r="C106" i="9"/>
  <c r="C113" i="9"/>
  <c r="G21" i="9"/>
  <c r="AC104" i="3"/>
  <c r="I115" i="3"/>
  <c r="H116" i="3"/>
  <c r="F117" i="3"/>
  <c r="V104" i="4"/>
  <c r="Z104" i="4" s="1"/>
  <c r="J21" i="9"/>
  <c r="V105" i="5"/>
  <c r="F59" i="9"/>
  <c r="K116" i="3"/>
  <c r="H115" i="3"/>
  <c r="F116" i="3"/>
  <c r="L116" i="3"/>
  <c r="E110" i="5"/>
  <c r="F115" i="3"/>
  <c r="E109" i="5"/>
  <c r="G110" i="5"/>
  <c r="G117" i="3"/>
  <c r="E117" i="3"/>
  <c r="L117" i="3"/>
  <c r="L115" i="3"/>
  <c r="D110" i="5"/>
  <c r="G109" i="5"/>
  <c r="D139" i="3"/>
  <c r="V105" i="4"/>
  <c r="Z105" i="4" s="1"/>
  <c r="J22" i="9"/>
  <c r="F47" i="9"/>
  <c r="E109" i="9"/>
  <c r="E110" i="9"/>
  <c r="E112" i="9"/>
  <c r="E117" i="9"/>
  <c r="E118" i="9"/>
  <c r="E107" i="9"/>
  <c r="E113" i="9"/>
  <c r="E116" i="9"/>
  <c r="E111" i="9"/>
  <c r="E120" i="9"/>
  <c r="E106" i="9"/>
  <c r="E114" i="9"/>
  <c r="E115" i="9"/>
  <c r="E108" i="9"/>
  <c r="E119" i="9"/>
  <c r="E121" i="9"/>
  <c r="E105" i="9"/>
  <c r="K115" i="3"/>
  <c r="J117" i="3"/>
  <c r="G116" i="3"/>
  <c r="D116" i="3"/>
  <c r="M116" i="3" s="1"/>
  <c r="H33" i="9" s="1"/>
  <c r="E116" i="3"/>
  <c r="V104" i="5"/>
  <c r="F58" i="9"/>
  <c r="AA103" i="3"/>
  <c r="J115" i="3"/>
  <c r="J116" i="3"/>
  <c r="G115" i="3"/>
  <c r="E115" i="3"/>
  <c r="M115" i="3" s="1"/>
  <c r="H32" i="9" s="1"/>
  <c r="C266" i="3"/>
  <c r="D265" i="3"/>
  <c r="F265" i="3" s="1"/>
  <c r="J265" i="3" s="1"/>
  <c r="H265" i="3"/>
  <c r="G265" i="3" a="1"/>
  <c r="G265" i="3" s="1"/>
  <c r="E142" i="5"/>
  <c r="C143" i="5"/>
  <c r="D141" i="5"/>
  <c r="M103" i="3"/>
  <c r="J107" i="5"/>
  <c r="H61" i="9" s="1"/>
  <c r="E218" i="5" a="1"/>
  <c r="E218" i="5" s="1"/>
  <c r="H218" i="5" s="1"/>
  <c r="C219" i="5"/>
  <c r="J102" i="5"/>
  <c r="J105" i="5"/>
  <c r="D265" i="5"/>
  <c r="E265" i="5"/>
  <c r="H265" i="5"/>
  <c r="C266" i="5"/>
  <c r="G265" i="5" a="1"/>
  <c r="G265" i="5" s="1"/>
  <c r="C71" i="5"/>
  <c r="D70" i="5"/>
  <c r="E70" i="5" s="1"/>
  <c r="J104" i="5"/>
  <c r="J103" i="5"/>
  <c r="J106" i="5"/>
  <c r="J108" i="5"/>
  <c r="H62" i="9" s="1"/>
  <c r="J110" i="5"/>
  <c r="H64" i="9" s="1"/>
  <c r="C111" i="5"/>
  <c r="D266" i="4"/>
  <c r="E266" i="4"/>
  <c r="C267" i="4"/>
  <c r="D69" i="4"/>
  <c r="E69" i="4" s="1"/>
  <c r="C70" i="4"/>
  <c r="G257" i="3"/>
  <c r="D258" i="3"/>
  <c r="G258" i="3" s="1"/>
  <c r="J254" i="3" s="1"/>
  <c r="C69" i="3"/>
  <c r="D68" i="3"/>
  <c r="E68" i="3" s="1"/>
  <c r="M109" i="3"/>
  <c r="H26" i="9" s="1"/>
  <c r="M107" i="3"/>
  <c r="H24" i="9" s="1"/>
  <c r="M104" i="3"/>
  <c r="M105" i="3"/>
  <c r="H22" i="9" s="1"/>
  <c r="M110" i="3"/>
  <c r="H27" i="9" s="1"/>
  <c r="M102" i="3"/>
  <c r="E140" i="3"/>
  <c r="D140" i="3"/>
  <c r="C141" i="3"/>
  <c r="M106" i="3"/>
  <c r="H23" i="9" s="1"/>
  <c r="C118" i="3"/>
  <c r="M114" i="3"/>
  <c r="H31" i="9" s="1"/>
  <c r="M111" i="3"/>
  <c r="H28" i="9" s="1"/>
  <c r="M112" i="3"/>
  <c r="H29" i="9" s="1"/>
  <c r="M108" i="3"/>
  <c r="H25" i="9" s="1"/>
  <c r="D137" i="3"/>
  <c r="L139" i="3" s="1"/>
  <c r="D138" i="3"/>
  <c r="E218" i="3" a="1"/>
  <c r="E218" i="3" s="1"/>
  <c r="H218" i="3" s="1"/>
  <c r="C219" i="3"/>
  <c r="M113" i="3"/>
  <c r="H30" i="9" s="1"/>
  <c r="G266" i="3" l="1" a="1"/>
  <c r="G266" i="3" s="1"/>
  <c r="E266" i="3"/>
  <c r="D266" i="3"/>
  <c r="F266" i="3" s="1"/>
  <c r="J266" i="3" s="1"/>
  <c r="H266" i="3"/>
  <c r="C267" i="3"/>
  <c r="O60" i="9"/>
  <c r="P60" i="9" s="1"/>
  <c r="Q60" i="9" s="1"/>
  <c r="R60" i="9" s="1"/>
  <c r="V106" i="4"/>
  <c r="Z106" i="4" s="1"/>
  <c r="J23" i="9"/>
  <c r="Z103" i="5"/>
  <c r="H57" i="9"/>
  <c r="O57" i="9" s="1"/>
  <c r="P57" i="9" s="1"/>
  <c r="Q57" i="9" s="1"/>
  <c r="R57" i="9" s="1"/>
  <c r="X107" i="5"/>
  <c r="G61" i="9"/>
  <c r="G22" i="9"/>
  <c r="AC105" i="3"/>
  <c r="Z106" i="5"/>
  <c r="H60" i="9"/>
  <c r="K118" i="3"/>
  <c r="E118" i="3"/>
  <c r="D118" i="3"/>
  <c r="G118" i="3"/>
  <c r="I118" i="3"/>
  <c r="F118" i="3"/>
  <c r="J118" i="3"/>
  <c r="L118" i="3"/>
  <c r="H118" i="3"/>
  <c r="O22" i="9"/>
  <c r="P22" i="9" s="1"/>
  <c r="Q22" i="9" s="1"/>
  <c r="R22" i="9" s="1"/>
  <c r="Z104" i="5"/>
  <c r="H58" i="9"/>
  <c r="F265" i="5"/>
  <c r="AG106" i="5"/>
  <c r="V107" i="5"/>
  <c r="Z107" i="5" s="1"/>
  <c r="F61" i="9"/>
  <c r="O61" i="9" s="1"/>
  <c r="P61" i="9" s="1"/>
  <c r="Q61" i="9" s="1"/>
  <c r="R61" i="9" s="1"/>
  <c r="AA105" i="3"/>
  <c r="AE105" i="3" s="1"/>
  <c r="F22" i="9"/>
  <c r="Z105" i="5"/>
  <c r="H59" i="9"/>
  <c r="O59" i="9"/>
  <c r="P59" i="9" s="1"/>
  <c r="Q59" i="9" s="1"/>
  <c r="R59" i="9" s="1"/>
  <c r="F111" i="5"/>
  <c r="H111" i="5"/>
  <c r="D111" i="5"/>
  <c r="G111" i="5"/>
  <c r="I111" i="5"/>
  <c r="E111" i="5"/>
  <c r="O58" i="9"/>
  <c r="P58" i="9" s="1"/>
  <c r="Q58" i="9" s="1"/>
  <c r="R58" i="9" s="1"/>
  <c r="AE103" i="3"/>
  <c r="H20" i="9"/>
  <c r="O20" i="9" s="1"/>
  <c r="P20" i="9" s="1"/>
  <c r="Q20" i="9" s="1"/>
  <c r="R20" i="9" s="1"/>
  <c r="AK106" i="3"/>
  <c r="AE104" i="3"/>
  <c r="H21" i="9"/>
  <c r="O21" i="9" s="1"/>
  <c r="P21" i="9" s="1"/>
  <c r="Q21" i="9" s="1"/>
  <c r="R21" i="9" s="1"/>
  <c r="C144" i="5"/>
  <c r="D143" i="5"/>
  <c r="E143" i="5"/>
  <c r="J265" i="5"/>
  <c r="M117" i="3"/>
  <c r="H34" i="9" s="1"/>
  <c r="D71" i="5"/>
  <c r="E71" i="5" s="1"/>
  <c r="C72" i="5"/>
  <c r="C112" i="5"/>
  <c r="N104" i="5"/>
  <c r="N106" i="5" s="1"/>
  <c r="E266" i="5"/>
  <c r="H266" i="5"/>
  <c r="C267" i="5"/>
  <c r="G266" i="5" a="1"/>
  <c r="G266" i="5" s="1"/>
  <c r="D266" i="5"/>
  <c r="E219" i="5" a="1"/>
  <c r="E219" i="5" s="1"/>
  <c r="H219" i="5" s="1"/>
  <c r="C220" i="5"/>
  <c r="D70" i="4"/>
  <c r="E70" i="4" s="1"/>
  <c r="C71" i="4"/>
  <c r="E267" i="4"/>
  <c r="D267" i="4"/>
  <c r="C268" i="4"/>
  <c r="F266" i="4"/>
  <c r="J266" i="4" s="1"/>
  <c r="L141" i="3"/>
  <c r="R104" i="3"/>
  <c r="R106" i="3" s="1"/>
  <c r="AE102" i="3"/>
  <c r="E219" i="3" a="1"/>
  <c r="E219" i="3" s="1"/>
  <c r="H219" i="3" s="1"/>
  <c r="C220" i="3"/>
  <c r="C142" i="3"/>
  <c r="E141" i="3"/>
  <c r="D141" i="3"/>
  <c r="D69" i="3"/>
  <c r="E69" i="3"/>
  <c r="C70" i="3"/>
  <c r="C119" i="3"/>
  <c r="H105" i="9" l="1"/>
  <c r="T21" i="9"/>
  <c r="H267" i="3"/>
  <c r="D267" i="3"/>
  <c r="F267" i="3" s="1"/>
  <c r="G267" i="3" a="1"/>
  <c r="G267" i="3" s="1"/>
  <c r="E267" i="3"/>
  <c r="C268" i="3"/>
  <c r="T57" i="9"/>
  <c r="J104" i="9"/>
  <c r="V107" i="4"/>
  <c r="Z107" i="4" s="1"/>
  <c r="J24" i="9"/>
  <c r="AA106" i="3"/>
  <c r="F23" i="9"/>
  <c r="E112" i="5"/>
  <c r="F112" i="5"/>
  <c r="I112" i="5"/>
  <c r="H112" i="5"/>
  <c r="D112" i="5"/>
  <c r="G112" i="5"/>
  <c r="H119" i="3"/>
  <c r="I119" i="3"/>
  <c r="J119" i="3"/>
  <c r="L119" i="3"/>
  <c r="D119" i="3"/>
  <c r="E119" i="3"/>
  <c r="G119" i="3"/>
  <c r="K119" i="3"/>
  <c r="F119" i="3"/>
  <c r="X108" i="5"/>
  <c r="G62" i="9"/>
  <c r="T20" i="9"/>
  <c r="H104" i="9"/>
  <c r="J108" i="9"/>
  <c r="T61" i="9"/>
  <c r="T22" i="9"/>
  <c r="H106" i="9"/>
  <c r="V108" i="5"/>
  <c r="Z108" i="5" s="1"/>
  <c r="F62" i="9"/>
  <c r="O62" i="9" s="1"/>
  <c r="P62" i="9" s="1"/>
  <c r="Q62" i="9" s="1"/>
  <c r="R62" i="9" s="1"/>
  <c r="T59" i="9"/>
  <c r="J106" i="9"/>
  <c r="J107" i="9"/>
  <c r="T60" i="9"/>
  <c r="G23" i="9"/>
  <c r="AC106" i="3"/>
  <c r="J105" i="9"/>
  <c r="T58" i="9"/>
  <c r="F267" i="4"/>
  <c r="J267" i="4" s="1"/>
  <c r="AJ106" i="3"/>
  <c r="AJ108" i="3" s="1"/>
  <c r="C145" i="5"/>
  <c r="E144" i="5"/>
  <c r="D144" i="5"/>
  <c r="C221" i="5"/>
  <c r="E220" i="5" a="1"/>
  <c r="E220" i="5" s="1"/>
  <c r="H220" i="5" s="1"/>
  <c r="J111" i="5"/>
  <c r="H65" i="9" s="1"/>
  <c r="D72" i="5"/>
  <c r="E72" i="5" s="1"/>
  <c r="C73" i="5"/>
  <c r="F266" i="5"/>
  <c r="J266" i="5" s="1"/>
  <c r="AF106" i="5"/>
  <c r="AF108" i="5" s="1"/>
  <c r="Z102" i="5"/>
  <c r="AE106" i="5" s="1"/>
  <c r="AE108" i="5" s="1"/>
  <c r="G267" i="5" a="1"/>
  <c r="G267" i="5" s="1"/>
  <c r="H267" i="5"/>
  <c r="E267" i="5"/>
  <c r="D267" i="5"/>
  <c r="C268" i="5"/>
  <c r="C113" i="5"/>
  <c r="E268" i="4"/>
  <c r="D268" i="4"/>
  <c r="F268" i="4" s="1"/>
  <c r="J268" i="4" s="1"/>
  <c r="C269" i="4"/>
  <c r="C72" i="4"/>
  <c r="D71" i="4"/>
  <c r="E71" i="4" s="1"/>
  <c r="D142" i="3"/>
  <c r="E142" i="3"/>
  <c r="C143" i="3"/>
  <c r="M118" i="3"/>
  <c r="H35" i="9" s="1"/>
  <c r="AE106" i="3"/>
  <c r="C120" i="3"/>
  <c r="C221" i="3"/>
  <c r="E220" i="3" a="1"/>
  <c r="E220" i="3" s="1"/>
  <c r="H220" i="3" s="1"/>
  <c r="C71" i="3"/>
  <c r="D70" i="3"/>
  <c r="E70" i="3" s="1"/>
  <c r="V108" i="4" l="1"/>
  <c r="Z108" i="4" s="1"/>
  <c r="J25" i="9"/>
  <c r="V109" i="5"/>
  <c r="Z109" i="5" s="1"/>
  <c r="F63" i="9"/>
  <c r="O63" i="9" s="1"/>
  <c r="P63" i="9" s="1"/>
  <c r="Q63" i="9" s="1"/>
  <c r="R63" i="9" s="1"/>
  <c r="E268" i="3"/>
  <c r="C269" i="3"/>
  <c r="D268" i="3"/>
  <c r="H268" i="3"/>
  <c r="G268" i="3" a="1"/>
  <c r="G268" i="3" s="1"/>
  <c r="J267" i="3"/>
  <c r="F120" i="3"/>
  <c r="H120" i="3"/>
  <c r="I120" i="3"/>
  <c r="K120" i="3"/>
  <c r="L120" i="3"/>
  <c r="E120" i="3"/>
  <c r="D120" i="3"/>
  <c r="G120" i="3"/>
  <c r="J120" i="3"/>
  <c r="AA107" i="3"/>
  <c r="F24" i="9"/>
  <c r="O24" i="9" s="1"/>
  <c r="P24" i="9" s="1"/>
  <c r="Q24" i="9" s="1"/>
  <c r="R24" i="9" s="1"/>
  <c r="G24" i="9"/>
  <c r="AC107" i="3"/>
  <c r="J109" i="9"/>
  <c r="T62" i="9"/>
  <c r="D113" i="5"/>
  <c r="G113" i="5"/>
  <c r="I113" i="5"/>
  <c r="E113" i="5"/>
  <c r="F113" i="5"/>
  <c r="H113" i="5"/>
  <c r="X109" i="5"/>
  <c r="G63" i="9"/>
  <c r="O23" i="9"/>
  <c r="P23" i="9" s="1"/>
  <c r="Q23" i="9" s="1"/>
  <c r="R23" i="9" s="1"/>
  <c r="F267" i="5"/>
  <c r="J267" i="5" s="1"/>
  <c r="C146" i="5"/>
  <c r="E145" i="5"/>
  <c r="D145" i="5"/>
  <c r="AE107" i="3"/>
  <c r="J112" i="5"/>
  <c r="H66" i="9" s="1"/>
  <c r="C74" i="5"/>
  <c r="D73" i="5"/>
  <c r="E73" i="5" s="1"/>
  <c r="G268" i="5" a="1"/>
  <c r="G268" i="5" s="1"/>
  <c r="H268" i="5"/>
  <c r="E268" i="5"/>
  <c r="D268" i="5"/>
  <c r="C269" i="5"/>
  <c r="C114" i="5"/>
  <c r="C222" i="5"/>
  <c r="E221" i="5" a="1"/>
  <c r="E221" i="5" s="1"/>
  <c r="H221" i="5" s="1"/>
  <c r="E269" i="4"/>
  <c r="D269" i="4"/>
  <c r="F269" i="4" s="1"/>
  <c r="J269" i="4" s="1"/>
  <c r="C270" i="4"/>
  <c r="C73" i="4"/>
  <c r="D72" i="4"/>
  <c r="E72" i="4" s="1"/>
  <c r="E143" i="3"/>
  <c r="C144" i="3"/>
  <c r="D143" i="3"/>
  <c r="E221" i="3" a="1"/>
  <c r="E221" i="3" s="1"/>
  <c r="H221" i="3" s="1"/>
  <c r="C222" i="3"/>
  <c r="C72" i="3"/>
  <c r="D71" i="3"/>
  <c r="E71" i="3" s="1"/>
  <c r="M119" i="3"/>
  <c r="H36" i="9" s="1"/>
  <c r="AA108" i="3" l="1"/>
  <c r="F25" i="9"/>
  <c r="V110" i="5"/>
  <c r="F64" i="9"/>
  <c r="G25" i="9"/>
  <c r="AC108" i="3"/>
  <c r="F114" i="5"/>
  <c r="D114" i="5"/>
  <c r="H114" i="5"/>
  <c r="G114" i="5"/>
  <c r="I114" i="5"/>
  <c r="E114" i="5"/>
  <c r="J110" i="9"/>
  <c r="T63" i="9"/>
  <c r="T23" i="9"/>
  <c r="H107" i="9"/>
  <c r="F268" i="5"/>
  <c r="X110" i="5"/>
  <c r="G64" i="9"/>
  <c r="F268" i="3"/>
  <c r="J268" i="3" s="1"/>
  <c r="V109" i="4"/>
  <c r="Z109" i="4" s="1"/>
  <c r="J26" i="9"/>
  <c r="E269" i="3"/>
  <c r="D269" i="3"/>
  <c r="F269" i="3" s="1"/>
  <c r="J269" i="3" s="1"/>
  <c r="C270" i="3"/>
  <c r="H269" i="3"/>
  <c r="G269" i="3" a="1"/>
  <c r="G269" i="3" s="1"/>
  <c r="H108" i="9"/>
  <c r="T24" i="9"/>
  <c r="J268" i="5"/>
  <c r="D146" i="5"/>
  <c r="C147" i="5"/>
  <c r="E146" i="5"/>
  <c r="M120" i="3"/>
  <c r="H37" i="9" s="1"/>
  <c r="J113" i="5"/>
  <c r="H67" i="9" s="1"/>
  <c r="C223" i="5"/>
  <c r="E222" i="5" a="1"/>
  <c r="E222" i="5" s="1"/>
  <c r="H222" i="5" s="1"/>
  <c r="C115" i="5"/>
  <c r="C75" i="5"/>
  <c r="D74" i="5"/>
  <c r="E74" i="5" s="1"/>
  <c r="E269" i="5"/>
  <c r="C270" i="5"/>
  <c r="H269" i="5"/>
  <c r="G269" i="5" a="1"/>
  <c r="G269" i="5" s="1"/>
  <c r="D269" i="5"/>
  <c r="C74" i="4"/>
  <c r="D73" i="4"/>
  <c r="E73" i="4" s="1"/>
  <c r="E270" i="4"/>
  <c r="D270" i="4"/>
  <c r="F270" i="4" s="1"/>
  <c r="J270" i="4" s="1"/>
  <c r="C271" i="4"/>
  <c r="E144" i="3"/>
  <c r="C145" i="3"/>
  <c r="D144" i="3"/>
  <c r="D72" i="3"/>
  <c r="E72" i="3"/>
  <c r="C73" i="3"/>
  <c r="E222" i="3" a="1"/>
  <c r="E222" i="3" s="1"/>
  <c r="H222" i="3" s="1"/>
  <c r="C223" i="3"/>
  <c r="V111" i="5" l="1"/>
  <c r="F65" i="9"/>
  <c r="V110" i="4"/>
  <c r="Z110" i="4" s="1"/>
  <c r="J27" i="9"/>
  <c r="X111" i="5"/>
  <c r="Z111" i="5" s="1"/>
  <c r="G65" i="9"/>
  <c r="I115" i="5"/>
  <c r="F115" i="5"/>
  <c r="H115" i="5"/>
  <c r="D115" i="5"/>
  <c r="G115" i="5"/>
  <c r="E115" i="5"/>
  <c r="E270" i="3"/>
  <c r="D270" i="3"/>
  <c r="F270" i="3" s="1"/>
  <c r="J270" i="3" s="1"/>
  <c r="H270" i="3"/>
  <c r="C271" i="3"/>
  <c r="G270" i="3" a="1"/>
  <c r="G270" i="3" s="1"/>
  <c r="AA109" i="3"/>
  <c r="F26" i="9"/>
  <c r="O64" i="9"/>
  <c r="P64" i="9" s="1"/>
  <c r="Q64" i="9" s="1"/>
  <c r="R64" i="9" s="1"/>
  <c r="Z110" i="5"/>
  <c r="O25" i="9"/>
  <c r="P25" i="9" s="1"/>
  <c r="Q25" i="9" s="1"/>
  <c r="R25" i="9" s="1"/>
  <c r="G26" i="9"/>
  <c r="AC109" i="3"/>
  <c r="AE108" i="3"/>
  <c r="F269" i="5"/>
  <c r="J269" i="5" s="1"/>
  <c r="D147" i="5"/>
  <c r="C148" i="5"/>
  <c r="E147" i="5"/>
  <c r="C76" i="5"/>
  <c r="D75" i="5"/>
  <c r="E75" i="5" s="1"/>
  <c r="E270" i="5"/>
  <c r="C271" i="5"/>
  <c r="D270" i="5"/>
  <c r="H270" i="5"/>
  <c r="G270" i="5" a="1"/>
  <c r="G270" i="5" s="1"/>
  <c r="J114" i="5"/>
  <c r="H68" i="9" s="1"/>
  <c r="E223" i="5" a="1"/>
  <c r="E223" i="5" s="1"/>
  <c r="H223" i="5" s="1"/>
  <c r="C224" i="5"/>
  <c r="C116" i="5"/>
  <c r="E271" i="4"/>
  <c r="D271" i="4"/>
  <c r="F271" i="4" s="1"/>
  <c r="J271" i="4" s="1"/>
  <c r="C272" i="4"/>
  <c r="D74" i="4"/>
  <c r="E74" i="4" s="1"/>
  <c r="C75" i="4"/>
  <c r="D145" i="3"/>
  <c r="C146" i="3"/>
  <c r="E145" i="3"/>
  <c r="E223" i="3" a="1"/>
  <c r="E223" i="3" s="1"/>
  <c r="H223" i="3" s="1"/>
  <c r="C224" i="3"/>
  <c r="C74" i="3"/>
  <c r="D73" i="3"/>
  <c r="E73" i="3" s="1"/>
  <c r="AE109" i="3"/>
  <c r="V112" i="5" l="1"/>
  <c r="F66" i="9"/>
  <c r="J111" i="9"/>
  <c r="T64" i="9"/>
  <c r="X112" i="5"/>
  <c r="G66" i="9"/>
  <c r="AA110" i="3"/>
  <c r="F27" i="9"/>
  <c r="O26" i="9"/>
  <c r="P26" i="9" s="1"/>
  <c r="Q26" i="9" s="1"/>
  <c r="R26" i="9" s="1"/>
  <c r="G271" i="3" a="1"/>
  <c r="G271" i="3" s="1"/>
  <c r="H271" i="3"/>
  <c r="E271" i="3"/>
  <c r="D271" i="3"/>
  <c r="C272" i="3"/>
  <c r="V111" i="4"/>
  <c r="Z111" i="4" s="1"/>
  <c r="J28" i="9"/>
  <c r="G27" i="9"/>
  <c r="AC110" i="3"/>
  <c r="I116" i="5"/>
  <c r="E116" i="5"/>
  <c r="F116" i="5"/>
  <c r="H116" i="5"/>
  <c r="D116" i="5"/>
  <c r="G116" i="5"/>
  <c r="H109" i="9"/>
  <c r="T25" i="9"/>
  <c r="O65" i="9"/>
  <c r="P65" i="9" s="1"/>
  <c r="Q65" i="9" s="1"/>
  <c r="R65" i="9" s="1"/>
  <c r="E148" i="5"/>
  <c r="C149" i="5"/>
  <c r="D148" i="5"/>
  <c r="C117" i="5"/>
  <c r="C272" i="5"/>
  <c r="D271" i="5"/>
  <c r="E271" i="5"/>
  <c r="H271" i="5"/>
  <c r="G271" i="5" a="1"/>
  <c r="G271" i="5" s="1"/>
  <c r="C77" i="5"/>
  <c r="D76" i="5"/>
  <c r="E76" i="5" s="1"/>
  <c r="E224" i="5" a="1"/>
  <c r="E224" i="5" s="1"/>
  <c r="H224" i="5" s="1"/>
  <c r="C225" i="5"/>
  <c r="J115" i="5"/>
  <c r="H69" i="9" s="1"/>
  <c r="F270" i="5"/>
  <c r="J270" i="5" s="1"/>
  <c r="E272" i="4"/>
  <c r="D272" i="4"/>
  <c r="C273" i="4"/>
  <c r="C76" i="4"/>
  <c r="D75" i="4"/>
  <c r="E75" i="4" s="1"/>
  <c r="C75" i="3"/>
  <c r="D74" i="3"/>
  <c r="E74" i="3" s="1"/>
  <c r="E146" i="3"/>
  <c r="C147" i="3"/>
  <c r="D146" i="3"/>
  <c r="C225" i="3"/>
  <c r="E224" i="3" a="1"/>
  <c r="E224" i="3" s="1"/>
  <c r="H224" i="3" s="1"/>
  <c r="AA111" i="3" l="1"/>
  <c r="F28" i="9"/>
  <c r="T26" i="9"/>
  <c r="H110" i="9"/>
  <c r="T65" i="9"/>
  <c r="J112" i="9"/>
  <c r="G28" i="9"/>
  <c r="AC111" i="3"/>
  <c r="V112" i="4"/>
  <c r="Z112" i="4" s="1"/>
  <c r="J29" i="9"/>
  <c r="H117" i="5"/>
  <c r="D117" i="5"/>
  <c r="G117" i="5"/>
  <c r="E117" i="5"/>
  <c r="F117" i="5"/>
  <c r="I117" i="5"/>
  <c r="O27" i="9"/>
  <c r="P27" i="9" s="1"/>
  <c r="Q27" i="9" s="1"/>
  <c r="R27" i="9" s="1"/>
  <c r="V113" i="5"/>
  <c r="F67" i="9"/>
  <c r="O67" i="9" s="1"/>
  <c r="P67" i="9" s="1"/>
  <c r="Q67" i="9" s="1"/>
  <c r="R67" i="9" s="1"/>
  <c r="F272" i="4"/>
  <c r="J272" i="4" s="1"/>
  <c r="AE110" i="3"/>
  <c r="D272" i="3"/>
  <c r="C273" i="3"/>
  <c r="E272" i="3"/>
  <c r="H272" i="3"/>
  <c r="G272" i="3" a="1"/>
  <c r="G272" i="3" s="1"/>
  <c r="O66" i="9"/>
  <c r="P66" i="9" s="1"/>
  <c r="Q66" i="9" s="1"/>
  <c r="R66" i="9" s="1"/>
  <c r="X113" i="5"/>
  <c r="G67" i="9"/>
  <c r="F271" i="3"/>
  <c r="J271" i="3" s="1"/>
  <c r="Z112" i="5"/>
  <c r="C150" i="5"/>
  <c r="E149" i="5"/>
  <c r="D149" i="5"/>
  <c r="AE111" i="3"/>
  <c r="G272" i="5" a="1"/>
  <c r="G272" i="5" s="1"/>
  <c r="E272" i="5"/>
  <c r="D272" i="5"/>
  <c r="C273" i="5"/>
  <c r="H272" i="5"/>
  <c r="D77" i="5"/>
  <c r="E77" i="5" s="1"/>
  <c r="C78" i="5"/>
  <c r="J116" i="5"/>
  <c r="H70" i="9" s="1"/>
  <c r="C226" i="5"/>
  <c r="E225" i="5" a="1"/>
  <c r="E225" i="5" s="1"/>
  <c r="H225" i="5" s="1"/>
  <c r="F271" i="5"/>
  <c r="J271" i="5" s="1"/>
  <c r="C118" i="5"/>
  <c r="C77" i="4"/>
  <c r="D76" i="4"/>
  <c r="E76" i="4" s="1"/>
  <c r="E273" i="4"/>
  <c r="D273" i="4"/>
  <c r="F273" i="4" s="1"/>
  <c r="J273" i="4" s="1"/>
  <c r="C274" i="4"/>
  <c r="D147" i="3"/>
  <c r="C148" i="3"/>
  <c r="E147" i="3"/>
  <c r="E225" i="3" a="1"/>
  <c r="E225" i="3" s="1"/>
  <c r="H225" i="3" s="1"/>
  <c r="C226" i="3"/>
  <c r="D75" i="3"/>
  <c r="E75" i="3" s="1"/>
  <c r="C76" i="3"/>
  <c r="AA112" i="3" l="1"/>
  <c r="F29" i="9"/>
  <c r="H118" i="5"/>
  <c r="D118" i="5"/>
  <c r="G118" i="5"/>
  <c r="E118" i="5"/>
  <c r="I118" i="5"/>
  <c r="F118" i="5"/>
  <c r="X114" i="5"/>
  <c r="G68" i="9"/>
  <c r="J113" i="9"/>
  <c r="T66" i="9"/>
  <c r="G29" i="9"/>
  <c r="AC112" i="3"/>
  <c r="H273" i="3"/>
  <c r="C274" i="3"/>
  <c r="G273" i="3" a="1"/>
  <c r="G273" i="3" s="1"/>
  <c r="E273" i="3"/>
  <c r="D273" i="3"/>
  <c r="F273" i="3" s="1"/>
  <c r="J273" i="3" s="1"/>
  <c r="T67" i="9"/>
  <c r="J114" i="9"/>
  <c r="Z113" i="5"/>
  <c r="O28" i="9"/>
  <c r="P28" i="9" s="1"/>
  <c r="Q28" i="9" s="1"/>
  <c r="R28" i="9" s="1"/>
  <c r="F272" i="3"/>
  <c r="J272" i="3" s="1"/>
  <c r="V113" i="4"/>
  <c r="Z113" i="4" s="1"/>
  <c r="J30" i="9"/>
  <c r="V114" i="5"/>
  <c r="Z114" i="5" s="1"/>
  <c r="F68" i="9"/>
  <c r="O68" i="9" s="1"/>
  <c r="P68" i="9" s="1"/>
  <c r="Q68" i="9" s="1"/>
  <c r="R68" i="9" s="1"/>
  <c r="H111" i="9"/>
  <c r="T27" i="9"/>
  <c r="F272" i="5"/>
  <c r="J272" i="5" s="1"/>
  <c r="D150" i="5"/>
  <c r="C151" i="5"/>
  <c r="E150" i="5"/>
  <c r="D78" i="5"/>
  <c r="E78" i="5" s="1"/>
  <c r="C79" i="5"/>
  <c r="C119" i="5"/>
  <c r="E226" i="5" a="1"/>
  <c r="E226" i="5" s="1"/>
  <c r="H226" i="5" s="1"/>
  <c r="C227" i="5"/>
  <c r="J117" i="5"/>
  <c r="H71" i="9" s="1"/>
  <c r="H273" i="5"/>
  <c r="E273" i="5"/>
  <c r="G273" i="5" a="1"/>
  <c r="G273" i="5" s="1"/>
  <c r="D273" i="5"/>
  <c r="C274" i="5"/>
  <c r="E274" i="4"/>
  <c r="D274" i="4"/>
  <c r="F274" i="4" s="1"/>
  <c r="J274" i="4" s="1"/>
  <c r="C275" i="4"/>
  <c r="D77" i="4"/>
  <c r="E77" i="4"/>
  <c r="C78" i="4"/>
  <c r="D148" i="3"/>
  <c r="C149" i="3"/>
  <c r="E148" i="3"/>
  <c r="AE112" i="3"/>
  <c r="C77" i="3"/>
  <c r="D76" i="3"/>
  <c r="E76" i="3" s="1"/>
  <c r="E226" i="3" a="1"/>
  <c r="E226" i="3" s="1"/>
  <c r="H226" i="3" s="1"/>
  <c r="C227" i="3"/>
  <c r="G119" i="5" l="1"/>
  <c r="I119" i="5"/>
  <c r="E119" i="5"/>
  <c r="F119" i="5"/>
  <c r="H119" i="5"/>
  <c r="D119" i="5"/>
  <c r="X115" i="5"/>
  <c r="G69" i="9"/>
  <c r="AA113" i="3"/>
  <c r="F30" i="9"/>
  <c r="G30" i="9"/>
  <c r="AC113" i="3"/>
  <c r="J115" i="9"/>
  <c r="T68" i="9"/>
  <c r="V114" i="4"/>
  <c r="Z114" i="4" s="1"/>
  <c r="J31" i="9"/>
  <c r="V115" i="5"/>
  <c r="F69" i="9"/>
  <c r="O69" i="9" s="1"/>
  <c r="P69" i="9" s="1"/>
  <c r="Q69" i="9" s="1"/>
  <c r="R69" i="9" s="1"/>
  <c r="O29" i="9"/>
  <c r="P29" i="9" s="1"/>
  <c r="Q29" i="9" s="1"/>
  <c r="R29" i="9" s="1"/>
  <c r="C275" i="3"/>
  <c r="G274" i="3" a="1"/>
  <c r="G274" i="3" s="1"/>
  <c r="H274" i="3"/>
  <c r="E274" i="3"/>
  <c r="D274" i="3"/>
  <c r="T28" i="9"/>
  <c r="H112" i="9"/>
  <c r="D151" i="5"/>
  <c r="E151" i="5"/>
  <c r="C152" i="5"/>
  <c r="H274" i="5"/>
  <c r="E274" i="5"/>
  <c r="D274" i="5"/>
  <c r="C275" i="5"/>
  <c r="G274" i="5" a="1"/>
  <c r="G274" i="5" s="1"/>
  <c r="J118" i="5"/>
  <c r="H72" i="9" s="1"/>
  <c r="C80" i="5"/>
  <c r="D79" i="5"/>
  <c r="E79" i="5" s="1"/>
  <c r="E227" i="5" a="1"/>
  <c r="E227" i="5" s="1"/>
  <c r="H227" i="5" s="1"/>
  <c r="C228" i="5"/>
  <c r="C120" i="5"/>
  <c r="F273" i="5"/>
  <c r="J273" i="5" s="1"/>
  <c r="E275" i="4"/>
  <c r="D275" i="4"/>
  <c r="F275" i="4" s="1"/>
  <c r="J275" i="4" s="1"/>
  <c r="C276" i="4"/>
  <c r="D78" i="4"/>
  <c r="E78" i="4" s="1"/>
  <c r="C79" i="4"/>
  <c r="D77" i="3"/>
  <c r="E77" i="3" s="1"/>
  <c r="C78" i="3"/>
  <c r="C150" i="3"/>
  <c r="E149" i="3"/>
  <c r="D149" i="3"/>
  <c r="C228" i="3"/>
  <c r="E227" i="3" a="1"/>
  <c r="E227" i="3" s="1"/>
  <c r="H227" i="3" s="1"/>
  <c r="V115" i="4" l="1"/>
  <c r="Z115" i="4" s="1"/>
  <c r="J32" i="9"/>
  <c r="T69" i="9"/>
  <c r="J116" i="9"/>
  <c r="AA114" i="3"/>
  <c r="F31" i="9"/>
  <c r="G120" i="5"/>
  <c r="E120" i="5"/>
  <c r="H120" i="5"/>
  <c r="F120" i="5"/>
  <c r="I120" i="5"/>
  <c r="D120" i="5"/>
  <c r="F274" i="5"/>
  <c r="H275" i="3"/>
  <c r="G275" i="3" a="1"/>
  <c r="G275" i="3" s="1"/>
  <c r="C276" i="3"/>
  <c r="E275" i="3"/>
  <c r="D275" i="3"/>
  <c r="V116" i="5"/>
  <c r="F70" i="9"/>
  <c r="Z115" i="5"/>
  <c r="AE113" i="3"/>
  <c r="X116" i="5"/>
  <c r="G70" i="9"/>
  <c r="F274" i="3"/>
  <c r="J274" i="3" s="1"/>
  <c r="H113" i="9"/>
  <c r="T29" i="9"/>
  <c r="O30" i="9"/>
  <c r="P30" i="9" s="1"/>
  <c r="Q30" i="9" s="1"/>
  <c r="R30" i="9" s="1"/>
  <c r="G31" i="9"/>
  <c r="AC114" i="3"/>
  <c r="E152" i="5"/>
  <c r="C153" i="5"/>
  <c r="D152" i="5"/>
  <c r="AE114" i="3"/>
  <c r="J119" i="5"/>
  <c r="H73" i="9" s="1"/>
  <c r="D80" i="5"/>
  <c r="E80" i="5" s="1"/>
  <c r="C81" i="5"/>
  <c r="C229" i="5"/>
  <c r="E228" i="5" a="1"/>
  <c r="E228" i="5" s="1"/>
  <c r="H228" i="5" s="1"/>
  <c r="G275" i="5" a="1"/>
  <c r="G275" i="5" s="1"/>
  <c r="H275" i="5"/>
  <c r="E275" i="5"/>
  <c r="D275" i="5"/>
  <c r="C276" i="5"/>
  <c r="J274" i="5"/>
  <c r="C80" i="4"/>
  <c r="D79" i="4"/>
  <c r="E79" i="4" s="1"/>
  <c r="E276" i="4"/>
  <c r="D276" i="4"/>
  <c r="F276" i="4" s="1"/>
  <c r="J276" i="4" s="1"/>
  <c r="C277" i="4"/>
  <c r="C229" i="3"/>
  <c r="E228" i="3" a="1"/>
  <c r="E228" i="3" s="1"/>
  <c r="H228" i="3" s="1"/>
  <c r="C151" i="3"/>
  <c r="E150" i="3"/>
  <c r="D150" i="3"/>
  <c r="C79" i="3"/>
  <c r="D78" i="3"/>
  <c r="E78" i="3" s="1"/>
  <c r="V117" i="5" l="1"/>
  <c r="F71" i="9"/>
  <c r="O71" i="9" s="1"/>
  <c r="P71" i="9" s="1"/>
  <c r="Q71" i="9" s="1"/>
  <c r="R71" i="9" s="1"/>
  <c r="V116" i="4"/>
  <c r="Z116" i="4" s="1"/>
  <c r="J33" i="9"/>
  <c r="AA115" i="3"/>
  <c r="F32" i="9"/>
  <c r="O31" i="9"/>
  <c r="P31" i="9" s="1"/>
  <c r="Q31" i="9" s="1"/>
  <c r="R31" i="9" s="1"/>
  <c r="X117" i="5"/>
  <c r="G71" i="9"/>
  <c r="G32" i="9"/>
  <c r="AC115" i="3"/>
  <c r="O70" i="9"/>
  <c r="P70" i="9" s="1"/>
  <c r="Q70" i="9" s="1"/>
  <c r="R70" i="9" s="1"/>
  <c r="Z116" i="5"/>
  <c r="F275" i="3"/>
  <c r="J275" i="3" s="1"/>
  <c r="T30" i="9"/>
  <c r="H114" i="9"/>
  <c r="E276" i="3"/>
  <c r="C277" i="3"/>
  <c r="D276" i="3"/>
  <c r="F276" i="3" s="1"/>
  <c r="J276" i="3" s="1"/>
  <c r="H276" i="3"/>
  <c r="G276" i="3" a="1"/>
  <c r="G276" i="3" s="1"/>
  <c r="C154" i="5"/>
  <c r="E153" i="5"/>
  <c r="D153" i="5"/>
  <c r="AE115" i="3"/>
  <c r="J120" i="5"/>
  <c r="H74" i="9" s="1"/>
  <c r="G276" i="5" a="1"/>
  <c r="G276" i="5" s="1"/>
  <c r="H276" i="5"/>
  <c r="C277" i="5"/>
  <c r="E276" i="5"/>
  <c r="D276" i="5"/>
  <c r="C82" i="5"/>
  <c r="D81" i="5"/>
  <c r="E81" i="5" s="1"/>
  <c r="C230" i="5"/>
  <c r="E229" i="5" a="1"/>
  <c r="E229" i="5" s="1"/>
  <c r="H229" i="5" s="1"/>
  <c r="F275" i="5"/>
  <c r="J275" i="5" s="1"/>
  <c r="C81" i="4"/>
  <c r="D80" i="4"/>
  <c r="E80" i="4" s="1"/>
  <c r="E277" i="4"/>
  <c r="D277" i="4"/>
  <c r="C278" i="4"/>
  <c r="D79" i="3"/>
  <c r="E79" i="3" s="1"/>
  <c r="C80" i="3"/>
  <c r="D151" i="3"/>
  <c r="C152" i="3"/>
  <c r="E151" i="3"/>
  <c r="C230" i="3"/>
  <c r="E229" i="3" a="1"/>
  <c r="E229" i="3" s="1"/>
  <c r="H229" i="3" s="1"/>
  <c r="G33" i="9" l="1"/>
  <c r="AC116" i="3"/>
  <c r="V118" i="5"/>
  <c r="F72" i="9"/>
  <c r="T70" i="9"/>
  <c r="J117" i="9"/>
  <c r="O32" i="9"/>
  <c r="P32" i="9" s="1"/>
  <c r="Q32" i="9" s="1"/>
  <c r="R32" i="9" s="1"/>
  <c r="AA116" i="3"/>
  <c r="F33" i="9"/>
  <c r="O33" i="9" s="1"/>
  <c r="P33" i="9" s="1"/>
  <c r="Q33" i="9" s="1"/>
  <c r="R33" i="9" s="1"/>
  <c r="F277" i="4"/>
  <c r="J277" i="4" s="1"/>
  <c r="F276" i="5"/>
  <c r="H277" i="3"/>
  <c r="C278" i="3"/>
  <c r="G277" i="3" a="1"/>
  <c r="G277" i="3" s="1"/>
  <c r="D277" i="3"/>
  <c r="E277" i="3"/>
  <c r="X118" i="5"/>
  <c r="G72" i="9"/>
  <c r="V117" i="4"/>
  <c r="Z117" i="4" s="1"/>
  <c r="J34" i="9"/>
  <c r="J118" i="9"/>
  <c r="T71" i="9"/>
  <c r="T31" i="9"/>
  <c r="H115" i="9"/>
  <c r="Z117" i="5"/>
  <c r="J276" i="5"/>
  <c r="D154" i="5"/>
  <c r="C155" i="5"/>
  <c r="E154" i="5"/>
  <c r="AE116" i="3"/>
  <c r="C231" i="5"/>
  <c r="E230" i="5" a="1"/>
  <c r="E230" i="5" s="1"/>
  <c r="H230" i="5" s="1"/>
  <c r="C83" i="5"/>
  <c r="D82" i="5"/>
  <c r="E82" i="5" s="1"/>
  <c r="E277" i="5"/>
  <c r="H277" i="5"/>
  <c r="C278" i="5"/>
  <c r="G277" i="5" a="1"/>
  <c r="G277" i="5" s="1"/>
  <c r="D277" i="5"/>
  <c r="E278" i="4"/>
  <c r="D278" i="4"/>
  <c r="F278" i="4" s="1"/>
  <c r="J278" i="4" s="1"/>
  <c r="C279" i="4"/>
  <c r="C82" i="4"/>
  <c r="D81" i="4"/>
  <c r="E81" i="4" s="1"/>
  <c r="D80" i="3"/>
  <c r="E80" i="3" s="1"/>
  <c r="C81" i="3"/>
  <c r="E230" i="3" a="1"/>
  <c r="E230" i="3" s="1"/>
  <c r="H230" i="3" s="1"/>
  <c r="C231" i="3"/>
  <c r="E152" i="3"/>
  <c r="C153" i="3"/>
  <c r="D152" i="3"/>
  <c r="AA117" i="3" l="1"/>
  <c r="F34" i="9"/>
  <c r="O34" i="9" s="1"/>
  <c r="P34" i="9" s="1"/>
  <c r="Q34" i="9" s="1"/>
  <c r="R34" i="9" s="1"/>
  <c r="V118" i="4"/>
  <c r="Z118" i="4" s="1"/>
  <c r="J35" i="9"/>
  <c r="V119" i="5"/>
  <c r="Z119" i="5" s="1"/>
  <c r="F73" i="9"/>
  <c r="O73" i="9" s="1"/>
  <c r="P73" i="9" s="1"/>
  <c r="Q73" i="9" s="1"/>
  <c r="R73" i="9" s="1"/>
  <c r="F277" i="3"/>
  <c r="J277" i="3" s="1"/>
  <c r="H116" i="9"/>
  <c r="T32" i="9"/>
  <c r="G34" i="9"/>
  <c r="AC117" i="3"/>
  <c r="G278" i="3" a="1"/>
  <c r="G278" i="3" s="1"/>
  <c r="E278" i="3"/>
  <c r="C279" i="3"/>
  <c r="H278" i="3"/>
  <c r="D278" i="3"/>
  <c r="X119" i="5"/>
  <c r="G73" i="9"/>
  <c r="O72" i="9"/>
  <c r="P72" i="9" s="1"/>
  <c r="Q72" i="9" s="1"/>
  <c r="R72" i="9" s="1"/>
  <c r="Z118" i="5"/>
  <c r="T33" i="9"/>
  <c r="H117" i="9"/>
  <c r="E155" i="5"/>
  <c r="D155" i="5"/>
  <c r="E278" i="5"/>
  <c r="C279" i="5"/>
  <c r="D278" i="5"/>
  <c r="F278" i="5" s="1"/>
  <c r="H278" i="5"/>
  <c r="G278" i="5" a="1"/>
  <c r="G278" i="5" s="1"/>
  <c r="F277" i="5"/>
  <c r="J277" i="5" s="1"/>
  <c r="D83" i="5"/>
  <c r="E83" i="5" s="1"/>
  <c r="E231" i="5" a="1"/>
  <c r="E231" i="5" s="1"/>
  <c r="H231" i="5" s="1"/>
  <c r="C232" i="5"/>
  <c r="E232" i="5" s="1" a="1"/>
  <c r="E232" i="5" s="1"/>
  <c r="H232" i="5" s="1"/>
  <c r="D82" i="4"/>
  <c r="E82" i="4" s="1"/>
  <c r="C83" i="4"/>
  <c r="E279" i="4"/>
  <c r="D279" i="4"/>
  <c r="C280" i="4"/>
  <c r="C154" i="3"/>
  <c r="E153" i="3"/>
  <c r="D153" i="3"/>
  <c r="C232" i="3"/>
  <c r="E232" i="3" s="1" a="1"/>
  <c r="E232" i="3" s="1"/>
  <c r="H232" i="3" s="1"/>
  <c r="E231" i="3" a="1"/>
  <c r="E231" i="3" s="1"/>
  <c r="H231" i="3" s="1"/>
  <c r="AE117" i="3"/>
  <c r="C82" i="3"/>
  <c r="D81" i="3"/>
  <c r="E81" i="3" s="1"/>
  <c r="AA118" i="3" l="1"/>
  <c r="AE118" i="3" s="1"/>
  <c r="F35" i="9"/>
  <c r="T73" i="9"/>
  <c r="J120" i="9"/>
  <c r="X120" i="5"/>
  <c r="G74" i="9"/>
  <c r="V119" i="4"/>
  <c r="Z119" i="4" s="1"/>
  <c r="J36" i="9"/>
  <c r="T72" i="9"/>
  <c r="J119" i="9"/>
  <c r="G35" i="9"/>
  <c r="AC118" i="3"/>
  <c r="H279" i="3"/>
  <c r="C280" i="3"/>
  <c r="G279" i="3" a="1"/>
  <c r="G279" i="3" s="1"/>
  <c r="D279" i="3"/>
  <c r="E279" i="3"/>
  <c r="V120" i="5"/>
  <c r="F74" i="9"/>
  <c r="F278" i="3"/>
  <c r="J278" i="3" s="1"/>
  <c r="T34" i="9"/>
  <c r="H118" i="9"/>
  <c r="F279" i="4"/>
  <c r="J279" i="4" s="1"/>
  <c r="C280" i="5"/>
  <c r="D279" i="5"/>
  <c r="E279" i="5"/>
  <c r="H279" i="5"/>
  <c r="G279" i="5" a="1"/>
  <c r="G279" i="5" s="1"/>
  <c r="J278" i="5"/>
  <c r="E280" i="4"/>
  <c r="D280" i="4"/>
  <c r="D83" i="4"/>
  <c r="E83" i="4" s="1"/>
  <c r="C83" i="3"/>
  <c r="D82" i="3"/>
  <c r="E82" i="3"/>
  <c r="D154" i="3"/>
  <c r="C155" i="3"/>
  <c r="E154" i="3"/>
  <c r="V120" i="4" l="1"/>
  <c r="Z120" i="4" s="1"/>
  <c r="J37" i="9"/>
  <c r="F279" i="3"/>
  <c r="J279" i="3" s="1"/>
  <c r="F280" i="4"/>
  <c r="J280" i="4" s="1"/>
  <c r="G36" i="9"/>
  <c r="AC119" i="3"/>
  <c r="G280" i="3" a="1"/>
  <c r="G280" i="3" s="1"/>
  <c r="E280" i="3"/>
  <c r="H280" i="3"/>
  <c r="D280" i="3"/>
  <c r="AA119" i="3"/>
  <c r="F36" i="9"/>
  <c r="O74" i="9"/>
  <c r="P74" i="9" s="1"/>
  <c r="Q74" i="9" s="1"/>
  <c r="R74" i="9" s="1"/>
  <c r="Z120" i="5"/>
  <c r="O35" i="9"/>
  <c r="P35" i="9" s="1"/>
  <c r="Q35" i="9" s="1"/>
  <c r="R35" i="9" s="1"/>
  <c r="F279" i="5"/>
  <c r="J279" i="5" s="1"/>
  <c r="H280" i="5"/>
  <c r="G280" i="5" a="1"/>
  <c r="G280" i="5" s="1"/>
  <c r="E280" i="5"/>
  <c r="D280" i="5"/>
  <c r="F280" i="5" s="1"/>
  <c r="D155" i="3"/>
  <c r="E155" i="3"/>
  <c r="AE119" i="3"/>
  <c r="D83" i="3"/>
  <c r="E83" i="3" s="1"/>
  <c r="AA120" i="3" l="1"/>
  <c r="F37" i="9"/>
  <c r="O37" i="9" s="1"/>
  <c r="P37" i="9" s="1"/>
  <c r="Q37" i="9" s="1"/>
  <c r="R37" i="9" s="1"/>
  <c r="G37" i="9"/>
  <c r="AC120" i="3"/>
  <c r="H119" i="9"/>
  <c r="T35" i="9"/>
  <c r="J121" i="9"/>
  <c r="T74" i="9"/>
  <c r="O36" i="9"/>
  <c r="P36" i="9" s="1"/>
  <c r="Q36" i="9" s="1"/>
  <c r="R36" i="9" s="1"/>
  <c r="F280" i="3"/>
  <c r="J280" i="3" s="1"/>
  <c r="J280" i="5"/>
  <c r="AE120" i="3"/>
  <c r="H121" i="9" l="1"/>
  <c r="T37" i="9"/>
  <c r="T36" i="9"/>
  <c r="H120"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<sst xmlns="http://schemas.openxmlformats.org/spreadsheetml/2006/main" count="1432" uniqueCount="212">
  <si>
    <t>TABLE OF CONSTANTS</t>
  </si>
  <si>
    <t>TABLE OF CONVERSIONS (ENERGY)</t>
  </si>
  <si>
    <t>TABLE OF CONVERSIONS (DISTANCE)</t>
  </si>
  <si>
    <t>TABLE OF CONVERSIONS (MASS)</t>
  </si>
  <si>
    <r>
      <rPr>
        <b/>
        <sz val="14"/>
        <color theme="1"/>
        <rFont val="Aptos Narrow"/>
        <scheme val="minor"/>
      </rPr>
      <t>N</t>
    </r>
    <r>
      <rPr>
        <b/>
        <vertAlign val="subscript"/>
        <sz val="14"/>
        <color theme="1"/>
        <rFont val="Aptos Narrow"/>
        <scheme val="minor"/>
      </rPr>
      <t>avo</t>
    </r>
    <r>
      <rPr>
        <b/>
        <sz val="14"/>
        <color theme="1"/>
        <rFont val="Aptos Narrow"/>
        <scheme val="minor"/>
      </rPr>
      <t xml:space="preserve"> </t>
    </r>
    <r>
      <rPr>
        <sz val="14"/>
        <color theme="1"/>
        <rFont val="Aptos Narrow"/>
        <scheme val="minor"/>
      </rPr>
      <t>[ mol</t>
    </r>
    <r>
      <rPr>
        <vertAlign val="superscript"/>
        <sz val="14"/>
        <color theme="1"/>
        <rFont val="Aptos Narrow"/>
        <scheme val="minor"/>
      </rPr>
      <t>-1</t>
    </r>
    <r>
      <rPr>
        <sz val="14"/>
        <color theme="1"/>
        <rFont val="Aptos Narrow (Corpo)"/>
      </rPr>
      <t xml:space="preserve"> ]</t>
    </r>
  </si>
  <si>
    <t xml:space="preserve">                      out
in</t>
  </si>
  <si>
    <t>hartree</t>
  </si>
  <si>
    <t>eV</t>
  </si>
  <si>
    <r>
      <t>cm</t>
    </r>
    <r>
      <rPr>
        <b/>
        <vertAlign val="superscript"/>
        <sz val="14"/>
        <color theme="1"/>
        <rFont val="Aptos Narrow"/>
        <scheme val="minor"/>
      </rPr>
      <t>-1</t>
    </r>
  </si>
  <si>
    <t>kcal/mol</t>
  </si>
  <si>
    <t>kJ/mol</t>
  </si>
  <si>
    <r>
      <t>o</t>
    </r>
    <r>
      <rPr>
        <b/>
        <sz val="14"/>
        <color theme="1"/>
        <rFont val="Aptos Narrow"/>
        <scheme val="minor"/>
      </rPr>
      <t>K</t>
    </r>
  </si>
  <si>
    <t>J</t>
  </si>
  <si>
    <t>Hz</t>
  </si>
  <si>
    <t xml:space="preserve">                   out
in</t>
  </si>
  <si>
    <t>a0</t>
  </si>
  <si>
    <t>angstrom</t>
  </si>
  <si>
    <t>m</t>
  </si>
  <si>
    <r>
      <t>m</t>
    </r>
    <r>
      <rPr>
        <b/>
        <vertAlign val="subscript"/>
        <sz val="14"/>
        <color theme="1"/>
        <rFont val="Aptos Narrow (Body)"/>
      </rPr>
      <t>e</t>
    </r>
  </si>
  <si>
    <t>kg</t>
  </si>
  <si>
    <t>u</t>
  </si>
  <si>
    <r>
      <rPr>
        <b/>
        <sz val="14"/>
        <color theme="1"/>
        <rFont val="Aptos Narrow"/>
        <scheme val="minor"/>
      </rPr>
      <t>R</t>
    </r>
    <r>
      <rPr>
        <sz val="14"/>
        <color theme="1"/>
        <rFont val="Aptos Narrow"/>
        <scheme val="minor"/>
      </rPr>
      <t xml:space="preserve"> [ J mol</t>
    </r>
    <r>
      <rPr>
        <vertAlign val="superscript"/>
        <sz val="14"/>
        <color theme="1"/>
        <rFont val="Aptos Narrow"/>
        <scheme val="minor"/>
      </rPr>
      <t xml:space="preserve">-1 </t>
    </r>
    <r>
      <rPr>
        <sz val="14"/>
        <color theme="1"/>
        <rFont val="Aptos Narrow"/>
        <scheme val="minor"/>
      </rPr>
      <t xml:space="preserve">K </t>
    </r>
    <r>
      <rPr>
        <vertAlign val="superscript"/>
        <sz val="14"/>
        <color theme="1"/>
        <rFont val="Aptos Narrow"/>
        <scheme val="minor"/>
      </rPr>
      <t>-1</t>
    </r>
    <r>
      <rPr>
        <sz val="14"/>
        <color theme="1"/>
        <rFont val="Aptos Narrow (Corpo)"/>
      </rPr>
      <t xml:space="preserve"> ]</t>
    </r>
  </si>
  <si>
    <r>
      <rPr>
        <b/>
        <sz val="14"/>
        <color rgb="FF202122"/>
        <rFont val="Aptos Narrow"/>
        <scheme val="minor"/>
      </rPr>
      <t>k</t>
    </r>
    <r>
      <rPr>
        <b/>
        <vertAlign val="subscript"/>
        <sz val="14"/>
        <color rgb="FF202122"/>
        <rFont val="Aptos Narrow"/>
        <scheme val="minor"/>
      </rPr>
      <t>b</t>
    </r>
    <r>
      <rPr>
        <vertAlign val="subscript"/>
        <sz val="14"/>
        <color rgb="FF202122"/>
        <rFont val="Aptos Narrow"/>
        <scheme val="minor"/>
      </rPr>
      <t xml:space="preserve"> </t>
    </r>
    <r>
      <rPr>
        <sz val="14"/>
        <color rgb="FF202122"/>
        <rFont val="Aptos Narrow (Corpo)"/>
      </rPr>
      <t xml:space="preserve">[ </t>
    </r>
    <r>
      <rPr>
        <sz val="14"/>
        <color rgb="FF202122"/>
        <rFont val="Aptos Narrow"/>
        <scheme val="minor"/>
      </rPr>
      <t>J K</t>
    </r>
    <r>
      <rPr>
        <vertAlign val="superscript"/>
        <sz val="14"/>
        <color rgb="FF202122"/>
        <rFont val="Aptos Narrow"/>
        <scheme val="minor"/>
      </rPr>
      <t>-1</t>
    </r>
    <r>
      <rPr>
        <sz val="14"/>
        <color rgb="FF202122"/>
        <rFont val="Aptos Narrow (Corpo)"/>
      </rPr>
      <t xml:space="preserve"> ]</t>
    </r>
  </si>
  <si>
    <r>
      <rPr>
        <b/>
        <sz val="14"/>
        <color theme="1"/>
        <rFont val="Aptos Narrow"/>
        <scheme val="minor"/>
      </rPr>
      <t>e</t>
    </r>
    <r>
      <rPr>
        <sz val="14"/>
        <color theme="1"/>
        <rFont val="Aptos Narrow"/>
        <scheme val="minor"/>
      </rPr>
      <t xml:space="preserve"> [ C ]</t>
    </r>
  </si>
  <si>
    <r>
      <rPr>
        <b/>
        <sz val="14"/>
        <color theme="1"/>
        <rFont val="Aptos Narrow"/>
        <scheme val="minor"/>
      </rPr>
      <t>m</t>
    </r>
    <r>
      <rPr>
        <b/>
        <vertAlign val="subscript"/>
        <sz val="14"/>
        <color theme="1"/>
        <rFont val="Aptos Narrow (Corpo)"/>
      </rPr>
      <t xml:space="preserve">e </t>
    </r>
    <r>
      <rPr>
        <sz val="14"/>
        <color theme="1"/>
        <rFont val="Aptos Narrow"/>
        <scheme val="minor"/>
      </rPr>
      <t>[ kg ]</t>
    </r>
  </si>
  <si>
    <r>
      <rPr>
        <b/>
        <sz val="14"/>
        <color theme="1"/>
        <rFont val="Aptos Narrow"/>
        <scheme val="minor"/>
      </rPr>
      <t>eps</t>
    </r>
    <r>
      <rPr>
        <b/>
        <vertAlign val="subscript"/>
        <sz val="14"/>
        <color theme="1"/>
        <rFont val="Aptos Narrow (Corpo)"/>
      </rPr>
      <t>0</t>
    </r>
    <r>
      <rPr>
        <sz val="14"/>
        <color theme="1"/>
        <rFont val="Aptos Narrow"/>
        <scheme val="minor"/>
      </rPr>
      <t xml:space="preserve"> [ F m</t>
    </r>
    <r>
      <rPr>
        <vertAlign val="superscript"/>
        <sz val="14"/>
        <color theme="1"/>
        <rFont val="Aptos Narrow (Body)"/>
      </rPr>
      <t>-1</t>
    </r>
    <r>
      <rPr>
        <sz val="14"/>
        <color theme="1"/>
        <rFont val="Aptos Narrow"/>
        <scheme val="minor"/>
      </rPr>
      <t>]</t>
    </r>
  </si>
  <si>
    <r>
      <rPr>
        <b/>
        <sz val="14"/>
        <color theme="1"/>
        <rFont val="Aptos Narrow"/>
        <scheme val="minor"/>
      </rPr>
      <t>a</t>
    </r>
    <r>
      <rPr>
        <b/>
        <vertAlign val="subscript"/>
        <sz val="14"/>
        <color theme="1"/>
        <rFont val="Aptos Narrow (Corpo)"/>
      </rPr>
      <t>0</t>
    </r>
    <r>
      <rPr>
        <sz val="14"/>
        <color theme="1"/>
        <rFont val="Aptos Narrow"/>
        <scheme val="minor"/>
      </rPr>
      <t xml:space="preserve"> [ m ]</t>
    </r>
  </si>
  <si>
    <r>
      <rPr>
        <b/>
        <sz val="14"/>
        <color theme="1"/>
        <rFont val="Aptos Narrow"/>
        <scheme val="minor"/>
      </rPr>
      <t>Tamb</t>
    </r>
    <r>
      <rPr>
        <sz val="14"/>
        <color theme="1"/>
        <rFont val="Aptos Narrow"/>
        <scheme val="minor"/>
      </rPr>
      <t xml:space="preserve"> [ K ]</t>
    </r>
  </si>
  <si>
    <r>
      <rPr>
        <b/>
        <sz val="14"/>
        <color theme="1"/>
        <rFont val="Aptos Narrow"/>
        <scheme val="minor"/>
      </rPr>
      <t>h</t>
    </r>
    <r>
      <rPr>
        <sz val="14"/>
        <color theme="1"/>
        <rFont val="Aptos Narrow"/>
        <scheme val="minor"/>
      </rPr>
      <t xml:space="preserve"> [ J s ]</t>
    </r>
  </si>
  <si>
    <r>
      <rPr>
        <b/>
        <sz val="14"/>
        <color theme="1"/>
        <rFont val="Aptos Narrow"/>
        <scheme val="minor"/>
      </rPr>
      <t xml:space="preserve">P </t>
    </r>
    <r>
      <rPr>
        <sz val="14"/>
        <color theme="1"/>
        <rFont val="Aptos Narrow"/>
        <scheme val="minor"/>
      </rPr>
      <t>[ atm ]</t>
    </r>
  </si>
  <si>
    <r>
      <rPr>
        <b/>
        <sz val="14"/>
        <color theme="1"/>
        <rFont val="Aptos Narrow"/>
        <scheme val="minor"/>
      </rPr>
      <t xml:space="preserve">P </t>
    </r>
    <r>
      <rPr>
        <sz val="14"/>
        <color theme="1"/>
        <rFont val="Aptos Narrow"/>
        <scheme val="minor"/>
      </rPr>
      <t>[ Pa ]</t>
    </r>
  </si>
  <si>
    <r>
      <rPr>
        <b/>
        <sz val="14"/>
        <color theme="1"/>
        <rFont val="Aptos Narrow"/>
        <scheme val="minor"/>
      </rPr>
      <t>c</t>
    </r>
    <r>
      <rPr>
        <sz val="14"/>
        <color theme="1"/>
        <rFont val="Aptos Narrow"/>
        <scheme val="minor"/>
      </rPr>
      <t xml:space="preserve"> [ m s</t>
    </r>
    <r>
      <rPr>
        <vertAlign val="superscript"/>
        <sz val="14"/>
        <color theme="1"/>
        <rFont val="Aptos Narrow (Body)"/>
      </rPr>
      <t>-1</t>
    </r>
    <r>
      <rPr>
        <sz val="14"/>
        <color theme="1"/>
        <rFont val="Aptos Narrow"/>
        <scheme val="minor"/>
      </rPr>
      <t xml:space="preserve"> ]</t>
    </r>
  </si>
  <si>
    <r>
      <t>EXPERIMENTAL DATA - CH</t>
    </r>
    <r>
      <rPr>
        <b/>
        <vertAlign val="subscript"/>
        <sz val="22"/>
        <color theme="1"/>
        <rFont val="Aptos Narrow (Body)"/>
      </rPr>
      <t>4</t>
    </r>
  </si>
  <si>
    <t>Temperature [ K ]</t>
  </si>
  <si>
    <t xml:space="preserve">Principal Moments of Inertia </t>
  </si>
  <si>
    <t>Zero-point Correction [ Hartree/Particle ]</t>
  </si>
  <si>
    <t>INTERNAL ENERGY, HEAT CAPACITY,ENTROPY</t>
  </si>
  <si>
    <t>x</t>
  </si>
  <si>
    <t>y</t>
  </si>
  <si>
    <t>z</t>
  </si>
  <si>
    <t>Hartree</t>
  </si>
  <si>
    <t>E (Thermal) [KCal/Mol]</t>
  </si>
  <si>
    <r>
      <t>C</t>
    </r>
    <r>
      <rPr>
        <b/>
        <vertAlign val="subscript"/>
        <sz val="14"/>
        <rFont val="Calibri"/>
        <family val="2"/>
      </rPr>
      <t>V</t>
    </r>
    <r>
      <rPr>
        <b/>
        <sz val="14"/>
        <rFont val="Calibri"/>
        <family val="2"/>
      </rPr>
      <t xml:space="preserve"> [Cal/Mol-Kelvin]</t>
    </r>
  </si>
  <si>
    <t>S [Cal/Mol-Kelvin]</t>
  </si>
  <si>
    <r>
      <t>[ amu Å</t>
    </r>
    <r>
      <rPr>
        <b/>
        <vertAlign val="superscript"/>
        <sz val="14"/>
        <color theme="1"/>
        <rFont val="Aptos Narrow (Body)"/>
      </rPr>
      <t xml:space="preserve">2 </t>
    </r>
    <r>
      <rPr>
        <b/>
        <sz val="14"/>
        <color theme="1"/>
        <rFont val="Aptos Narrow"/>
        <family val="2"/>
        <scheme val="minor"/>
      </rPr>
      <t>]</t>
    </r>
  </si>
  <si>
    <t>Total</t>
  </si>
  <si>
    <t>Pressure [Atm]</t>
  </si>
  <si>
    <r>
      <t>[ kg Å</t>
    </r>
    <r>
      <rPr>
        <b/>
        <vertAlign val="superscript"/>
        <sz val="14"/>
        <color theme="1"/>
        <rFont val="Aptos Narrow (Body)"/>
      </rPr>
      <t>2</t>
    </r>
    <r>
      <rPr>
        <b/>
        <sz val="14"/>
        <color theme="1"/>
        <rFont val="Aptos Narrow"/>
        <family val="2"/>
        <scheme val="minor"/>
      </rPr>
      <t xml:space="preserve"> ]</t>
    </r>
  </si>
  <si>
    <t>Electronic</t>
  </si>
  <si>
    <r>
      <t>[ kg m</t>
    </r>
    <r>
      <rPr>
        <b/>
        <vertAlign val="superscript"/>
        <sz val="14"/>
        <color theme="1"/>
        <rFont val="Aptos Narrow (Body)"/>
      </rPr>
      <t>2</t>
    </r>
    <r>
      <rPr>
        <b/>
        <sz val="14"/>
        <color theme="1"/>
        <rFont val="Aptos Narrow"/>
        <family val="2"/>
        <scheme val="minor"/>
      </rPr>
      <t xml:space="preserve"> ]</t>
    </r>
  </si>
  <si>
    <t>Translational</t>
  </si>
  <si>
    <t>Thermal Correction to Energy [ Hartree/Particle ]</t>
  </si>
  <si>
    <t>Rotational</t>
  </si>
  <si>
    <t>Molecular Mass [ amu ]</t>
  </si>
  <si>
    <t>Rotational Temperatures [ K ]</t>
  </si>
  <si>
    <t>Vibrational</t>
  </si>
  <si>
    <t>Rotational Symmetry Number</t>
  </si>
  <si>
    <t>MOLECULAR PARTITION FUNCTION</t>
  </si>
  <si>
    <t>Rotational Constants [ GHZ ]</t>
  </si>
  <si>
    <t>Thermal Correction to Enthalpy [ Hartree/Particle ]</t>
  </si>
  <si>
    <t>Q</t>
  </si>
  <si>
    <t>Log10(Q)</t>
  </si>
  <si>
    <t>Ln(Q)</t>
  </si>
  <si>
    <t>Total Bot</t>
  </si>
  <si>
    <t>Zero-point Vibrational Energy</t>
  </si>
  <si>
    <t>Thermal Correction to Gibbs Free Energy [ Hartree/Particle ]</t>
  </si>
  <si>
    <t>Total V=0</t>
  </si>
  <si>
    <t xml:space="preserve"> [ J/mol ]</t>
  </si>
  <si>
    <t>Vib (Bot)</t>
  </si>
  <si>
    <t xml:space="preserve"> [ Kcal/mol ]</t>
  </si>
  <si>
    <t>Vib (V=0)</t>
  </si>
  <si>
    <t>Vibrational Temperatures
 [ K ]</t>
  </si>
  <si>
    <t>Harmonic 
Frequencies 
[ cm^-1 ]</t>
  </si>
  <si>
    <t>Harmonic 
Frequencies 
[ Hz ]</t>
  </si>
  <si>
    <t>Reduced Masses [ amu ]</t>
  </si>
  <si>
    <t>Energies SCF [ Hartree ]</t>
  </si>
  <si>
    <r>
      <t>THEORETICAL DATA - CH</t>
    </r>
    <r>
      <rPr>
        <b/>
        <vertAlign val="subscript"/>
        <sz val="22"/>
        <color theme="1"/>
        <rFont val="Aptos Narrow (Body)"/>
      </rPr>
      <t>4</t>
    </r>
  </si>
  <si>
    <t xml:space="preserve"> from theory...</t>
  </si>
  <si>
    <t>1. TRANSLATIONAL P.F.</t>
  </si>
  <si>
    <t>Temperatures[K]</t>
  </si>
  <si>
    <r>
      <t>Volume [ m</t>
    </r>
    <r>
      <rPr>
        <b/>
        <vertAlign val="superscript"/>
        <sz val="14"/>
        <color rgb="FFFF0000"/>
        <rFont val="Aptos Narrow (Body)"/>
      </rPr>
      <t>3</t>
    </r>
    <r>
      <rPr>
        <b/>
        <sz val="14"/>
        <color rgb="FFFF0000"/>
        <rFont val="Aptos Narrow (Body)"/>
      </rPr>
      <t xml:space="preserve"> ]</t>
    </r>
  </si>
  <si>
    <r>
      <t>Q</t>
    </r>
    <r>
      <rPr>
        <b/>
        <vertAlign val="subscript"/>
        <sz val="14"/>
        <color rgb="FFFF0000"/>
        <rFont val="Aptos Narrow (Body)"/>
      </rPr>
      <t>transl</t>
    </r>
  </si>
  <si>
    <t>COMPARISON AT 298.15 K (Gaussian output is actually set at 298.15 K)</t>
  </si>
  <si>
    <t>298.15 K</t>
  </si>
  <si>
    <t>Theoretical</t>
  </si>
  <si>
    <t>Gaussian</t>
  </si>
  <si>
    <t>P. Error</t>
  </si>
  <si>
    <t>2. VIBRATIONAL  P.F.</t>
  </si>
  <si>
    <t>TOTAL P.F</t>
  </si>
  <si>
    <t>Harmonic Freq.</t>
  </si>
  <si>
    <r>
      <t>[ cm</t>
    </r>
    <r>
      <rPr>
        <b/>
        <vertAlign val="superscript"/>
        <sz val="14"/>
        <color rgb="FFFF0000"/>
        <rFont val="Aptos Narrow (Body)"/>
      </rPr>
      <t>-1</t>
    </r>
    <r>
      <rPr>
        <b/>
        <sz val="14"/>
        <color rgb="FFFF0000"/>
        <rFont val="Aptos Narrow (Body)"/>
      </rPr>
      <t xml:space="preserve"> ]</t>
    </r>
  </si>
  <si>
    <t>[ Hz ]</t>
  </si>
  <si>
    <r>
      <t>Q</t>
    </r>
    <r>
      <rPr>
        <b/>
        <vertAlign val="subscript"/>
        <sz val="20"/>
        <color rgb="FFFF0000"/>
        <rFont val="Aptos Narrow (Body)"/>
      </rPr>
      <t>i,vib</t>
    </r>
  </si>
  <si>
    <r>
      <t>Q</t>
    </r>
    <r>
      <rPr>
        <b/>
        <vertAlign val="subscript"/>
        <sz val="20"/>
        <color theme="1"/>
        <rFont val="Aptos Narrow (Body)"/>
      </rPr>
      <t>tot</t>
    </r>
  </si>
  <si>
    <t xml:space="preserve">                               i
T[K]</t>
  </si>
  <si>
    <r>
      <t>Q</t>
    </r>
    <r>
      <rPr>
        <b/>
        <vertAlign val="subscript"/>
        <sz val="14"/>
        <color rgb="FFFF0000"/>
        <rFont val="Aptos Narrow (Body)"/>
      </rPr>
      <t>TRANLS</t>
    </r>
  </si>
  <si>
    <r>
      <t>Q</t>
    </r>
    <r>
      <rPr>
        <b/>
        <vertAlign val="subscript"/>
        <sz val="14"/>
        <color rgb="FFFF0000"/>
        <rFont val="Aptos Narrow (Body)"/>
      </rPr>
      <t>VIB</t>
    </r>
  </si>
  <si>
    <r>
      <t>Q</t>
    </r>
    <r>
      <rPr>
        <b/>
        <vertAlign val="subscript"/>
        <sz val="14"/>
        <color rgb="FFFF0000"/>
        <rFont val="Aptos Narrow (Body)"/>
      </rPr>
      <t>ROT</t>
    </r>
    <r>
      <rPr>
        <b/>
        <sz val="14"/>
        <color rgb="FFFF0000"/>
        <rFont val="Aptos Narrow"/>
        <family val="2"/>
        <scheme val="minor"/>
      </rPr>
      <t>(2)</t>
    </r>
  </si>
  <si>
    <r>
      <t>Q</t>
    </r>
    <r>
      <rPr>
        <b/>
        <vertAlign val="subscript"/>
        <sz val="14"/>
        <color rgb="FFFF0000"/>
        <rFont val="Aptos Narrow (Body)"/>
      </rPr>
      <t>EL</t>
    </r>
  </si>
  <si>
    <r>
      <t>Q</t>
    </r>
    <r>
      <rPr>
        <b/>
        <vertAlign val="subscript"/>
        <sz val="14"/>
        <color rgb="FFFF0000"/>
        <rFont val="Aptos Narrow (Body)"/>
      </rPr>
      <t>TOT</t>
    </r>
  </si>
  <si>
    <t>3. ROTATIONAL P.F.</t>
  </si>
  <si>
    <r>
      <t>[ kg m</t>
    </r>
    <r>
      <rPr>
        <b/>
        <vertAlign val="superscript"/>
        <sz val="14"/>
        <color rgb="FFFF0000"/>
        <rFont val="Aptos Narrow (Body)"/>
      </rPr>
      <t>2</t>
    </r>
    <r>
      <rPr>
        <b/>
        <sz val="14"/>
        <color rgb="FFFF0000"/>
        <rFont val="Aptos Narrow"/>
        <family val="2"/>
        <scheme val="minor"/>
      </rPr>
      <t xml:space="preserve"> ]</t>
    </r>
  </si>
  <si>
    <r>
      <t>Q</t>
    </r>
    <r>
      <rPr>
        <b/>
        <vertAlign val="subscript"/>
        <sz val="14"/>
        <color rgb="FFFF0000"/>
        <rFont val="Aptos Narrow (Body)"/>
      </rPr>
      <t>rot</t>
    </r>
    <r>
      <rPr>
        <b/>
        <sz val="14"/>
        <color rgb="FFFF0000"/>
        <rFont val="Aptos Narrow"/>
        <scheme val="minor"/>
      </rPr>
      <t>(1) and 𝜎=12</t>
    </r>
  </si>
  <si>
    <r>
      <t>Q</t>
    </r>
    <r>
      <rPr>
        <b/>
        <vertAlign val="subscript"/>
        <sz val="14"/>
        <color rgb="FFFF0000"/>
        <rFont val="Aptos Narrow (Body)"/>
      </rPr>
      <t>rot</t>
    </r>
    <r>
      <rPr>
        <b/>
        <sz val="14"/>
        <color rgb="FFFF0000"/>
        <rFont val="Aptos Narrow"/>
        <scheme val="minor"/>
      </rPr>
      <t>(2) and 𝜎=3</t>
    </r>
  </si>
  <si>
    <t>𝜎=12 and (1)</t>
  </si>
  <si>
    <t>𝜎=3 and (2)</t>
  </si>
  <si>
    <t>Theoretical 𝜎</t>
  </si>
  <si>
    <t>4. ELECTRONIC P.F.</t>
  </si>
  <si>
    <t xml:space="preserve">Energies SCF </t>
  </si>
  <si>
    <t>final</t>
  </si>
  <si>
    <t>[ Hartree ]</t>
  </si>
  <si>
    <t>[ J ]</t>
  </si>
  <si>
    <r>
      <t>E</t>
    </r>
    <r>
      <rPr>
        <b/>
        <vertAlign val="subscript"/>
        <sz val="14"/>
        <color rgb="FFFF0000"/>
        <rFont val="Aptos Narrow (Body)"/>
      </rPr>
      <t>el</t>
    </r>
    <r>
      <rPr>
        <b/>
        <sz val="14"/>
        <color rgb="FFFF0000"/>
        <rFont val="Aptos Narrow"/>
        <scheme val="minor"/>
      </rPr>
      <t xml:space="preserve"> [ J ]</t>
    </r>
  </si>
  <si>
    <r>
      <t>Q</t>
    </r>
    <r>
      <rPr>
        <b/>
        <vertAlign val="subscript"/>
        <sz val="14"/>
        <color rgb="FFFF0000"/>
        <rFont val="Aptos Narrow (Body)"/>
      </rPr>
      <t>el</t>
    </r>
  </si>
  <si>
    <t>CONTRIBUTES</t>
  </si>
  <si>
    <t>5. HEAT CAPACITY</t>
  </si>
  <si>
    <t>TRANS.</t>
  </si>
  <si>
    <t>VIBR.</t>
  </si>
  <si>
    <t>ROT.</t>
  </si>
  <si>
    <t>ELECT.</t>
  </si>
  <si>
    <t>Heat Capacity (V=const)</t>
  </si>
  <si>
    <t>[Cal/Mol-Kelvin]</t>
  </si>
  <si>
    <t>[ J mol-1 K -1 ]</t>
  </si>
  <si>
    <t xml:space="preserve">Translation </t>
  </si>
  <si>
    <t>Vibration</t>
  </si>
  <si>
    <t>Rotation</t>
  </si>
  <si>
    <t>Electron</t>
  </si>
  <si>
    <t>TOT</t>
  </si>
  <si>
    <t>6. ENTROPY</t>
  </si>
  <si>
    <t>Entropy</t>
  </si>
  <si>
    <t>ϑrot</t>
  </si>
  <si>
    <t>Vtilde</t>
  </si>
  <si>
    <t>Transl. Factor (A)</t>
  </si>
  <si>
    <t>EXPERIMENTAL DATA - H</t>
  </si>
  <si>
    <t>-</t>
  </si>
  <si>
    <t>THEORETICAL DATA - H</t>
  </si>
  <si>
    <r>
      <t>Q</t>
    </r>
    <r>
      <rPr>
        <b/>
        <vertAlign val="subscript"/>
        <sz val="14"/>
        <color rgb="FFFF0000"/>
        <rFont val="Aptos Narrow (Body)"/>
      </rPr>
      <t>rot</t>
    </r>
  </si>
  <si>
    <r>
      <t>EXPERIMENTAL DATA - CH</t>
    </r>
    <r>
      <rPr>
        <b/>
        <vertAlign val="subscript"/>
        <sz val="22"/>
        <color theme="1"/>
        <rFont val="Aptos Narrow (Body)"/>
      </rPr>
      <t>3</t>
    </r>
  </si>
  <si>
    <r>
      <t>THEORETICAL DATA - CH</t>
    </r>
    <r>
      <rPr>
        <b/>
        <vertAlign val="subscript"/>
        <sz val="22"/>
        <color theme="1"/>
        <rFont val="Aptos Narrow (Body)"/>
      </rPr>
      <t>3</t>
    </r>
  </si>
  <si>
    <r>
      <t>Q</t>
    </r>
    <r>
      <rPr>
        <b/>
        <vertAlign val="subscript"/>
        <sz val="14"/>
        <color rgb="FFFF0000"/>
        <rFont val="Aptos Narrow (Body)"/>
      </rPr>
      <t>rot</t>
    </r>
    <r>
      <rPr>
        <b/>
        <sz val="14"/>
        <color rgb="FFFF0000"/>
        <rFont val="Aptos Narrow"/>
        <scheme val="minor"/>
      </rPr>
      <t>(1) and 𝜎=6</t>
    </r>
  </si>
  <si>
    <r>
      <t>Q</t>
    </r>
    <r>
      <rPr>
        <b/>
        <vertAlign val="subscript"/>
        <sz val="14"/>
        <color rgb="FFFF0000"/>
        <rFont val="Aptos Narrow (Body)"/>
      </rPr>
      <t>rot</t>
    </r>
    <r>
      <rPr>
        <b/>
        <sz val="14"/>
        <color rgb="FFFF0000"/>
        <rFont val="Aptos Narrow"/>
        <scheme val="minor"/>
      </rPr>
      <t>(2) and 𝜎=6</t>
    </r>
  </si>
  <si>
    <t>𝜎=6 and (1)</t>
  </si>
  <si>
    <t>𝜎=6 and (2)</t>
  </si>
  <si>
    <r>
      <t>EXPERIMENTAL DATA - H</t>
    </r>
    <r>
      <rPr>
        <b/>
        <vertAlign val="subscript"/>
        <sz val="22"/>
        <color theme="1"/>
        <rFont val="Aptos Narrow (Body)"/>
      </rPr>
      <t>2</t>
    </r>
  </si>
  <si>
    <t>𝜎=2 and (1)</t>
  </si>
  <si>
    <t>Rotational Temperature [ K ]</t>
  </si>
  <si>
    <r>
      <t>Moment of Inertia [kg m</t>
    </r>
    <r>
      <rPr>
        <b/>
        <vertAlign val="superscript"/>
        <sz val="14"/>
        <color rgb="FFFF0000"/>
        <rFont val="Aptos Narrow (Body)"/>
      </rPr>
      <t>2</t>
    </r>
    <r>
      <rPr>
        <b/>
        <sz val="14"/>
        <color rgb="FFFF0000"/>
        <rFont val="Aptos Narrow"/>
        <scheme val="minor"/>
      </rPr>
      <t>]</t>
    </r>
  </si>
  <si>
    <r>
      <t>m</t>
    </r>
    <r>
      <rPr>
        <b/>
        <vertAlign val="subscript"/>
        <sz val="14"/>
        <color rgb="FFFF0000"/>
        <rFont val="Aptos Narrow (Body)"/>
      </rPr>
      <t>a</t>
    </r>
    <r>
      <rPr>
        <b/>
        <sz val="14"/>
        <color rgb="FFFF0000"/>
        <rFont val="Aptos Narrow"/>
        <family val="2"/>
        <scheme val="minor"/>
      </rPr>
      <t xml:space="preserve"> [kg]</t>
    </r>
  </si>
  <si>
    <r>
      <t>m</t>
    </r>
    <r>
      <rPr>
        <b/>
        <vertAlign val="subscript"/>
        <sz val="14"/>
        <color rgb="FFFF0000"/>
        <rFont val="Aptos Narrow (Body)"/>
      </rPr>
      <t>b</t>
    </r>
    <r>
      <rPr>
        <b/>
        <sz val="14"/>
        <color rgb="FFFF0000"/>
        <rFont val="Aptos Narrow"/>
        <scheme val="minor"/>
      </rPr>
      <t xml:space="preserve"> [kg]</t>
    </r>
  </si>
  <si>
    <r>
      <t>r</t>
    </r>
    <r>
      <rPr>
        <b/>
        <vertAlign val="subscript"/>
        <sz val="14"/>
        <color rgb="FFFF0000"/>
        <rFont val="Aptos Narrow (Body)"/>
      </rPr>
      <t>e</t>
    </r>
    <r>
      <rPr>
        <b/>
        <sz val="14"/>
        <color rgb="FFFF0000"/>
        <rFont val="Aptos Narrow"/>
        <scheme val="minor"/>
      </rPr>
      <t xml:space="preserve"> [m]</t>
    </r>
  </si>
  <si>
    <r>
      <t>Q</t>
    </r>
    <r>
      <rPr>
        <b/>
        <vertAlign val="subscript"/>
        <sz val="14"/>
        <color rgb="FFFF0000"/>
        <rFont val="Aptos Narrow (Body)"/>
      </rPr>
      <t>ROT</t>
    </r>
  </si>
  <si>
    <t>2. VIBRATIONAL 𝜐=0  P.F.</t>
  </si>
  <si>
    <r>
      <t>Q</t>
    </r>
    <r>
      <rPr>
        <b/>
        <vertAlign val="subscript"/>
        <sz val="20"/>
        <color rgb="FFFF0000"/>
        <rFont val="Aptos Narrow (Body)"/>
      </rPr>
      <t>i,vib</t>
    </r>
    <r>
      <rPr>
        <b/>
        <vertAlign val="superscript"/>
        <sz val="20"/>
        <color rgb="FFFF0000"/>
        <rFont val="Aptos Narrow (Body)"/>
      </rPr>
      <t>𝜐=0</t>
    </r>
  </si>
  <si>
    <r>
      <rPr>
        <b/>
        <sz val="14"/>
        <color rgb="FFFF0000"/>
        <rFont val="Aptos Narrow (Body)"/>
      </rPr>
      <t>g</t>
    </r>
    <r>
      <rPr>
        <b/>
        <vertAlign val="subscript"/>
        <sz val="14"/>
        <color rgb="FFFF0000"/>
        <rFont val="Aptos Narrow (Body)"/>
      </rPr>
      <t>EL</t>
    </r>
  </si>
  <si>
    <r>
      <t>Q</t>
    </r>
    <r>
      <rPr>
        <b/>
        <vertAlign val="subscript"/>
        <sz val="20"/>
        <color rgb="FFFF0000"/>
        <rFont val="Aptos Narrow (Body)"/>
      </rPr>
      <t>i,vib</t>
    </r>
    <r>
      <rPr>
        <b/>
        <vertAlign val="superscript"/>
        <sz val="20"/>
        <color rgb="FFFF0000"/>
        <rFont val="Aptos Narrow (Body)"/>
      </rPr>
      <t>𝜐=0</t>
    </r>
    <r>
      <rPr>
        <b/>
        <sz val="20"/>
        <color rgb="FFFF0000"/>
        <rFont val="Aptos Narrow (Body)"/>
      </rPr>
      <t xml:space="preserve">	</t>
    </r>
  </si>
  <si>
    <r>
      <t>Q</t>
    </r>
    <r>
      <rPr>
        <b/>
        <vertAlign val="subscript"/>
        <sz val="14"/>
        <color rgb="FFFF0000"/>
        <rFont val="Aptos Narrow (Body)"/>
      </rPr>
      <t>vib</t>
    </r>
  </si>
  <si>
    <r>
      <t>Q</t>
    </r>
    <r>
      <rPr>
        <b/>
        <vertAlign val="subscript"/>
        <sz val="14"/>
        <color rgb="FFFF0000"/>
        <rFont val="Aptos Narrow (Body)"/>
      </rPr>
      <t>vib</t>
    </r>
    <r>
      <rPr>
        <b/>
        <vertAlign val="superscript"/>
        <sz val="14"/>
        <color rgb="FFFF0000"/>
        <rFont val="Aptos Narrow (Body)"/>
      </rPr>
      <t>𝜐=0</t>
    </r>
  </si>
  <si>
    <t>ZPE</t>
  </si>
  <si>
    <t>ZPE[kcal/mol]</t>
  </si>
  <si>
    <r>
      <t>Q</t>
    </r>
    <r>
      <rPr>
        <b/>
        <vertAlign val="subscript"/>
        <sz val="14"/>
        <color rgb="FFFF0000"/>
        <rFont val="Aptos Narrow (Body)"/>
      </rPr>
      <t>rot</t>
    </r>
    <r>
      <rPr>
        <b/>
        <sz val="14"/>
        <color rgb="FFFF0000"/>
        <rFont val="Aptos Narrow"/>
        <scheme val="minor"/>
      </rPr>
      <t xml:space="preserve"> and 𝜎=2</t>
    </r>
  </si>
  <si>
    <r>
      <t>x Q</t>
    </r>
    <r>
      <rPr>
        <b/>
        <vertAlign val="subscript"/>
        <sz val="14"/>
        <color rgb="FFFF0000"/>
        <rFont val="Aptos Narrow (Body)"/>
      </rPr>
      <t>vib</t>
    </r>
  </si>
  <si>
    <t>x Qrot(1) - 298.15K</t>
  </si>
  <si>
    <t>Vibration     1</t>
  </si>
  <si>
    <t>Vibration     2</t>
  </si>
  <si>
    <t xml:space="preserve">Vib (Bot)    1 </t>
  </si>
  <si>
    <t>Vib (Bot)    2</t>
  </si>
  <si>
    <t xml:space="preserve">Vib (V=0)    1 </t>
  </si>
  <si>
    <t xml:space="preserve">Vib (V=0)    2  </t>
  </si>
  <si>
    <r>
      <t>x Q</t>
    </r>
    <r>
      <rPr>
        <b/>
        <vertAlign val="subscript"/>
        <sz val="14"/>
        <color rgb="FFFF0000"/>
        <rFont val="Aptos Narrow (Body)"/>
      </rPr>
      <t>vib</t>
    </r>
    <r>
      <rPr>
        <b/>
        <vertAlign val="superscript"/>
        <sz val="14"/>
        <color rgb="FFFF0000"/>
        <rFont val="Aptos Narrow (Body)"/>
      </rPr>
      <t>𝜐=0</t>
    </r>
  </si>
  <si>
    <t>COMPARISON AT 300 K (Gaussian output is actually set at 300 K)</t>
  </si>
  <si>
    <t>300 K</t>
  </si>
  <si>
    <t>x Qrot(1) - 300 K</t>
  </si>
  <si>
    <t>Choice for scanning coordinate</t>
  </si>
  <si>
    <t>hh7</t>
  </si>
  <si>
    <t>hc5</t>
  </si>
  <si>
    <t>E (kcal/mol)</t>
  </si>
  <si>
    <t>E (Hartree)</t>
  </si>
  <si>
    <r>
      <t>E</t>
    </r>
    <r>
      <rPr>
        <b/>
        <vertAlign val="subscript"/>
        <sz val="14"/>
        <color theme="1"/>
        <rFont val="Aptos Narrow (Body)"/>
      </rPr>
      <t>a</t>
    </r>
    <r>
      <rPr>
        <b/>
        <sz val="14"/>
        <color theme="1"/>
        <rFont val="Aptos Narrow"/>
        <scheme val="minor"/>
      </rPr>
      <t>[kcal/mol]</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</si>
  <si>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Body)"/>
      </rPr>
      <t xml:space="preserve">≠ </t>
    </r>
    <r>
      <rPr>
        <sz val="12"/>
        <color theme="1"/>
        <rFont val="Aptos Narrow"/>
        <family val="2"/>
        <scheme val="minor"/>
      </rPr>
      <t>[J]</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</si>
  <si>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family val="2"/>
        <scheme val="minor"/>
      </rPr>
      <t>CH</t>
    </r>
    <r>
      <rPr>
        <vertAlign val="subscript"/>
        <sz val="12"/>
        <color theme="1"/>
        <rFont val="Aptos Narrow (Body)"/>
      </rPr>
      <t xml:space="preserve">4 </t>
    </r>
    <r>
      <rPr>
        <sz val="12"/>
        <color theme="1"/>
        <rFont val="Aptos Narrow"/>
        <family val="2"/>
        <scheme val="minor"/>
      </rPr>
      <t>[J]</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</si>
  <si>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Body)"/>
      </rPr>
      <t xml:space="preserve">H </t>
    </r>
    <r>
      <rPr>
        <sz val="12"/>
        <color theme="1"/>
        <rFont val="Aptos Narrow"/>
        <family val="2"/>
        <scheme val="minor"/>
      </rPr>
      <t>[J]</t>
    </r>
  </si>
  <si>
    <t>Ea [J]</t>
  </si>
  <si>
    <r>
      <t>FORWARD : 𝐶𝐻</t>
    </r>
    <r>
      <rPr>
        <b/>
        <vertAlign val="subscript"/>
        <sz val="14"/>
        <color theme="1"/>
        <rFont val="Aptos Narrow (Body)"/>
      </rPr>
      <t>4</t>
    </r>
    <r>
      <rPr>
        <b/>
        <sz val="14"/>
        <color theme="1"/>
        <rFont val="Aptos Narrow"/>
        <scheme val="minor"/>
      </rPr>
      <t>+𝐻 →𝐶𝐻</t>
    </r>
    <r>
      <rPr>
        <b/>
        <vertAlign val="subscript"/>
        <sz val="14"/>
        <color theme="1"/>
        <rFont val="Aptos Narrow (Body)"/>
      </rPr>
      <t>3</t>
    </r>
    <r>
      <rPr>
        <b/>
        <sz val="14"/>
        <color theme="1"/>
        <rFont val="Aptos Narrow"/>
        <scheme val="minor"/>
      </rPr>
      <t>+𝐻</t>
    </r>
    <r>
      <rPr>
        <b/>
        <vertAlign val="subscript"/>
        <sz val="14"/>
        <color theme="1"/>
        <rFont val="Aptos Narrow (Body)"/>
      </rPr>
      <t>2</t>
    </r>
  </si>
  <si>
    <t>TS</t>
  </si>
  <si>
    <t>H</t>
  </si>
  <si>
    <r>
      <t>CH</t>
    </r>
    <r>
      <rPr>
        <b/>
        <vertAlign val="subscript"/>
        <sz val="12"/>
        <color theme="1"/>
        <rFont val="Aptos Narrow (Body)"/>
      </rPr>
      <t>4</t>
    </r>
  </si>
  <si>
    <r>
      <t>Q</t>
    </r>
    <r>
      <rPr>
        <vertAlign val="superscript"/>
        <sz val="12"/>
        <color theme="1"/>
        <rFont val="Aptos Narrow (Body)"/>
      </rPr>
      <t>trasl</t>
    </r>
  </si>
  <si>
    <r>
      <t>Q</t>
    </r>
    <r>
      <rPr>
        <vertAlign val="superscript"/>
        <sz val="12"/>
        <color theme="1"/>
        <rFont val="Aptos Narrow (Body)"/>
      </rPr>
      <t>rot</t>
    </r>
  </si>
  <si>
    <r>
      <t>Q</t>
    </r>
    <r>
      <rPr>
        <vertAlign val="superscript"/>
        <sz val="12"/>
        <color theme="1"/>
        <rFont val="Aptos Narrow (Body)"/>
      </rPr>
      <t>vib(𝜐=0)</t>
    </r>
  </si>
  <si>
    <r>
      <t>g</t>
    </r>
    <r>
      <rPr>
        <vertAlign val="superscript"/>
        <sz val="12"/>
        <color theme="1"/>
        <rFont val="Aptos Narrow (Body)"/>
      </rPr>
      <t>el</t>
    </r>
  </si>
  <si>
    <t>Temp</t>
  </si>
  <si>
    <r>
      <t>Q</t>
    </r>
    <r>
      <rPr>
        <vertAlign val="subscript"/>
        <sz val="12"/>
        <color theme="1"/>
        <rFont val="Aptos Narrow (Body)"/>
      </rPr>
      <t>≠</t>
    </r>
  </si>
  <si>
    <r>
      <t>Q</t>
    </r>
    <r>
      <rPr>
        <vertAlign val="subscript"/>
        <sz val="12"/>
        <color theme="1"/>
        <rFont val="Aptos Narrow (Body)"/>
      </rPr>
      <t>R</t>
    </r>
  </si>
  <si>
    <t>𝜎=1and (2)</t>
  </si>
  <si>
    <t>𝜎=1 and (1)</t>
  </si>
  <si>
    <r>
      <t>k</t>
    </r>
    <r>
      <rPr>
        <vertAlign val="subscript"/>
        <sz val="12"/>
        <color theme="1"/>
        <rFont val="Aptos Narrow (Body)"/>
      </rPr>
      <t>c</t>
    </r>
    <r>
      <rPr>
        <sz val="12"/>
        <color theme="1"/>
        <rFont val="Aptos Narrow"/>
        <family val="2"/>
        <scheme val="minor"/>
      </rPr>
      <t>[s</t>
    </r>
    <r>
      <rPr>
        <vertAlign val="superscript"/>
        <sz val="12"/>
        <color theme="1"/>
        <rFont val="Aptos Narrow (Body)"/>
      </rPr>
      <t>-1</t>
    </r>
    <r>
      <rPr>
        <sz val="12"/>
        <color theme="1"/>
        <rFont val="Aptos Narrow"/>
        <family val="2"/>
        <scheme val="minor"/>
      </rPr>
      <t>]</t>
    </r>
  </si>
  <si>
    <r>
      <t>k</t>
    </r>
    <r>
      <rPr>
        <vertAlign val="subscript"/>
        <sz val="12"/>
        <color theme="1"/>
        <rFont val="Aptos Narrow (Body)"/>
      </rPr>
      <t>c</t>
    </r>
    <r>
      <rPr>
        <sz val="12"/>
        <color theme="1"/>
        <rFont val="Aptos Narrow"/>
        <family val="2"/>
        <scheme val="minor"/>
      </rPr>
      <t>[cm</t>
    </r>
    <r>
      <rPr>
        <vertAlign val="superscript"/>
        <sz val="12"/>
        <color theme="1"/>
        <rFont val="Aptos Narrow (Body)"/>
      </rPr>
      <t>3</t>
    </r>
    <r>
      <rPr>
        <sz val="12"/>
        <color theme="1"/>
        <rFont val="Aptos Narrow"/>
        <family val="2"/>
        <scheme val="minor"/>
      </rPr>
      <t>molecule</t>
    </r>
    <r>
      <rPr>
        <vertAlign val="superscript"/>
        <sz val="12"/>
        <color theme="1"/>
        <rFont val="Aptos Narrow (Body)"/>
      </rPr>
      <t>-1</t>
    </r>
    <r>
      <rPr>
        <sz val="12"/>
        <color theme="1"/>
        <rFont val="Aptos Narrow"/>
        <family val="2"/>
        <scheme val="minor"/>
      </rPr>
      <t xml:space="preserve"> s</t>
    </r>
    <r>
      <rPr>
        <vertAlign val="superscript"/>
        <sz val="12"/>
        <color theme="1"/>
        <rFont val="Aptos Narrow (Body)"/>
      </rPr>
      <t>-1</t>
    </r>
    <r>
      <rPr>
        <sz val="12"/>
        <color theme="1"/>
        <rFont val="Aptos Narrow"/>
        <family val="2"/>
        <scheme val="minor"/>
      </rPr>
      <t>]</t>
    </r>
  </si>
  <si>
    <r>
      <t>k</t>
    </r>
    <r>
      <rPr>
        <vertAlign val="subscript"/>
        <sz val="12"/>
        <color theme="1"/>
        <rFont val="Aptos Narrow (Body)"/>
      </rPr>
      <t>c</t>
    </r>
    <r>
      <rPr>
        <sz val="12"/>
        <color theme="1"/>
        <rFont val="Aptos Narrow"/>
        <family val="2"/>
        <scheme val="minor"/>
      </rPr>
      <t xml:space="preserve"> exp [cm</t>
    </r>
    <r>
      <rPr>
        <vertAlign val="superscript"/>
        <sz val="12"/>
        <color theme="1"/>
        <rFont val="Aptos Narrow (Body)"/>
      </rPr>
      <t>3</t>
    </r>
    <r>
      <rPr>
        <sz val="12"/>
        <color theme="1"/>
        <rFont val="Aptos Narrow"/>
        <family val="2"/>
        <scheme val="minor"/>
      </rPr>
      <t>molecule</t>
    </r>
    <r>
      <rPr>
        <vertAlign val="superscript"/>
        <sz val="12"/>
        <color theme="1"/>
        <rFont val="Aptos Narrow (Body)"/>
      </rPr>
      <t>-1</t>
    </r>
    <r>
      <rPr>
        <sz val="12"/>
        <color theme="1"/>
        <rFont val="Aptos Narrow"/>
        <family val="2"/>
        <scheme val="minor"/>
      </rPr>
      <t xml:space="preserve"> s</t>
    </r>
    <r>
      <rPr>
        <vertAlign val="superscript"/>
        <sz val="12"/>
        <color theme="1"/>
        <rFont val="Aptos Narrow (Body)"/>
      </rPr>
      <t>-1</t>
    </r>
    <r>
      <rPr>
        <sz val="12"/>
        <color theme="1"/>
        <rFont val="Aptos Narrow"/>
        <family val="2"/>
        <scheme val="minor"/>
      </rPr>
      <t>]</t>
    </r>
  </si>
  <si>
    <r>
      <t>k</t>
    </r>
    <r>
      <rPr>
        <vertAlign val="subscript"/>
        <sz val="12"/>
        <color theme="1"/>
        <rFont val="Aptos Narrow (Body)"/>
      </rPr>
      <t>c</t>
    </r>
    <r>
      <rPr>
        <sz val="12"/>
        <color theme="1"/>
        <rFont val="Aptos Narrow"/>
        <family val="2"/>
        <scheme val="minor"/>
      </rPr>
      <t>[m</t>
    </r>
    <r>
      <rPr>
        <vertAlign val="superscript"/>
        <sz val="12"/>
        <color theme="1"/>
        <rFont val="Aptos Narrow (Body)"/>
      </rPr>
      <t>3</t>
    </r>
    <r>
      <rPr>
        <sz val="12"/>
        <color theme="1"/>
        <rFont val="Aptos Narrow"/>
        <family val="2"/>
        <scheme val="minor"/>
      </rPr>
      <t>mol</t>
    </r>
    <r>
      <rPr>
        <vertAlign val="superscript"/>
        <sz val="12"/>
        <color theme="1"/>
        <rFont val="Aptos Narrow (Body)"/>
      </rPr>
      <t>-1</t>
    </r>
    <r>
      <rPr>
        <sz val="12"/>
        <color theme="1"/>
        <rFont val="Aptos Narrow"/>
        <family val="2"/>
        <scheme val="minor"/>
      </rPr>
      <t xml:space="preserve"> s</t>
    </r>
    <r>
      <rPr>
        <vertAlign val="superscript"/>
        <sz val="12"/>
        <color theme="1"/>
        <rFont val="Aptos Narrow (Body)"/>
      </rPr>
      <t>-1</t>
    </r>
    <r>
      <rPr>
        <sz val="12"/>
        <color theme="1"/>
        <rFont val="Aptos Narrow"/>
        <family val="2"/>
        <scheme val="minor"/>
      </rPr>
      <t>]</t>
    </r>
  </si>
  <si>
    <t>err %</t>
  </si>
  <si>
    <r>
      <t>BACKWARD :  𝐶𝐻</t>
    </r>
    <r>
      <rPr>
        <b/>
        <vertAlign val="subscript"/>
        <sz val="14"/>
        <color theme="1"/>
        <rFont val="Aptos Narrow (Body)"/>
      </rPr>
      <t>3</t>
    </r>
    <r>
      <rPr>
        <b/>
        <sz val="14"/>
        <color theme="1"/>
        <rFont val="Aptos Narrow"/>
        <scheme val="minor"/>
      </rPr>
      <t>+𝐻</t>
    </r>
    <r>
      <rPr>
        <b/>
        <vertAlign val="subscript"/>
        <sz val="14"/>
        <color theme="1"/>
        <rFont val="Aptos Narrow (Body)"/>
      </rPr>
      <t xml:space="preserve">2 </t>
    </r>
    <r>
      <rPr>
        <b/>
        <sz val="14"/>
        <color theme="1"/>
        <rFont val="Aptos Narrow (Body)"/>
      </rPr>
      <t>→ 𝐶𝐻</t>
    </r>
    <r>
      <rPr>
        <b/>
        <vertAlign val="subscript"/>
        <sz val="14"/>
        <color theme="1"/>
        <rFont val="Aptos Narrow (Body)"/>
      </rPr>
      <t>4</t>
    </r>
    <r>
      <rPr>
        <b/>
        <sz val="14"/>
        <color theme="1"/>
        <rFont val="Aptos Narrow (Body)"/>
      </rPr>
      <t>+𝐻</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</si>
  <si>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family val="2"/>
        <scheme val="minor"/>
      </rPr>
      <t>CH3</t>
    </r>
    <r>
      <rPr>
        <vertAlign val="subscript"/>
        <sz val="12"/>
        <color theme="1"/>
        <rFont val="Aptos Narrow (Body)"/>
      </rPr>
      <t xml:space="preserve"> </t>
    </r>
    <r>
      <rPr>
        <sz val="12"/>
        <color theme="1"/>
        <rFont val="Aptos Narrow"/>
        <family val="2"/>
        <scheme val="minor"/>
      </rPr>
      <t>[J]</t>
    </r>
  </si>
  <si>
    <r>
      <t>(𝐸</t>
    </r>
    <r>
      <rPr>
        <vertAlign val="subscript"/>
        <sz val="12"/>
        <color theme="1"/>
        <rFont val="Aptos Narrow (Body)"/>
      </rPr>
      <t>𝑒𝑙</t>
    </r>
    <r>
      <rPr>
        <sz val="12"/>
        <color theme="1"/>
        <rFont val="Aptos Narrow"/>
        <family val="2"/>
        <scheme val="minor"/>
      </rPr>
      <t>+𝑍𝑃𝐸)</t>
    </r>
    <r>
      <rPr>
        <vertAlign val="subscript"/>
        <sz val="12"/>
        <color theme="1"/>
        <rFont val="Aptos Narrow (Body)"/>
      </rPr>
      <t xml:space="preserve">H2 </t>
    </r>
    <r>
      <rPr>
        <sz val="12"/>
        <color theme="1"/>
        <rFont val="Aptos Narrow"/>
        <family val="2"/>
        <scheme val="minor"/>
      </rPr>
      <t>[J]</t>
    </r>
  </si>
  <si>
    <r>
      <t>CH</t>
    </r>
    <r>
      <rPr>
        <b/>
        <vertAlign val="subscript"/>
        <sz val="12"/>
        <color theme="1"/>
        <rFont val="Aptos Narrow (Body)"/>
      </rPr>
      <t>3</t>
    </r>
  </si>
  <si>
    <r>
      <t>H</t>
    </r>
    <r>
      <rPr>
        <b/>
        <vertAlign val="subscript"/>
        <sz val="12"/>
        <color theme="1"/>
        <rFont val="Aptos Narrow (Body)"/>
      </rPr>
      <t>2</t>
    </r>
  </si>
  <si>
    <t>QUANTUM TUNNELING CORRECTIONS</t>
  </si>
  <si>
    <r>
      <t>Q</t>
    </r>
    <r>
      <rPr>
        <vertAlign val="subscript"/>
        <sz val="14"/>
        <color theme="1"/>
        <rFont val="Cambria Math"/>
        <family val="1"/>
      </rPr>
      <t>tunnel</t>
    </r>
    <r>
      <rPr>
        <sz val="14"/>
        <color theme="1"/>
        <rFont val="Cambria Math"/>
        <family val="1"/>
      </rPr>
      <t xml:space="preserve"> - FORWARD</t>
    </r>
  </si>
  <si>
    <t>Qtunnel - BACKWARD</t>
  </si>
  <si>
    <t>kc corrected - FORWARD</t>
  </si>
  <si>
    <t>kc corrected - BACKWARD</t>
  </si>
  <si>
    <r>
      <t>Q</t>
    </r>
    <r>
      <rPr>
        <b/>
        <vertAlign val="subscript"/>
        <sz val="14"/>
        <color rgb="FFFF0000"/>
        <rFont val="Aptos Narrow (Body)"/>
      </rPr>
      <t>rot</t>
    </r>
    <r>
      <rPr>
        <b/>
        <sz val="14"/>
        <color rgb="FFFF0000"/>
        <rFont val="Aptos Narrow"/>
        <scheme val="minor"/>
      </rPr>
      <t>(1) and 𝜎=1</t>
    </r>
  </si>
  <si>
    <r>
      <t>Q</t>
    </r>
    <r>
      <rPr>
        <b/>
        <vertAlign val="subscript"/>
        <sz val="14"/>
        <color rgb="FFFF0000"/>
        <rFont val="Aptos Narrow (Body)"/>
      </rPr>
      <t>rot</t>
    </r>
    <r>
      <rPr>
        <b/>
        <sz val="14"/>
        <color rgb="FFFF0000"/>
        <rFont val="Aptos Narrow"/>
        <scheme val="minor"/>
      </rPr>
      <t>(2) and 𝜎=1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</si>
</sst>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0000"/>
  </numFmts>
  <fonts count="54" x14ac:knownFonts="1">
    <font>
      <sz val="12"/>
      <color theme="1"/>
      <name val="Aptos Narrow"/>
      <family val="2"/>
      <scheme val="minor"/>
    </font>
    <font>
      <b/>
      <sz val="12"/>
      <color theme="1"/>
      <name val="Aptos Narrow"/>
      <family val="2"/>
      <scheme val="minor"/>
    </font>
    <font>
      <sz val="12"/>
      <color theme="1"/>
      <name val="Aptos Narrow"/>
      <scheme val="minor"/>
    </font>
    <font>
      <sz val="14"/>
      <color theme="1"/>
      <name val="Aptos Narrow"/>
      <scheme val="minor"/>
    </font>
    <font>
      <b/>
      <sz val="16"/>
      <color theme="1"/>
      <name val="Aptos Narrow"/>
      <scheme val="minor"/>
    </font>
    <font>
      <b/>
      <sz val="14"/>
      <color theme="1"/>
      <name val="Aptos Narrow"/>
      <scheme val="minor"/>
    </font>
    <font>
      <sz val="14"/>
      <color theme="1"/>
      <name val="Aptos Narrow"/>
      <family val="2"/>
      <scheme val="minor"/>
    </font>
    <font>
      <b/>
      <vertAlign val="subscript"/>
      <sz val="14"/>
      <color theme="1"/>
      <name val="Aptos Narrow"/>
      <scheme val="minor"/>
    </font>
    <font>
      <vertAlign val="superscript"/>
      <sz val="14"/>
      <color theme="1"/>
      <name val="Aptos Narrow"/>
      <scheme val="minor"/>
    </font>
    <font>
      <sz val="14"/>
      <color theme="1"/>
      <name val="Aptos Narrow (Corpo)"/>
    </font>
    <font>
      <sz val="14"/>
      <color rgb="FF202122"/>
      <name val="Aptos Narrow"/>
      <scheme val="minor"/>
    </font>
    <font>
      <b/>
      <sz val="10"/>
      <color theme="1"/>
      <name val="Aptos Narrow (Body)"/>
    </font>
    <font>
      <b/>
      <vertAlign val="superscript"/>
      <sz val="14"/>
      <color theme="1"/>
      <name val="Aptos Narrow"/>
      <scheme val="minor"/>
    </font>
    <font>
      <b/>
      <vertAlign val="subscript"/>
      <sz val="14"/>
      <color theme="1"/>
      <name val="Aptos Narrow (Body)"/>
    </font>
    <font>
      <b/>
      <sz val="14"/>
      <color rgb="FF202122"/>
      <name val="Aptos Narrow"/>
      <scheme val="minor"/>
    </font>
    <font>
      <b/>
      <vertAlign val="subscript"/>
      <sz val="14"/>
      <color rgb="FF202122"/>
      <name val="Aptos Narrow"/>
      <scheme val="minor"/>
    </font>
    <font>
      <vertAlign val="subscript"/>
      <sz val="14"/>
      <color rgb="FF202122"/>
      <name val="Aptos Narrow"/>
      <scheme val="minor"/>
    </font>
    <font>
      <sz val="14"/>
      <color rgb="FF202122"/>
      <name val="Aptos Narrow (Corpo)"/>
    </font>
    <font>
      <vertAlign val="superscript"/>
      <sz val="14"/>
      <color rgb="FF202122"/>
      <name val="Aptos Narrow"/>
      <scheme val="minor"/>
    </font>
    <font>
      <sz val="14"/>
      <color rgb="FF202122"/>
      <name val="Arial"/>
      <family val="2"/>
    </font>
    <font>
      <sz val="14"/>
      <color rgb="FF000000"/>
      <name val="Aptos Narrow"/>
      <scheme val="minor"/>
    </font>
    <font>
      <b/>
      <vertAlign val="subscript"/>
      <sz val="14"/>
      <color theme="1"/>
      <name val="Aptos Narrow (Corpo)"/>
    </font>
    <font>
      <vertAlign val="superscript"/>
      <sz val="14"/>
      <color theme="1"/>
      <name val="Aptos Narrow (Body)"/>
    </font>
    <font>
      <b/>
      <sz val="22"/>
      <color theme="1"/>
      <name val="Aptos Narrow"/>
      <scheme val="minor"/>
    </font>
    <font>
      <b/>
      <vertAlign val="subscript"/>
      <sz val="22"/>
      <color theme="1"/>
      <name val="Aptos Narrow (Body)"/>
    </font>
    <font>
      <b/>
      <sz val="14"/>
      <color rgb="FFFF0000"/>
      <name val="Aptos Narrow"/>
      <scheme val="minor"/>
    </font>
    <font>
      <b/>
      <sz val="14"/>
      <color rgb="FFFF0000"/>
      <name val="Aptos Narrow (Body)"/>
    </font>
    <font>
      <b/>
      <sz val="14"/>
      <name val="Calibri"/>
      <family val="2"/>
    </font>
    <font>
      <b/>
      <vertAlign val="subscript"/>
      <sz val="14"/>
      <name val="Calibri"/>
      <family val="2"/>
    </font>
    <font>
      <b/>
      <sz val="14"/>
      <color theme="1"/>
      <name val="Aptos Narrow"/>
      <family val="2"/>
      <scheme val="minor"/>
    </font>
    <font>
      <b/>
      <vertAlign val="superscript"/>
      <sz val="14"/>
      <color theme="1"/>
      <name val="Aptos Narrow (Body)"/>
    </font>
    <font>
      <b/>
      <sz val="14"/>
      <color rgb="FFFF0000"/>
      <name val="Calibri"/>
      <family val="2"/>
    </font>
    <font>
      <b/>
      <sz val="12"/>
      <color theme="1"/>
      <name val="Aptos Narrow"/>
      <scheme val="minor"/>
    </font>
    <font>
      <sz val="14"/>
      <color theme="1"/>
      <name val="Calibri"/>
      <family val="2"/>
    </font>
    <font>
      <b/>
      <sz val="20"/>
      <color theme="1"/>
      <name val="Aptos Narrow (Body)"/>
    </font>
    <font>
      <sz val="20"/>
      <color theme="1"/>
      <name val="Aptos Narrow"/>
      <family val="2"/>
      <scheme val="minor"/>
    </font>
    <font>
      <b/>
      <vertAlign val="superscript"/>
      <sz val="14"/>
      <color rgb="FFFF0000"/>
      <name val="Aptos Narrow (Body)"/>
    </font>
    <font>
      <b/>
      <vertAlign val="subscript"/>
      <sz val="14"/>
      <color rgb="FFFF0000"/>
      <name val="Aptos Narrow (Body)"/>
    </font>
    <font>
      <b/>
      <sz val="16"/>
      <color theme="1"/>
      <name val="Aptos Narrow (Body)"/>
    </font>
    <font>
      <b/>
      <sz val="20"/>
      <color rgb="FFFF0000"/>
      <name val="Aptos Narrow (Body)"/>
    </font>
    <font>
      <b/>
      <vertAlign val="subscript"/>
      <sz val="20"/>
      <color rgb="FFFF0000"/>
      <name val="Aptos Narrow (Body)"/>
    </font>
    <font>
      <b/>
      <sz val="20"/>
      <color theme="1"/>
      <name val="Aptos Narrow"/>
      <scheme val="minor"/>
    </font>
    <font>
      <b/>
      <vertAlign val="subscript"/>
      <sz val="20"/>
      <color theme="1"/>
      <name val="Aptos Narrow (Body)"/>
    </font>
    <font>
      <b/>
      <sz val="14"/>
      <color rgb="FFFF0000"/>
      <name val="Aptos Narrow"/>
      <family val="2"/>
      <scheme val="minor"/>
    </font>
    <font>
      <b/>
      <sz val="14"/>
      <color theme="1"/>
      <name val="Aptos Narrow (Body)"/>
    </font>
    <font>
      <b/>
      <vertAlign val="superscript"/>
      <sz val="20"/>
      <color rgb="FFFF0000"/>
      <name val="Aptos Narrow (Body)"/>
    </font>
    <font>
      <sz val="14"/>
      <color rgb="FFFF0000"/>
      <name val="Aptos Narrow"/>
      <family val="2"/>
      <scheme val="minor"/>
    </font>
    <font>
      <b/>
      <sz val="11"/>
      <name val="Calibri"/>
      <family val="2"/>
    </font>
    <font>
      <vertAlign val="superscript"/>
      <sz val="12"/>
      <color theme="1"/>
      <name val="Aptos Narrow (Body)"/>
    </font>
    <font>
      <vertAlign val="subscript"/>
      <sz val="12"/>
      <color theme="1"/>
      <name val="Aptos Narrow (Body)"/>
    </font>
    <font>
      <vertAlign val="subscript"/>
      <sz val="12"/>
      <color theme="1"/>
      <name val="Aptos Narrow"/>
      <family val="2"/>
      <scheme val="minor"/>
    </font>
    <font>
      <b/>
      <vertAlign val="subscript"/>
      <sz val="12"/>
      <color theme="1"/>
      <name val="Aptos Narrow (Body)"/>
    </font>
    <font>
      <sz val="14"/>
      <color theme="1"/>
      <name val="Cambria Math"/>
      <family val="1"/>
    </font>
    <font>
      <vertAlign val="subscript"/>
      <sz val="14"/>
      <color theme="1"/>
      <name val="Cambria Math"/>
      <family val="1"/>
    </font>
  </fonts>
  <fills count="20">
    <fill>
      <patternFill patternType="none"/>
    </fill>
    <fill>
      <patternFill patternType="gray125"/>
    </fill>
    <fill>
      <patternFill patternType="solid">
        <fgColor theme="5" tint="0.39997558519241921"/>
        <bgColor indexed="64"/>
      </patternFill>
    </fill>
    <fill>
      <patternFill patternType="solid">
        <fgColor theme="3" tint="0.499984740745262"/>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1"/>
        <bgColor indexed="64"/>
      </patternFill>
    </fill>
    <fill>
      <patternFill patternType="solid">
        <fgColor rgb="FFFFC000"/>
        <bgColor indexed="64"/>
      </patternFill>
    </fill>
    <fill>
      <patternFill patternType="solid">
        <fgColor rgb="FFE97674"/>
        <bgColor indexed="64"/>
      </patternFill>
    </fill>
    <fill>
      <patternFill patternType="solid">
        <fgColor rgb="FF4D93D9"/>
        <bgColor rgb="FF000000"/>
      </patternFill>
    </fill>
    <fill>
      <patternFill patternType="solid">
        <fgColor theme="9" tint="0.39997558519241921"/>
        <bgColor indexed="64"/>
      </patternFill>
    </fill>
    <fill>
      <patternFill patternType="solid">
        <fgColor theme="0"/>
        <bgColor indexed="64"/>
      </patternFill>
    </fill>
    <fill>
      <patternFill patternType="solid">
        <fgColor rgb="FFFFFF00"/>
        <bgColor indexed="64"/>
      </patternFill>
    </fill>
    <fill>
      <patternFill patternType="solid">
        <fgColor rgb="FFFF6D29"/>
        <bgColor indexed="64"/>
      </patternFill>
    </fill>
    <fill>
      <patternFill patternType="solid">
        <fgColor rgb="FFFF471E"/>
        <bgColor indexed="64"/>
      </patternFill>
    </fill>
    <fill>
      <patternFill patternType="solid">
        <fgColor rgb="FFFF0000"/>
        <bgColor indexed="64"/>
      </patternFill>
    </fill>
    <fill>
      <patternFill patternType="solid">
        <fgColor rgb="FFFFD200"/>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7" tint="0.59999389629810485"/>
        <bgColor indexed="64"/>
      </patternFill>
    </fill>
  </fills>
  <borders count="77">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diagonalDown="1">
      <left style="medium">
        <color indexed="64"/>
      </left>
      <right style="thin">
        <color indexed="64"/>
      </right>
      <top style="thin">
        <color indexed="64"/>
      </top>
      <bottom style="thin">
        <color indexed="64"/>
      </bottom>
      <diagonal style="medium">
        <color indexed="64"/>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double">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thin">
        <color indexed="64"/>
      </top>
      <bottom style="medium">
        <color indexed="64"/>
      </bottom>
      <diagonal/>
    </border>
    <border diagonalDown="1">
      <left style="medium">
        <color indexed="64"/>
      </left>
      <right/>
      <top style="medium">
        <color indexed="64"/>
      </top>
      <bottom style="medium">
        <color indexed="64"/>
      </bottom>
      <diagonal style="thin">
        <color indexed="64"/>
      </diagonal>
    </border>
    <border>
      <left style="thin">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right style="thin">
        <color indexed="64"/>
      </right>
      <top style="medium">
        <color indexed="64"/>
      </top>
      <bottom style="thin">
        <color indexed="64"/>
      </bottom>
      <diagonal/>
    </border>
    <border diagonalDown="1">
      <left style="medium">
        <color indexed="64"/>
      </left>
      <right/>
      <top/>
      <bottom style="medium">
        <color indexed="64"/>
      </bottom>
      <diagonal style="thin">
        <color indexed="64"/>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right style="thin">
        <color indexed="64"/>
      </right>
      <top style="medium">
        <color indexed="64"/>
      </top>
      <bottom/>
      <diagonal/>
    </border>
    <border>
      <left/>
      <right style="thin">
        <color indexed="64"/>
      </right>
      <top/>
      <bottom/>
      <diagonal/>
    </border>
    <border>
      <left style="thin">
        <color indexed="64"/>
      </left>
      <right/>
      <top style="medium">
        <color indexed="64"/>
      </top>
      <bottom/>
      <diagonal/>
    </border>
    <border>
      <left style="thin">
        <color indexed="64"/>
      </left>
      <right/>
      <top/>
      <bottom/>
      <diagonal/>
    </border>
  </borders>
  <cellStyleXfs count="1">
    <xf numFmtId="0" fontId="0" fillId="0" borderId="0"/>
  </cellStyleXfs>
  <cellXfs count="520">
    <xf numFmtId="0" fontId="0" fillId="0" borderId="0" xfId="0"/>
    <xf numFmtId="0" fontId="2" fillId="0" borderId="0" xfId="0" applyFont="1"/>
    <xf numFmtId="0" fontId="3" fillId="0" borderId="0" xfId="0" applyFont="1"/>
    <xf numFmtId="0" fontId="4" fillId="2" borderId="1" xfId="0" applyFont="1" applyFill="1" applyBorder="1"/>
    <xf numFmtId="0" fontId="3" fillId="2" borderId="2" xfId="0" applyFont="1" applyFill="1" applyBorder="1"/>
    <xf numFmtId="0" fontId="4" fillId="3" borderId="3" xfId="0" applyFont="1" applyFill="1" applyBorder="1"/>
    <xf numFmtId="0" fontId="5" fillId="3" borderId="4" xfId="0" applyFont="1" applyFill="1" applyBorder="1"/>
    <xf numFmtId="0" fontId="2" fillId="3" borderId="5" xfId="0" applyFont="1" applyFill="1" applyBorder="1"/>
    <xf numFmtId="0" fontId="4" fillId="4" borderId="3" xfId="0" applyFont="1" applyFill="1" applyBorder="1"/>
    <xf numFmtId="0" fontId="6" fillId="4" borderId="4" xfId="0" applyFont="1" applyFill="1" applyBorder="1"/>
    <xf numFmtId="0" fontId="6" fillId="4" borderId="5" xfId="0" applyFont="1" applyFill="1" applyBorder="1"/>
    <xf numFmtId="0" fontId="4" fillId="5" borderId="3" xfId="0" applyFont="1" applyFill="1" applyBorder="1"/>
    <xf numFmtId="0" fontId="6" fillId="5" borderId="4" xfId="0" applyFont="1" applyFill="1" applyBorder="1"/>
    <xf numFmtId="0" fontId="6" fillId="5" borderId="5" xfId="0" applyFont="1" applyFill="1" applyBorder="1"/>
    <xf numFmtId="0" fontId="3" fillId="2" borderId="6" xfId="0" applyFont="1" applyFill="1" applyBorder="1"/>
    <xf numFmtId="11" fontId="10" fillId="2" borderId="7" xfId="0" applyNumberFormat="1" applyFont="1" applyFill="1" applyBorder="1"/>
    <xf numFmtId="0" fontId="11" fillId="3" borderId="8" xfId="0" applyFont="1" applyFill="1" applyBorder="1" applyAlignment="1">
      <alignment wrapText="1"/>
    </xf>
    <xf numFmtId="0" fontId="5" fillId="3" borderId="9" xfId="0" applyFont="1" applyFill="1" applyBorder="1"/>
    <xf numFmtId="0" fontId="12" fillId="3" borderId="9" xfId="0" applyFont="1" applyFill="1" applyBorder="1"/>
    <xf numFmtId="0" fontId="5" fillId="3" borderId="10" xfId="0" applyFont="1" applyFill="1" applyBorder="1"/>
    <xf numFmtId="0" fontId="11" fillId="4" borderId="8" xfId="0" applyFont="1" applyFill="1" applyBorder="1" applyAlignment="1">
      <alignment wrapText="1"/>
    </xf>
    <xf numFmtId="0" fontId="5" fillId="4" borderId="9" xfId="0" applyFont="1" applyFill="1" applyBorder="1"/>
    <xf numFmtId="0" fontId="5" fillId="4" borderId="10" xfId="0" applyFont="1" applyFill="1" applyBorder="1"/>
    <xf numFmtId="0" fontId="11" fillId="5" borderId="8" xfId="0" applyFont="1" applyFill="1" applyBorder="1" applyAlignment="1">
      <alignment wrapText="1"/>
    </xf>
    <xf numFmtId="0" fontId="5" fillId="5" borderId="9" xfId="0" applyFont="1" applyFill="1" applyBorder="1"/>
    <xf numFmtId="0" fontId="5" fillId="5" borderId="10" xfId="0" applyFont="1" applyFill="1" applyBorder="1"/>
    <xf numFmtId="0" fontId="3" fillId="2" borderId="11" xfId="0" applyFont="1" applyFill="1" applyBorder="1"/>
    <xf numFmtId="164" fontId="10" fillId="2" borderId="12" xfId="0" applyNumberFormat="1" applyFont="1" applyFill="1" applyBorder="1"/>
    <xf numFmtId="0" fontId="5" fillId="3" borderId="13" xfId="0" applyFont="1" applyFill="1" applyBorder="1"/>
    <xf numFmtId="0" fontId="5" fillId="4" borderId="13" xfId="0" applyFont="1" applyFill="1" applyBorder="1"/>
    <xf numFmtId="0" fontId="6" fillId="4" borderId="9" xfId="0" applyFont="1" applyFill="1" applyBorder="1"/>
    <xf numFmtId="11" fontId="6" fillId="4" borderId="10" xfId="0" applyNumberFormat="1" applyFont="1" applyFill="1" applyBorder="1"/>
    <xf numFmtId="0" fontId="5" fillId="5" borderId="13" xfId="0" applyFont="1" applyFill="1" applyBorder="1"/>
    <xf numFmtId="0" fontId="6" fillId="5" borderId="9" xfId="0" applyFont="1" applyFill="1" applyBorder="1"/>
    <xf numFmtId="11" fontId="6" fillId="5" borderId="9" xfId="0" applyNumberFormat="1" applyFont="1" applyFill="1" applyBorder="1"/>
    <xf numFmtId="11" fontId="6" fillId="5" borderId="10" xfId="0" applyNumberFormat="1" applyFont="1" applyFill="1" applyBorder="1"/>
    <xf numFmtId="0" fontId="10" fillId="2" borderId="14" xfId="0" applyFont="1" applyFill="1" applyBorder="1"/>
    <xf numFmtId="11" fontId="19" fillId="2" borderId="15" xfId="0" applyNumberFormat="1" applyFont="1" applyFill="1" applyBorder="1"/>
    <xf numFmtId="165" fontId="6" fillId="4" borderId="9" xfId="0" applyNumberFormat="1" applyFont="1" applyFill="1" applyBorder="1"/>
    <xf numFmtId="11" fontId="19" fillId="2" borderId="12" xfId="0" applyNumberFormat="1" applyFont="1" applyFill="1" applyBorder="1"/>
    <xf numFmtId="0" fontId="5" fillId="4" borderId="16" xfId="0" applyFont="1" applyFill="1" applyBorder="1"/>
    <xf numFmtId="11" fontId="6" fillId="4" borderId="17" xfId="0" applyNumberFormat="1" applyFont="1" applyFill="1" applyBorder="1"/>
    <xf numFmtId="0" fontId="6" fillId="4" borderId="18" xfId="0" applyFont="1" applyFill="1" applyBorder="1"/>
    <xf numFmtId="0" fontId="5" fillId="5" borderId="16" xfId="0" applyFont="1" applyFill="1" applyBorder="1"/>
    <xf numFmtId="11" fontId="6" fillId="5" borderId="17" xfId="0" applyNumberFormat="1" applyFont="1" applyFill="1" applyBorder="1"/>
    <xf numFmtId="0" fontId="6" fillId="5" borderId="18" xfId="0" applyFont="1" applyFill="1" applyBorder="1"/>
    <xf numFmtId="0" fontId="3" fillId="2" borderId="14" xfId="0" applyFont="1" applyFill="1" applyBorder="1"/>
    <xf numFmtId="11" fontId="6" fillId="2" borderId="15" xfId="0" applyNumberFormat="1" applyFont="1" applyFill="1" applyBorder="1"/>
    <xf numFmtId="11" fontId="6" fillId="2" borderId="12" xfId="0" applyNumberFormat="1" applyFont="1" applyFill="1" applyBorder="1"/>
    <xf numFmtId="0" fontId="12" fillId="3" borderId="13" xfId="0" applyFont="1" applyFill="1" applyBorder="1"/>
    <xf numFmtId="0" fontId="6" fillId="2" borderId="12" xfId="0" applyFont="1" applyFill="1" applyBorder="1" applyAlignment="1">
      <alignment horizontal="right" vertical="center"/>
    </xf>
    <xf numFmtId="11" fontId="6" fillId="2" borderId="12" xfId="0" applyNumberFormat="1" applyFont="1" applyFill="1" applyBorder="1" applyAlignment="1">
      <alignment horizontal="right" vertical="center"/>
    </xf>
    <xf numFmtId="0" fontId="5" fillId="3" borderId="16" xfId="0" applyFont="1" applyFill="1" applyBorder="1"/>
    <xf numFmtId="0" fontId="6" fillId="2" borderId="15" xfId="0" applyFont="1" applyFill="1" applyBorder="1" applyAlignment="1">
      <alignment horizontal="right" vertical="center"/>
    </xf>
    <xf numFmtId="11" fontId="6" fillId="2" borderId="7" xfId="0" applyNumberFormat="1" applyFont="1" applyFill="1" applyBorder="1" applyAlignment="1">
      <alignment horizontal="right"/>
    </xf>
    <xf numFmtId="0" fontId="25" fillId="0" borderId="0" xfId="0" applyFont="1"/>
    <xf numFmtId="0" fontId="6" fillId="0" borderId="0" xfId="0" applyFont="1"/>
    <xf numFmtId="0" fontId="25" fillId="0" borderId="1" xfId="0" applyFont="1" applyBorder="1"/>
    <xf numFmtId="0" fontId="6" fillId="0" borderId="20" xfId="0" applyFont="1" applyBorder="1"/>
    <xf numFmtId="0" fontId="6" fillId="0" borderId="2" xfId="0" applyFont="1" applyBorder="1"/>
    <xf numFmtId="0" fontId="26" fillId="0" borderId="1" xfId="0" applyFont="1" applyBorder="1"/>
    <xf numFmtId="0" fontId="6" fillId="0" borderId="21" xfId="0" applyFont="1" applyBorder="1" applyAlignment="1">
      <alignment horizontal="center"/>
    </xf>
    <xf numFmtId="0" fontId="0" fillId="6" borderId="21" xfId="0" applyFill="1" applyBorder="1"/>
    <xf numFmtId="0" fontId="5" fillId="0" borderId="22" xfId="0" applyFont="1" applyBorder="1" applyAlignment="1">
      <alignment horizontal="center"/>
    </xf>
    <xf numFmtId="0" fontId="5" fillId="0" borderId="23" xfId="0" applyFont="1" applyBorder="1" applyAlignment="1">
      <alignment horizontal="center"/>
    </xf>
    <xf numFmtId="0" fontId="5" fillId="0" borderId="24" xfId="0" applyFont="1" applyBorder="1" applyAlignment="1">
      <alignment horizontal="center"/>
    </xf>
    <xf numFmtId="0" fontId="5" fillId="0" borderId="25" xfId="0" applyFont="1" applyBorder="1" applyAlignment="1">
      <alignment horizontal="center"/>
    </xf>
    <xf numFmtId="0" fontId="5" fillId="0" borderId="26" xfId="0" applyFont="1" applyBorder="1" applyAlignment="1">
      <alignment horizontal="center"/>
    </xf>
    <xf numFmtId="0" fontId="5" fillId="0" borderId="27" xfId="0" applyFont="1" applyBorder="1" applyAlignment="1">
      <alignment horizontal="center"/>
    </xf>
    <xf numFmtId="0" fontId="5" fillId="0" borderId="28" xfId="0" applyFont="1" applyBorder="1" applyAlignment="1">
      <alignment horizontal="center"/>
    </xf>
    <xf numFmtId="0" fontId="6" fillId="6" borderId="29" xfId="0" applyFont="1" applyFill="1" applyBorder="1"/>
    <xf numFmtId="0" fontId="27" fillId="0" borderId="30" xfId="0" applyFont="1" applyBorder="1" applyAlignment="1">
      <alignment horizontal="center" vertical="top"/>
    </xf>
    <xf numFmtId="0" fontId="27" fillId="0" borderId="31" xfId="0" applyFont="1" applyBorder="1" applyAlignment="1">
      <alignment horizontal="center" vertical="top"/>
    </xf>
    <xf numFmtId="0" fontId="27" fillId="0" borderId="32" xfId="0" applyFont="1" applyBorder="1" applyAlignment="1">
      <alignment horizontal="center" vertical="top"/>
    </xf>
    <xf numFmtId="0" fontId="29" fillId="0" borderId="29" xfId="0" applyFont="1" applyBorder="1"/>
    <xf numFmtId="0" fontId="6" fillId="7" borderId="33" xfId="0" applyFont="1" applyFill="1" applyBorder="1"/>
    <xf numFmtId="0" fontId="6" fillId="7" borderId="34" xfId="0" applyFont="1" applyFill="1" applyBorder="1"/>
    <xf numFmtId="0" fontId="6" fillId="7" borderId="35" xfId="0" applyFont="1" applyFill="1" applyBorder="1"/>
    <xf numFmtId="0" fontId="3" fillId="7" borderId="25" xfId="0" applyFont="1" applyFill="1" applyBorder="1"/>
    <xf numFmtId="0" fontId="3" fillId="7" borderId="26" xfId="0" applyFont="1" applyFill="1" applyBorder="1"/>
    <xf numFmtId="0" fontId="3" fillId="7" borderId="27" xfId="0" applyFont="1" applyFill="1" applyBorder="1"/>
    <xf numFmtId="11" fontId="6" fillId="7" borderId="28" xfId="0" applyNumberFormat="1" applyFont="1" applyFill="1" applyBorder="1" applyAlignment="1">
      <alignment horizontal="center"/>
    </xf>
    <xf numFmtId="0" fontId="27" fillId="0" borderId="36" xfId="0" applyFont="1" applyBorder="1" applyAlignment="1">
      <alignment horizontal="center" vertical="top"/>
    </xf>
    <xf numFmtId="0" fontId="6" fillId="7" borderId="37" xfId="0" applyFont="1" applyFill="1" applyBorder="1"/>
    <xf numFmtId="0" fontId="6" fillId="7" borderId="9" xfId="0" applyFont="1" applyFill="1" applyBorder="1"/>
    <xf numFmtId="0" fontId="6" fillId="7" borderId="10" xfId="0" applyFont="1" applyFill="1" applyBorder="1"/>
    <xf numFmtId="0" fontId="29" fillId="0" borderId="14" xfId="0" applyFont="1" applyBorder="1"/>
    <xf numFmtId="11" fontId="6" fillId="7" borderId="13" xfId="0" applyNumberFormat="1" applyFont="1" applyFill="1" applyBorder="1"/>
    <xf numFmtId="0" fontId="27" fillId="0" borderId="38" xfId="0" applyFont="1" applyBorder="1" applyAlignment="1">
      <alignment horizontal="center" vertical="top"/>
    </xf>
    <xf numFmtId="0" fontId="29" fillId="0" borderId="22" xfId="0" applyFont="1" applyBorder="1"/>
    <xf numFmtId="11" fontId="6" fillId="7" borderId="16" xfId="0" applyNumberFormat="1" applyFont="1" applyFill="1" applyBorder="1"/>
    <xf numFmtId="11" fontId="6" fillId="7" borderId="17" xfId="0" applyNumberFormat="1" applyFont="1" applyFill="1" applyBorder="1"/>
    <xf numFmtId="11" fontId="6" fillId="7" borderId="18" xfId="0" applyNumberFormat="1" applyFont="1" applyFill="1" applyBorder="1"/>
    <xf numFmtId="0" fontId="27" fillId="0" borderId="39" xfId="0" applyFont="1" applyBorder="1" applyAlignment="1">
      <alignment horizontal="center" vertical="top"/>
    </xf>
    <xf numFmtId="0" fontId="6" fillId="7" borderId="40" xfId="0" applyFont="1" applyFill="1" applyBorder="1"/>
    <xf numFmtId="0" fontId="6" fillId="7" borderId="17" xfId="0" applyFont="1" applyFill="1" applyBorder="1"/>
    <xf numFmtId="0" fontId="6" fillId="7" borderId="18" xfId="0" applyFont="1" applyFill="1" applyBorder="1"/>
    <xf numFmtId="0" fontId="5" fillId="0" borderId="1" xfId="0" applyFont="1" applyBorder="1" applyAlignment="1">
      <alignment horizontal="center"/>
    </xf>
    <xf numFmtId="0" fontId="5" fillId="0" borderId="20" xfId="0" applyFont="1" applyBorder="1" applyAlignment="1">
      <alignment horizontal="center"/>
    </xf>
    <xf numFmtId="0" fontId="5" fillId="0" borderId="2" xfId="0" applyFont="1" applyBorder="1" applyAlignment="1">
      <alignment horizontal="center"/>
    </xf>
    <xf numFmtId="0" fontId="6" fillId="7" borderId="25" xfId="0" applyFont="1" applyFill="1" applyBorder="1"/>
    <xf numFmtId="0" fontId="3" fillId="7" borderId="28" xfId="0" applyFont="1" applyFill="1" applyBorder="1"/>
    <xf numFmtId="0" fontId="6" fillId="7" borderId="26" xfId="0" applyFont="1" applyFill="1" applyBorder="1"/>
    <xf numFmtId="0" fontId="6" fillId="7" borderId="28" xfId="0" applyFont="1" applyFill="1" applyBorder="1"/>
    <xf numFmtId="0" fontId="31" fillId="0" borderId="1" xfId="0" applyFont="1" applyBorder="1" applyAlignment="1">
      <alignment horizontal="left" vertical="top"/>
    </xf>
    <xf numFmtId="0" fontId="0" fillId="0" borderId="20" xfId="0" applyBorder="1"/>
    <xf numFmtId="0" fontId="0" fillId="0" borderId="2" xfId="0" applyBorder="1"/>
    <xf numFmtId="0" fontId="6" fillId="6" borderId="21" xfId="0" applyFont="1" applyFill="1" applyBorder="1"/>
    <xf numFmtId="0" fontId="27" fillId="0" borderId="25" xfId="0" applyFont="1" applyBorder="1" applyAlignment="1">
      <alignment horizontal="center" vertical="top"/>
    </xf>
    <xf numFmtId="0" fontId="27" fillId="0" borderId="26" xfId="0" applyFont="1" applyBorder="1" applyAlignment="1">
      <alignment horizontal="center" vertical="top"/>
    </xf>
    <xf numFmtId="0" fontId="27" fillId="0" borderId="28" xfId="0" applyFont="1" applyBorder="1" applyAlignment="1">
      <alignment horizontal="center" vertical="top"/>
    </xf>
    <xf numFmtId="0" fontId="5" fillId="0" borderId="0" xfId="0" applyFont="1" applyAlignment="1">
      <alignment horizontal="center"/>
    </xf>
    <xf numFmtId="0" fontId="6" fillId="7" borderId="41" xfId="0" applyFont="1" applyFill="1" applyBorder="1"/>
    <xf numFmtId="0" fontId="6" fillId="7" borderId="42" xfId="0" applyFont="1" applyFill="1" applyBorder="1"/>
    <xf numFmtId="0" fontId="6" fillId="0" borderId="25" xfId="0" applyFont="1" applyBorder="1"/>
    <xf numFmtId="0" fontId="6" fillId="0" borderId="26" xfId="0" applyFont="1" applyBorder="1"/>
    <xf numFmtId="0" fontId="6" fillId="0" borderId="28" xfId="0" applyFont="1" applyBorder="1"/>
    <xf numFmtId="0" fontId="5" fillId="0" borderId="36" xfId="0" applyFont="1" applyBorder="1"/>
    <xf numFmtId="0" fontId="6" fillId="0" borderId="21" xfId="0" applyFont="1" applyBorder="1"/>
    <xf numFmtId="0" fontId="5" fillId="0" borderId="39" xfId="0" applyFont="1" applyBorder="1"/>
    <xf numFmtId="0" fontId="6" fillId="7" borderId="21" xfId="0" applyFont="1" applyFill="1" applyBorder="1"/>
    <xf numFmtId="0" fontId="27" fillId="0" borderId="0" xfId="0" applyFont="1" applyAlignment="1">
      <alignment horizontal="center" vertical="top"/>
    </xf>
    <xf numFmtId="0" fontId="25" fillId="0" borderId="25" xfId="0" applyFont="1" applyBorder="1" applyAlignment="1">
      <alignment horizontal="center" wrapText="1"/>
    </xf>
    <xf numFmtId="0" fontId="25" fillId="0" borderId="28" xfId="0" applyFont="1" applyBorder="1" applyAlignment="1">
      <alignment horizontal="center" wrapText="1"/>
    </xf>
    <xf numFmtId="0" fontId="25" fillId="0" borderId="32" xfId="0" applyFont="1" applyBorder="1" applyAlignment="1">
      <alignment horizontal="center" wrapText="1"/>
    </xf>
    <xf numFmtId="0" fontId="25" fillId="0" borderId="21" xfId="0" applyFont="1" applyBorder="1" applyAlignment="1">
      <alignment horizontal="center" vertical="center" wrapText="1"/>
    </xf>
    <xf numFmtId="0" fontId="32" fillId="0" borderId="36" xfId="0" applyFont="1" applyBorder="1" applyAlignment="1">
      <alignment horizontal="center"/>
    </xf>
    <xf numFmtId="0" fontId="6" fillId="7" borderId="7" xfId="0" applyFont="1" applyFill="1" applyBorder="1"/>
    <xf numFmtId="0" fontId="6" fillId="7" borderId="43" xfId="0" applyFont="1" applyFill="1" applyBorder="1"/>
    <xf numFmtId="11" fontId="6" fillId="7" borderId="36" xfId="0" applyNumberFormat="1" applyFont="1" applyFill="1" applyBorder="1"/>
    <xf numFmtId="0" fontId="6" fillId="7" borderId="36" xfId="0" applyFont="1" applyFill="1" applyBorder="1"/>
    <xf numFmtId="0" fontId="32" fillId="0" borderId="0" xfId="0" applyFont="1" applyAlignment="1">
      <alignment horizontal="center"/>
    </xf>
    <xf numFmtId="0" fontId="32" fillId="0" borderId="38" xfId="0" applyFont="1" applyBorder="1" applyAlignment="1">
      <alignment horizontal="center"/>
    </xf>
    <xf numFmtId="0" fontId="6" fillId="7" borderId="12" xfId="0" applyFont="1" applyFill="1" applyBorder="1"/>
    <xf numFmtId="0" fontId="6" fillId="7" borderId="44" xfId="0" applyFont="1" applyFill="1" applyBorder="1"/>
    <xf numFmtId="11" fontId="6" fillId="7" borderId="38" xfId="0" applyNumberFormat="1" applyFont="1" applyFill="1" applyBorder="1"/>
    <xf numFmtId="0" fontId="6" fillId="7" borderId="38" xfId="0" applyFont="1" applyFill="1" applyBorder="1"/>
    <xf numFmtId="0" fontId="31" fillId="0" borderId="0" xfId="0" applyFont="1"/>
    <xf numFmtId="0" fontId="32" fillId="0" borderId="25" xfId="0" applyFont="1" applyBorder="1" applyAlignment="1">
      <alignment horizontal="center"/>
    </xf>
    <xf numFmtId="0" fontId="32" fillId="0" borderId="26" xfId="0" applyFont="1" applyBorder="1" applyAlignment="1">
      <alignment horizontal="center"/>
    </xf>
    <xf numFmtId="0" fontId="32" fillId="0" borderId="28" xfId="0" applyFont="1" applyBorder="1" applyAlignment="1">
      <alignment horizontal="center"/>
    </xf>
    <xf numFmtId="0" fontId="33" fillId="7" borderId="45" xfId="0" applyFont="1" applyFill="1" applyBorder="1" applyAlignment="1">
      <alignment horizontal="center" vertical="center"/>
    </xf>
    <xf numFmtId="0" fontId="33" fillId="7" borderId="46" xfId="0" applyFont="1" applyFill="1" applyBorder="1" applyAlignment="1">
      <alignment horizontal="center" vertical="center"/>
    </xf>
    <xf numFmtId="0" fontId="33" fillId="7" borderId="47" xfId="0" applyFont="1" applyFill="1" applyBorder="1" applyAlignment="1">
      <alignment horizontal="center" vertical="center"/>
    </xf>
    <xf numFmtId="0" fontId="32" fillId="0" borderId="39" xfId="0" applyFont="1" applyBorder="1" applyAlignment="1">
      <alignment horizontal="center"/>
    </xf>
    <xf numFmtId="0" fontId="6" fillId="7" borderId="48" xfId="0" applyFont="1" applyFill="1" applyBorder="1"/>
    <xf numFmtId="0" fontId="6" fillId="7" borderId="49" xfId="0" applyFont="1" applyFill="1" applyBorder="1"/>
    <xf numFmtId="11" fontId="6" fillId="7" borderId="39" xfId="0" applyNumberFormat="1" applyFont="1" applyFill="1" applyBorder="1"/>
    <xf numFmtId="0" fontId="6" fillId="7" borderId="39" xfId="0" applyFont="1" applyFill="1" applyBorder="1"/>
    <xf numFmtId="0" fontId="34" fillId="8" borderId="0" xfId="0" applyFont="1" applyFill="1"/>
    <xf numFmtId="0" fontId="35" fillId="8" borderId="0" xfId="0" applyFont="1" applyFill="1"/>
    <xf numFmtId="0" fontId="25" fillId="0" borderId="50" xfId="0" applyFont="1" applyBorder="1" applyAlignment="1">
      <alignment horizontal="center" vertical="center"/>
    </xf>
    <xf numFmtId="0" fontId="26" fillId="0" borderId="50" xfId="0" applyFont="1" applyBorder="1" applyAlignment="1">
      <alignment horizontal="center" vertical="center"/>
    </xf>
    <xf numFmtId="0" fontId="38" fillId="8" borderId="0" xfId="0" applyFont="1" applyFill="1"/>
    <xf numFmtId="0" fontId="6" fillId="8" borderId="0" xfId="0" applyFont="1" applyFill="1"/>
    <xf numFmtId="0" fontId="5" fillId="0" borderId="3" xfId="0" applyFont="1" applyBorder="1" applyAlignment="1">
      <alignment horizontal="center"/>
    </xf>
    <xf numFmtId="11" fontId="6" fillId="0" borderId="3" xfId="0" applyNumberFormat="1" applyFont="1" applyBorder="1"/>
    <xf numFmtId="11" fontId="6" fillId="0" borderId="36" xfId="0" applyNumberFormat="1" applyFont="1" applyBorder="1"/>
    <xf numFmtId="11" fontId="6" fillId="0" borderId="0" xfId="0" applyNumberFormat="1" applyFont="1"/>
    <xf numFmtId="0" fontId="5" fillId="0" borderId="11" xfId="0" applyFont="1" applyBorder="1" applyAlignment="1">
      <alignment horizontal="center"/>
    </xf>
    <xf numFmtId="11" fontId="6" fillId="0" borderId="11" xfId="0" applyNumberFormat="1" applyFont="1" applyBorder="1"/>
    <xf numFmtId="11" fontId="6" fillId="0" borderId="38" xfId="0" applyNumberFormat="1" applyFont="1" applyBorder="1"/>
    <xf numFmtId="0" fontId="6" fillId="0" borderId="29" xfId="0" applyFont="1" applyBorder="1"/>
    <xf numFmtId="0" fontId="6" fillId="0" borderId="22" xfId="0" applyFont="1" applyBorder="1"/>
    <xf numFmtId="0" fontId="4" fillId="4" borderId="0" xfId="0" applyFont="1" applyFill="1"/>
    <xf numFmtId="10" fontId="6" fillId="4" borderId="0" xfId="0" applyNumberFormat="1" applyFont="1" applyFill="1"/>
    <xf numFmtId="0" fontId="5" fillId="0" borderId="51" xfId="0" applyFont="1" applyBorder="1" applyAlignment="1">
      <alignment horizontal="center"/>
    </xf>
    <xf numFmtId="11" fontId="6" fillId="0" borderId="51" xfId="0" applyNumberFormat="1" applyFont="1" applyBorder="1"/>
    <xf numFmtId="11" fontId="6" fillId="0" borderId="39" xfId="0" applyNumberFormat="1" applyFont="1" applyBorder="1"/>
    <xf numFmtId="0" fontId="0" fillId="8" borderId="0" xfId="0" applyFill="1"/>
    <xf numFmtId="0" fontId="26" fillId="0" borderId="21" xfId="0" applyFont="1" applyBorder="1"/>
    <xf numFmtId="0" fontId="26" fillId="0" borderId="21" xfId="0" applyFont="1" applyBorder="1" applyAlignment="1">
      <alignment horizontal="center"/>
    </xf>
    <xf numFmtId="0" fontId="6" fillId="7" borderId="30" xfId="0" applyFont="1" applyFill="1" applyBorder="1"/>
    <xf numFmtId="0" fontId="25" fillId="0" borderId="1" xfId="0" applyFont="1" applyBorder="1" applyAlignment="1">
      <alignment horizontal="center"/>
    </xf>
    <xf numFmtId="0" fontId="0" fillId="0" borderId="20" xfId="0" applyBorder="1" applyAlignment="1">
      <alignment horizontal="center"/>
    </xf>
    <xf numFmtId="0" fontId="41" fillId="0" borderId="21" xfId="0" applyFont="1" applyBorder="1" applyAlignment="1">
      <alignment horizontal="center"/>
    </xf>
    <xf numFmtId="0" fontId="25" fillId="0" borderId="52" xfId="0" applyFont="1" applyBorder="1" applyAlignment="1">
      <alignment horizontal="left" vertical="center" wrapText="1"/>
    </xf>
    <xf numFmtId="0" fontId="32" fillId="0" borderId="25" xfId="0" applyFont="1" applyBorder="1" applyAlignment="1">
      <alignment horizontal="center" vertical="center"/>
    </xf>
    <xf numFmtId="0" fontId="32" fillId="0" borderId="26" xfId="0" applyFont="1" applyBorder="1" applyAlignment="1">
      <alignment horizontal="center" vertical="center"/>
    </xf>
    <xf numFmtId="0" fontId="32" fillId="0" borderId="28" xfId="0" applyFont="1" applyBorder="1" applyAlignment="1">
      <alignment horizontal="center" vertical="center"/>
    </xf>
    <xf numFmtId="0" fontId="0" fillId="6" borderId="0" xfId="0" applyFill="1"/>
    <xf numFmtId="0" fontId="25" fillId="0" borderId="21" xfId="0" applyFont="1" applyBorder="1" applyAlignment="1">
      <alignment horizontal="center" vertical="center"/>
    </xf>
    <xf numFmtId="0" fontId="43" fillId="0" borderId="1" xfId="0" applyFont="1" applyBorder="1" applyAlignment="1">
      <alignment horizontal="center" vertical="center"/>
    </xf>
    <xf numFmtId="0" fontId="43" fillId="0" borderId="20" xfId="0" applyFont="1" applyBorder="1" applyAlignment="1">
      <alignment horizontal="center" vertical="center"/>
    </xf>
    <xf numFmtId="0" fontId="43" fillId="0" borderId="2" xfId="0" applyFont="1" applyBorder="1" applyAlignment="1">
      <alignment horizontal="center" vertical="center"/>
    </xf>
    <xf numFmtId="0" fontId="5" fillId="0" borderId="21" xfId="0" applyFont="1" applyBorder="1" applyAlignment="1">
      <alignment horizontal="center"/>
    </xf>
    <xf numFmtId="11" fontId="0" fillId="0" borderId="41" xfId="0" applyNumberFormat="1" applyBorder="1"/>
    <xf numFmtId="11" fontId="0" fillId="0" borderId="42" xfId="0" applyNumberFormat="1" applyBorder="1"/>
    <xf numFmtId="11" fontId="0" fillId="0" borderId="53" xfId="0" applyNumberFormat="1" applyBorder="1"/>
    <xf numFmtId="0" fontId="0" fillId="0" borderId="50" xfId="0" applyBorder="1"/>
    <xf numFmtId="11" fontId="6" fillId="0" borderId="29" xfId="0" applyNumberFormat="1" applyFont="1" applyBorder="1"/>
    <xf numFmtId="0" fontId="6" fillId="0" borderId="54" xfId="0" applyFont="1" applyBorder="1"/>
    <xf numFmtId="11" fontId="6" fillId="0" borderId="54" xfId="0" applyNumberFormat="1" applyFont="1" applyBorder="1"/>
    <xf numFmtId="11" fontId="6" fillId="0" borderId="55" xfId="0" applyNumberFormat="1" applyFont="1" applyBorder="1"/>
    <xf numFmtId="0" fontId="6" fillId="0" borderId="36" xfId="0" applyFont="1" applyBorder="1"/>
    <xf numFmtId="0" fontId="5" fillId="0" borderId="36" xfId="0" applyFont="1" applyBorder="1" applyAlignment="1">
      <alignment horizontal="center"/>
    </xf>
    <xf numFmtId="11" fontId="0" fillId="0" borderId="9" xfId="0" applyNumberFormat="1" applyBorder="1"/>
    <xf numFmtId="11" fontId="0" fillId="0" borderId="56" xfId="0" applyNumberFormat="1" applyBorder="1"/>
    <xf numFmtId="0" fontId="0" fillId="0" borderId="57" xfId="0" applyBorder="1"/>
    <xf numFmtId="11" fontId="6" fillId="0" borderId="14" xfId="0" applyNumberFormat="1" applyFont="1" applyBorder="1"/>
    <xf numFmtId="11" fontId="6" fillId="0" borderId="15" xfId="0" applyNumberFormat="1" applyFont="1" applyBorder="1"/>
    <xf numFmtId="0" fontId="6" fillId="0" borderId="38" xfId="0" applyFont="1" applyBorder="1"/>
    <xf numFmtId="0" fontId="5" fillId="0" borderId="38" xfId="0" applyFont="1" applyBorder="1" applyAlignment="1">
      <alignment horizontal="center"/>
    </xf>
    <xf numFmtId="0" fontId="25" fillId="0" borderId="21" xfId="0" applyFont="1" applyBorder="1"/>
    <xf numFmtId="11" fontId="6" fillId="7" borderId="50" xfId="0" applyNumberFormat="1" applyFont="1" applyFill="1" applyBorder="1"/>
    <xf numFmtId="0" fontId="5" fillId="0" borderId="39" xfId="0" applyFont="1" applyBorder="1" applyAlignment="1">
      <alignment horizontal="center"/>
    </xf>
    <xf numFmtId="0" fontId="0" fillId="0" borderId="58" xfId="0" applyBorder="1"/>
    <xf numFmtId="11" fontId="6" fillId="0" borderId="22" xfId="0" applyNumberFormat="1" applyFont="1" applyBorder="1"/>
    <xf numFmtId="0" fontId="6" fillId="0" borderId="23" xfId="0" applyFont="1" applyBorder="1"/>
    <xf numFmtId="11" fontId="6" fillId="0" borderId="23" xfId="0" applyNumberFormat="1" applyFont="1" applyBorder="1"/>
    <xf numFmtId="11" fontId="6" fillId="0" borderId="24" xfId="0" applyNumberFormat="1" applyFont="1" applyBorder="1"/>
    <xf numFmtId="0" fontId="6" fillId="0" borderId="39" xfId="0" applyFont="1" applyBorder="1"/>
    <xf numFmtId="0" fontId="43" fillId="0" borderId="22" xfId="0" applyFont="1" applyBorder="1" applyAlignment="1">
      <alignment horizontal="center"/>
    </xf>
    <xf numFmtId="0" fontId="25" fillId="0" borderId="29" xfId="0" applyFont="1" applyBorder="1" applyAlignment="1">
      <alignment horizontal="center" vertical="center"/>
    </xf>
    <xf numFmtId="0" fontId="26" fillId="0" borderId="36" xfId="0" applyFont="1" applyBorder="1" applyAlignment="1">
      <alignment horizontal="center"/>
    </xf>
    <xf numFmtId="0" fontId="33" fillId="7" borderId="21" xfId="0" applyFont="1" applyFill="1" applyBorder="1" applyAlignment="1">
      <alignment horizontal="center" vertical="center"/>
    </xf>
    <xf numFmtId="0" fontId="25" fillId="0" borderId="58" xfId="0" applyFont="1" applyBorder="1" applyAlignment="1">
      <alignment horizontal="center"/>
    </xf>
    <xf numFmtId="11" fontId="6" fillId="7" borderId="21" xfId="0" applyNumberFormat="1" applyFont="1" applyFill="1" applyBorder="1" applyAlignment="1">
      <alignment horizontal="center"/>
    </xf>
    <xf numFmtId="0" fontId="25" fillId="0" borderId="21" xfId="0" applyFont="1" applyBorder="1" applyAlignment="1">
      <alignment horizontal="center"/>
    </xf>
    <xf numFmtId="11" fontId="0" fillId="0" borderId="21" xfId="0" applyNumberFormat="1" applyBorder="1" applyAlignment="1">
      <alignment horizontal="center"/>
    </xf>
    <xf numFmtId="0" fontId="25" fillId="0" borderId="55" xfId="0" applyFont="1" applyBorder="1" applyAlignment="1">
      <alignment horizontal="center" vertical="center"/>
    </xf>
    <xf numFmtId="0" fontId="32" fillId="0" borderId="21" xfId="0" applyFont="1" applyBorder="1" applyAlignment="1">
      <alignment horizontal="center"/>
    </xf>
    <xf numFmtId="0" fontId="25" fillId="0" borderId="28" xfId="0" applyFont="1" applyBorder="1"/>
    <xf numFmtId="11" fontId="6" fillId="7" borderId="9" xfId="0" applyNumberFormat="1" applyFont="1" applyFill="1" applyBorder="1"/>
    <xf numFmtId="0" fontId="25" fillId="0" borderId="25" xfId="0" applyFont="1" applyBorder="1" applyAlignment="1">
      <alignment horizontal="center"/>
    </xf>
    <xf numFmtId="0" fontId="25" fillId="0" borderId="26" xfId="0" applyFont="1" applyBorder="1" applyAlignment="1">
      <alignment horizontal="center"/>
    </xf>
    <xf numFmtId="0" fontId="25" fillId="0" borderId="28" xfId="0" applyFont="1" applyBorder="1" applyAlignment="1">
      <alignment horizontal="center"/>
    </xf>
    <xf numFmtId="0" fontId="6" fillId="0" borderId="29" xfId="0" applyFont="1" applyBorder="1" applyAlignment="1">
      <alignment horizontal="center"/>
    </xf>
    <xf numFmtId="164" fontId="6" fillId="0" borderId="54" xfId="0" applyNumberFormat="1" applyFont="1" applyBorder="1" applyAlignment="1">
      <alignment horizontal="center"/>
    </xf>
    <xf numFmtId="0" fontId="6" fillId="0" borderId="54" xfId="0" applyFont="1" applyBorder="1" applyAlignment="1">
      <alignment horizontal="center"/>
    </xf>
    <xf numFmtId="11" fontId="6" fillId="0" borderId="50" xfId="0" applyNumberFormat="1" applyFont="1" applyBorder="1"/>
    <xf numFmtId="0" fontId="6" fillId="0" borderId="55" xfId="0" applyFont="1" applyBorder="1" applyAlignment="1">
      <alignment horizontal="center"/>
    </xf>
    <xf numFmtId="0" fontId="6" fillId="0" borderId="14" xfId="0" applyFont="1" applyBorder="1" applyAlignment="1">
      <alignment horizontal="center"/>
    </xf>
    <xf numFmtId="164" fontId="6" fillId="0" borderId="0" xfId="0" applyNumberFormat="1" applyFont="1" applyAlignment="1">
      <alignment horizontal="center"/>
    </xf>
    <xf numFmtId="0" fontId="6" fillId="0" borderId="0" xfId="0" applyFont="1" applyAlignment="1">
      <alignment horizontal="center"/>
    </xf>
    <xf numFmtId="0" fontId="6" fillId="0" borderId="15" xfId="0" applyFont="1" applyBorder="1" applyAlignment="1">
      <alignment horizontal="center"/>
    </xf>
    <xf numFmtId="0" fontId="6" fillId="0" borderId="22" xfId="0" applyFont="1" applyBorder="1" applyAlignment="1">
      <alignment horizontal="center"/>
    </xf>
    <xf numFmtId="164" fontId="6" fillId="0" borderId="23" xfId="0" applyNumberFormat="1" applyFont="1" applyBorder="1" applyAlignment="1">
      <alignment horizontal="center"/>
    </xf>
    <xf numFmtId="0" fontId="6" fillId="0" borderId="23" xfId="0" applyFont="1" applyBorder="1" applyAlignment="1">
      <alignment horizontal="center"/>
    </xf>
    <xf numFmtId="0" fontId="6" fillId="0" borderId="24" xfId="0" applyFont="1" applyBorder="1" applyAlignment="1">
      <alignment horizontal="center"/>
    </xf>
    <xf numFmtId="11" fontId="6" fillId="0" borderId="21" xfId="0" applyNumberFormat="1" applyFont="1" applyBorder="1"/>
    <xf numFmtId="11" fontId="6" fillId="7" borderId="53" xfId="0" applyNumberFormat="1" applyFont="1" applyFill="1" applyBorder="1"/>
    <xf numFmtId="0" fontId="25" fillId="0" borderId="20" xfId="0" applyFont="1" applyBorder="1"/>
    <xf numFmtId="0" fontId="25" fillId="0" borderId="2" xfId="0" applyFont="1" applyBorder="1"/>
    <xf numFmtId="11" fontId="5" fillId="7" borderId="28" xfId="0" applyNumberFormat="1" applyFont="1" applyFill="1" applyBorder="1" applyAlignment="1">
      <alignment horizontal="center"/>
    </xf>
    <xf numFmtId="0" fontId="0" fillId="6" borderId="58" xfId="0" applyFill="1" applyBorder="1"/>
    <xf numFmtId="11" fontId="6" fillId="7" borderId="11" xfId="0" applyNumberFormat="1" applyFont="1" applyFill="1" applyBorder="1"/>
    <xf numFmtId="11" fontId="6" fillId="7" borderId="59" xfId="0" applyNumberFormat="1" applyFont="1" applyFill="1" applyBorder="1"/>
    <xf numFmtId="0" fontId="44" fillId="0" borderId="1" xfId="0" applyFont="1" applyBorder="1"/>
    <xf numFmtId="0" fontId="44" fillId="0" borderId="20" xfId="0" applyFont="1" applyBorder="1"/>
    <xf numFmtId="0" fontId="44" fillId="0" borderId="2" xfId="0" applyFont="1" applyBorder="1"/>
    <xf numFmtId="0" fontId="5" fillId="0" borderId="29" xfId="0" applyFont="1" applyBorder="1" applyAlignment="1">
      <alignment horizontal="center"/>
    </xf>
    <xf numFmtId="0" fontId="25" fillId="0" borderId="30" xfId="0" applyFont="1" applyBorder="1" applyAlignment="1">
      <alignment horizontal="center"/>
    </xf>
    <xf numFmtId="0" fontId="25" fillId="0" borderId="31" xfId="0" applyFont="1" applyBorder="1" applyAlignment="1">
      <alignment horizontal="center"/>
    </xf>
    <xf numFmtId="0" fontId="25" fillId="0" borderId="32" xfId="0" applyFont="1" applyBorder="1" applyAlignment="1">
      <alignment horizontal="center"/>
    </xf>
    <xf numFmtId="11" fontId="6" fillId="0" borderId="36" xfId="0" applyNumberFormat="1" applyFont="1" applyBorder="1" applyAlignment="1">
      <alignment horizontal="center"/>
    </xf>
    <xf numFmtId="11" fontId="6" fillId="0" borderId="4" xfId="0" applyNumberFormat="1" applyFont="1" applyBorder="1" applyAlignment="1">
      <alignment horizontal="center"/>
    </xf>
    <xf numFmtId="11" fontId="6" fillId="0" borderId="1" xfId="0" applyNumberFormat="1" applyFont="1" applyBorder="1" applyAlignment="1">
      <alignment horizontal="center"/>
    </xf>
    <xf numFmtId="164" fontId="6" fillId="0" borderId="20" xfId="0" applyNumberFormat="1" applyFont="1" applyBorder="1" applyAlignment="1">
      <alignment horizontal="center"/>
    </xf>
    <xf numFmtId="11" fontId="6" fillId="0" borderId="20" xfId="0" applyNumberFormat="1" applyFont="1" applyBorder="1" applyAlignment="1">
      <alignment horizontal="center"/>
    </xf>
    <xf numFmtId="0" fontId="6" fillId="0" borderId="2" xfId="0" applyFont="1" applyBorder="1" applyAlignment="1">
      <alignment horizontal="center"/>
    </xf>
    <xf numFmtId="11" fontId="0" fillId="0" borderId="50" xfId="0" applyNumberFormat="1" applyBorder="1"/>
    <xf numFmtId="11" fontId="6" fillId="0" borderId="29" xfId="0" applyNumberFormat="1" applyFont="1" applyBorder="1" applyAlignment="1">
      <alignment horizontal="center"/>
    </xf>
    <xf numFmtId="11" fontId="6" fillId="0" borderId="54" xfId="0" applyNumberFormat="1" applyFont="1" applyBorder="1" applyAlignment="1">
      <alignment horizontal="center"/>
    </xf>
    <xf numFmtId="11" fontId="6" fillId="0" borderId="38" xfId="0" applyNumberFormat="1" applyFont="1" applyBorder="1" applyAlignment="1">
      <alignment horizontal="center"/>
    </xf>
    <xf numFmtId="11" fontId="6" fillId="0" borderId="44" xfId="0" applyNumberFormat="1" applyFont="1" applyBorder="1" applyAlignment="1">
      <alignment horizontal="center"/>
    </xf>
    <xf numFmtId="11" fontId="6" fillId="0" borderId="14" xfId="0" applyNumberFormat="1" applyFont="1" applyBorder="1" applyAlignment="1">
      <alignment horizontal="center"/>
    </xf>
    <xf numFmtId="11" fontId="6" fillId="0" borderId="0" xfId="0" applyNumberFormat="1" applyFont="1" applyAlignment="1">
      <alignment horizontal="center"/>
    </xf>
    <xf numFmtId="11" fontId="6" fillId="7" borderId="21" xfId="0" applyNumberFormat="1" applyFont="1" applyFill="1" applyBorder="1"/>
    <xf numFmtId="11" fontId="0" fillId="0" borderId="0" xfId="0" applyNumberFormat="1"/>
    <xf numFmtId="11" fontId="6" fillId="0" borderId="39" xfId="0" applyNumberFormat="1" applyFont="1" applyBorder="1" applyAlignment="1">
      <alignment horizontal="center"/>
    </xf>
    <xf numFmtId="11" fontId="6" fillId="0" borderId="49" xfId="0" applyNumberFormat="1" applyFont="1" applyBorder="1" applyAlignment="1">
      <alignment horizontal="center"/>
    </xf>
    <xf numFmtId="11" fontId="6" fillId="0" borderId="22" xfId="0" applyNumberFormat="1" applyFont="1" applyBorder="1" applyAlignment="1">
      <alignment horizontal="center"/>
    </xf>
    <xf numFmtId="11" fontId="6" fillId="0" borderId="23" xfId="0" applyNumberFormat="1" applyFont="1" applyBorder="1" applyAlignment="1">
      <alignment horizontal="center"/>
    </xf>
    <xf numFmtId="11" fontId="0" fillId="0" borderId="21" xfId="0" applyNumberFormat="1" applyBorder="1"/>
    <xf numFmtId="0" fontId="6" fillId="7" borderId="25" xfId="0" applyFont="1" applyFill="1" applyBorder="1" applyAlignment="1">
      <alignment horizontal="center"/>
    </xf>
    <xf numFmtId="0" fontId="6" fillId="7" borderId="26" xfId="0" applyFont="1" applyFill="1" applyBorder="1" applyAlignment="1">
      <alignment horizontal="center"/>
    </xf>
    <xf numFmtId="0" fontId="6" fillId="0" borderId="25" xfId="0" applyFont="1" applyBorder="1" applyAlignment="1">
      <alignment horizontal="center"/>
    </xf>
    <xf numFmtId="0" fontId="6" fillId="0" borderId="26" xfId="0" applyFont="1" applyBorder="1" applyAlignment="1">
      <alignment horizontal="center"/>
    </xf>
    <xf numFmtId="0" fontId="6" fillId="7" borderId="2" xfId="0" applyFont="1" applyFill="1" applyBorder="1" applyAlignment="1">
      <alignment horizontal="center"/>
    </xf>
    <xf numFmtId="0" fontId="33" fillId="0" borderId="0" xfId="0" applyFont="1" applyAlignment="1">
      <alignment horizontal="center" vertical="center"/>
    </xf>
    <xf numFmtId="0" fontId="6" fillId="7" borderId="50" xfId="0" applyFont="1" applyFill="1" applyBorder="1" applyAlignment="1">
      <alignment horizontal="center"/>
    </xf>
    <xf numFmtId="0" fontId="32" fillId="0" borderId="1" xfId="0" applyFont="1" applyBorder="1" applyAlignment="1">
      <alignment horizontal="center" vertical="center"/>
    </xf>
    <xf numFmtId="0" fontId="0" fillId="6" borderId="57" xfId="0" applyFill="1" applyBorder="1"/>
    <xf numFmtId="0" fontId="32" fillId="0" borderId="0" xfId="0" applyFont="1" applyAlignment="1">
      <alignment horizontal="center" vertical="center"/>
    </xf>
    <xf numFmtId="11" fontId="0" fillId="0" borderId="36" xfId="0" applyNumberFormat="1" applyBorder="1"/>
    <xf numFmtId="0" fontId="0" fillId="0" borderId="36" xfId="0" applyBorder="1"/>
    <xf numFmtId="0" fontId="0" fillId="0" borderId="38" xfId="0" applyBorder="1"/>
    <xf numFmtId="11" fontId="0" fillId="0" borderId="38" xfId="0" applyNumberFormat="1" applyBorder="1"/>
    <xf numFmtId="11" fontId="6" fillId="7" borderId="3" xfId="0" applyNumberFormat="1" applyFont="1" applyFill="1" applyBorder="1"/>
    <xf numFmtId="11" fontId="6" fillId="7" borderId="51" xfId="0" applyNumberFormat="1" applyFont="1" applyFill="1" applyBorder="1"/>
    <xf numFmtId="10" fontId="6" fillId="0" borderId="14" xfId="0" applyNumberFormat="1" applyFont="1" applyBorder="1"/>
    <xf numFmtId="11" fontId="0" fillId="0" borderId="39" xfId="0" applyNumberFormat="1" applyBorder="1"/>
    <xf numFmtId="0" fontId="0" fillId="0" borderId="39" xfId="0" applyBorder="1"/>
    <xf numFmtId="0" fontId="25" fillId="0" borderId="0" xfId="0" applyFont="1" applyAlignment="1">
      <alignment horizontal="center" vertical="center"/>
    </xf>
    <xf numFmtId="10" fontId="6" fillId="0" borderId="0" xfId="0" applyNumberFormat="1" applyFont="1"/>
    <xf numFmtId="11" fontId="6" fillId="0" borderId="55" xfId="0" applyNumberFormat="1" applyFont="1" applyBorder="1" applyAlignment="1">
      <alignment horizontal="center"/>
    </xf>
    <xf numFmtId="11" fontId="6" fillId="0" borderId="15" xfId="0" applyNumberFormat="1" applyFont="1" applyBorder="1" applyAlignment="1">
      <alignment horizontal="center"/>
    </xf>
    <xf numFmtId="11" fontId="6" fillId="0" borderId="24" xfId="0" applyNumberFormat="1" applyFont="1" applyBorder="1" applyAlignment="1">
      <alignment horizontal="center"/>
    </xf>
    <xf numFmtId="11" fontId="6" fillId="0" borderId="2" xfId="0" applyNumberFormat="1" applyFont="1" applyBorder="1" applyAlignment="1">
      <alignment horizontal="center"/>
    </xf>
    <xf numFmtId="0" fontId="6" fillId="7" borderId="5" xfId="0" applyFont="1" applyFill="1" applyBorder="1"/>
    <xf numFmtId="0" fontId="6" fillId="7" borderId="4" xfId="0" applyFont="1" applyFill="1" applyBorder="1"/>
    <xf numFmtId="0" fontId="26" fillId="0" borderId="21" xfId="0" applyFont="1" applyBorder="1" applyAlignment="1">
      <alignment horizontal="center" vertical="center"/>
    </xf>
    <xf numFmtId="11" fontId="6" fillId="0" borderId="1" xfId="0" applyNumberFormat="1" applyFont="1" applyBorder="1"/>
    <xf numFmtId="0" fontId="6" fillId="7" borderId="50" xfId="0" applyFont="1" applyFill="1" applyBorder="1"/>
    <xf numFmtId="0" fontId="32" fillId="0" borderId="27" xfId="0" applyFont="1" applyBorder="1" applyAlignment="1">
      <alignment horizontal="center" vertical="center"/>
    </xf>
    <xf numFmtId="11" fontId="0" fillId="0" borderId="25" xfId="0" applyNumberFormat="1" applyBorder="1"/>
    <xf numFmtId="11" fontId="0" fillId="0" borderId="26" xfId="0" applyNumberFormat="1" applyBorder="1"/>
    <xf numFmtId="11" fontId="0" fillId="0" borderId="28" xfId="0" applyNumberFormat="1" applyBorder="1"/>
    <xf numFmtId="0" fontId="0" fillId="0" borderId="21" xfId="0" applyBorder="1"/>
    <xf numFmtId="11" fontId="6" fillId="0" borderId="57" xfId="0" applyNumberFormat="1" applyFont="1" applyBorder="1"/>
    <xf numFmtId="11" fontId="6" fillId="0" borderId="58" xfId="0" applyNumberFormat="1" applyFont="1" applyBorder="1"/>
    <xf numFmtId="11" fontId="0" fillId="0" borderId="57" xfId="0" applyNumberFormat="1" applyBorder="1"/>
    <xf numFmtId="11" fontId="0" fillId="0" borderId="58" xfId="0" applyNumberFormat="1" applyBorder="1"/>
    <xf numFmtId="0" fontId="20" fillId="9" borderId="9" xfId="0" applyFont="1" applyFill="1" applyBorder="1"/>
    <xf numFmtId="0" fontId="20" fillId="9" borderId="37" xfId="0" applyFont="1" applyFill="1" applyBorder="1"/>
    <xf numFmtId="0" fontId="20" fillId="9" borderId="12" xfId="0" applyFont="1" applyFill="1" applyBorder="1"/>
    <xf numFmtId="0" fontId="20" fillId="9" borderId="42" xfId="0" applyFont="1" applyFill="1" applyBorder="1"/>
    <xf numFmtId="0" fontId="20" fillId="9" borderId="41" xfId="0" applyFont="1" applyFill="1" applyBorder="1"/>
    <xf numFmtId="11" fontId="20" fillId="9" borderId="41" xfId="0" applyNumberFormat="1" applyFont="1" applyFill="1" applyBorder="1"/>
    <xf numFmtId="0" fontId="20" fillId="9" borderId="7" xfId="0" applyFont="1" applyFill="1" applyBorder="1"/>
    <xf numFmtId="0" fontId="20" fillId="9" borderId="46" xfId="0" applyFont="1" applyFill="1" applyBorder="1"/>
    <xf numFmtId="0" fontId="20" fillId="9" borderId="60" xfId="0" applyFont="1" applyFill="1" applyBorder="1"/>
    <xf numFmtId="0" fontId="20" fillId="9" borderId="24" xfId="0" applyFont="1" applyFill="1" applyBorder="1"/>
    <xf numFmtId="11" fontId="6" fillId="7" borderId="37" xfId="0" applyNumberFormat="1" applyFont="1" applyFill="1" applyBorder="1"/>
    <xf numFmtId="11" fontId="6" fillId="7" borderId="33" xfId="0" applyNumberFormat="1" applyFont="1" applyFill="1" applyBorder="1"/>
    <xf numFmtId="11" fontId="6" fillId="7" borderId="6" xfId="0" applyNumberFormat="1" applyFont="1" applyFill="1" applyBorder="1"/>
    <xf numFmtId="11" fontId="6" fillId="7" borderId="22" xfId="0" applyNumberFormat="1" applyFont="1" applyFill="1" applyBorder="1"/>
    <xf numFmtId="0" fontId="6" fillId="7" borderId="3" xfId="0" applyFont="1" applyFill="1" applyBorder="1"/>
    <xf numFmtId="0" fontId="6" fillId="7" borderId="62" xfId="0" applyFont="1" applyFill="1" applyBorder="1"/>
    <xf numFmtId="11" fontId="6" fillId="7" borderId="44" xfId="0" applyNumberFormat="1" applyFont="1" applyFill="1" applyBorder="1"/>
    <xf numFmtId="0" fontId="32" fillId="0" borderId="50" xfId="0" applyFont="1" applyBorder="1" applyAlignment="1">
      <alignment horizontal="center"/>
    </xf>
    <xf numFmtId="0" fontId="6" fillId="7" borderId="55" xfId="0" applyFont="1" applyFill="1" applyBorder="1"/>
    <xf numFmtId="0" fontId="6" fillId="7" borderId="54" xfId="0" applyFont="1" applyFill="1" applyBorder="1"/>
    <xf numFmtId="0" fontId="32" fillId="0" borderId="54" xfId="0" applyFont="1" applyBorder="1" applyAlignment="1">
      <alignment horizontal="center"/>
    </xf>
    <xf numFmtId="11" fontId="0" fillId="0" borderId="1" xfId="0" applyNumberFormat="1" applyBorder="1"/>
    <xf numFmtId="11" fontId="0" fillId="0" borderId="43" xfId="0" applyNumberFormat="1" applyBorder="1"/>
    <xf numFmtId="0" fontId="0" fillId="6" borderId="15" xfId="0" applyFill="1" applyBorder="1"/>
    <xf numFmtId="0" fontId="0" fillId="0" borderId="15" xfId="0" applyBorder="1"/>
    <xf numFmtId="0" fontId="0" fillId="0" borderId="24" xfId="0" applyBorder="1"/>
    <xf numFmtId="0" fontId="41" fillId="0" borderId="2" xfId="0" applyFont="1" applyBorder="1" applyAlignment="1">
      <alignment horizontal="center"/>
    </xf>
    <xf numFmtId="0" fontId="39" fillId="0" borderId="0" xfId="0" applyFont="1"/>
    <xf numFmtId="0" fontId="5" fillId="7" borderId="21" xfId="0" applyFont="1" applyFill="1" applyBorder="1" applyAlignment="1">
      <alignment horizontal="center"/>
    </xf>
    <xf numFmtId="0" fontId="43" fillId="0" borderId="1" xfId="0" applyFont="1" applyBorder="1" applyAlignment="1">
      <alignment horizontal="center"/>
    </xf>
    <xf numFmtId="11" fontId="6" fillId="0" borderId="2" xfId="0" applyNumberFormat="1" applyFont="1" applyBorder="1"/>
    <xf numFmtId="0" fontId="3" fillId="7" borderId="36" xfId="0" applyFont="1" applyFill="1" applyBorder="1"/>
    <xf numFmtId="0" fontId="3" fillId="7" borderId="38" xfId="0" applyFont="1" applyFill="1" applyBorder="1"/>
    <xf numFmtId="0" fontId="3" fillId="7" borderId="39" xfId="0" applyFont="1" applyFill="1" applyBorder="1"/>
    <xf numFmtId="0" fontId="25" fillId="0" borderId="30" xfId="0" applyFont="1" applyBorder="1" applyAlignment="1">
      <alignment horizontal="center" wrapText="1"/>
    </xf>
    <xf numFmtId="0" fontId="25" fillId="0" borderId="50" xfId="0" applyFont="1" applyBorder="1" applyAlignment="1">
      <alignment horizontal="center" vertical="center" wrapText="1"/>
    </xf>
    <xf numFmtId="0" fontId="3" fillId="7" borderId="3" xfId="0" applyFont="1" applyFill="1" applyBorder="1" applyAlignment="1">
      <alignment horizontal="center"/>
    </xf>
    <xf numFmtId="0" fontId="3" fillId="7" borderId="11" xfId="0" applyFont="1" applyFill="1" applyBorder="1"/>
    <xf numFmtId="0" fontId="3" fillId="7" borderId="51" xfId="0" applyFont="1" applyFill="1" applyBorder="1"/>
    <xf numFmtId="11" fontId="3" fillId="7" borderId="4" xfId="0" applyNumberFormat="1" applyFont="1" applyFill="1" applyBorder="1"/>
    <xf numFmtId="11" fontId="3" fillId="7" borderId="44" xfId="0" applyNumberFormat="1" applyFont="1" applyFill="1" applyBorder="1"/>
    <xf numFmtId="11" fontId="3" fillId="7" borderId="49" xfId="0" applyNumberFormat="1" applyFont="1" applyFill="1" applyBorder="1"/>
    <xf numFmtId="0" fontId="25" fillId="0" borderId="63" xfId="0" applyFont="1" applyBorder="1" applyAlignment="1">
      <alignment horizontal="left" vertical="center" wrapText="1"/>
    </xf>
    <xf numFmtId="0" fontId="32" fillId="0" borderId="45" xfId="0" applyFont="1" applyBorder="1" applyAlignment="1">
      <alignment horizontal="center" vertical="center"/>
    </xf>
    <xf numFmtId="0" fontId="32" fillId="0" borderId="46" xfId="0" applyFont="1" applyBorder="1" applyAlignment="1">
      <alignment horizontal="center" vertical="center"/>
    </xf>
    <xf numFmtId="0" fontId="32" fillId="0" borderId="64" xfId="0" applyFont="1" applyBorder="1" applyAlignment="1">
      <alignment horizontal="center" vertical="center"/>
    </xf>
    <xf numFmtId="11" fontId="0" fillId="0" borderId="27" xfId="0" applyNumberFormat="1" applyBorder="1"/>
    <xf numFmtId="0" fontId="26" fillId="0" borderId="20" xfId="0" applyFont="1" applyBorder="1" applyAlignment="1">
      <alignment horizontal="center" vertical="center"/>
    </xf>
    <xf numFmtId="11" fontId="0" fillId="0" borderId="65" xfId="0" applyNumberFormat="1" applyBorder="1"/>
    <xf numFmtId="11" fontId="0" fillId="0" borderId="2" xfId="0" applyNumberFormat="1" applyBorder="1"/>
    <xf numFmtId="0" fontId="0" fillId="7" borderId="58" xfId="0" applyFill="1" applyBorder="1"/>
    <xf numFmtId="0" fontId="0" fillId="7" borderId="39" xfId="0" applyFill="1" applyBorder="1"/>
    <xf numFmtId="0" fontId="39" fillId="0" borderId="21" xfId="0" applyFont="1" applyBorder="1" applyAlignment="1">
      <alignment horizontal="center"/>
    </xf>
    <xf numFmtId="11" fontId="0" fillId="0" borderId="33" xfId="0" applyNumberFormat="1" applyBorder="1"/>
    <xf numFmtId="11" fontId="0" fillId="0" borderId="34" xfId="0" applyNumberFormat="1" applyBorder="1"/>
    <xf numFmtId="11" fontId="0" fillId="0" borderId="35" xfId="0" applyNumberFormat="1" applyBorder="1"/>
    <xf numFmtId="0" fontId="25" fillId="0" borderId="0" xfId="0" applyFont="1" applyAlignment="1">
      <alignment horizontal="center"/>
    </xf>
    <xf numFmtId="0" fontId="0" fillId="0" borderId="14" xfId="0" applyBorder="1"/>
    <xf numFmtId="11" fontId="0" fillId="0" borderId="14" xfId="0" applyNumberFormat="1" applyBorder="1"/>
    <xf numFmtId="11" fontId="3" fillId="7" borderId="21" xfId="0" applyNumberFormat="1" applyFont="1" applyFill="1" applyBorder="1"/>
    <xf numFmtId="0" fontId="46" fillId="0" borderId="21" xfId="0" applyFont="1" applyBorder="1" applyAlignment="1">
      <alignment horizontal="center"/>
    </xf>
    <xf numFmtId="0" fontId="0" fillId="7" borderId="3" xfId="0" applyFill="1" applyBorder="1"/>
    <xf numFmtId="0" fontId="0" fillId="7" borderId="51" xfId="0" applyFill="1" applyBorder="1"/>
    <xf numFmtId="0" fontId="46" fillId="0" borderId="50" xfId="0" applyFont="1" applyBorder="1" applyAlignment="1">
      <alignment horizontal="center"/>
    </xf>
    <xf numFmtId="11" fontId="0" fillId="7" borderId="36" xfId="0" applyNumberFormat="1" applyFill="1" applyBorder="1"/>
    <xf numFmtId="11" fontId="6" fillId="10" borderId="21" xfId="0" applyNumberFormat="1" applyFont="1" applyFill="1" applyBorder="1"/>
    <xf numFmtId="11" fontId="0" fillId="0" borderId="3" xfId="0" applyNumberFormat="1" applyBorder="1"/>
    <xf numFmtId="0" fontId="41" fillId="0" borderId="0" xfId="0" applyFont="1" applyAlignment="1">
      <alignment horizontal="center"/>
    </xf>
    <xf numFmtId="11" fontId="0" fillId="0" borderId="66" xfId="0" applyNumberFormat="1" applyBorder="1"/>
    <xf numFmtId="0" fontId="0" fillId="0" borderId="29" xfId="0" applyBorder="1"/>
    <xf numFmtId="0" fontId="0" fillId="0" borderId="22" xfId="0" applyBorder="1"/>
    <xf numFmtId="0" fontId="25" fillId="11" borderId="21" xfId="0" applyFont="1" applyFill="1" applyBorder="1" applyAlignment="1">
      <alignment horizontal="center"/>
    </xf>
    <xf numFmtId="0" fontId="27" fillId="0" borderId="67" xfId="0" applyFont="1" applyBorder="1" applyAlignment="1">
      <alignment horizontal="center" vertical="top"/>
    </xf>
    <xf numFmtId="0" fontId="6" fillId="7" borderId="68" xfId="0" applyFont="1" applyFill="1" applyBorder="1"/>
    <xf numFmtId="0" fontId="6" fillId="7" borderId="61" xfId="0" applyFont="1" applyFill="1" applyBorder="1"/>
    <xf numFmtId="0" fontId="6" fillId="7" borderId="69" xfId="0" applyFont="1" applyFill="1" applyBorder="1"/>
    <xf numFmtId="0" fontId="31" fillId="0" borderId="22" xfId="0" applyFont="1" applyBorder="1" applyAlignment="1">
      <alignment horizontal="left" vertical="top"/>
    </xf>
    <xf numFmtId="0" fontId="0" fillId="0" borderId="23" xfId="0" applyBorder="1"/>
    <xf numFmtId="0" fontId="6" fillId="12" borderId="62" xfId="0" applyFont="1" applyFill="1" applyBorder="1"/>
    <xf numFmtId="0" fontId="6" fillId="12" borderId="34" xfId="0" applyFont="1" applyFill="1" applyBorder="1"/>
    <xf numFmtId="0" fontId="6" fillId="12" borderId="35" xfId="0" applyFont="1" applyFill="1" applyBorder="1"/>
    <xf numFmtId="0" fontId="6" fillId="12" borderId="40" xfId="0" applyFont="1" applyFill="1" applyBorder="1"/>
    <xf numFmtId="0" fontId="6" fillId="12" borderId="17" xfId="0" applyFont="1" applyFill="1" applyBorder="1"/>
    <xf numFmtId="0" fontId="6" fillId="12" borderId="18" xfId="0" applyFont="1" applyFill="1" applyBorder="1"/>
    <xf numFmtId="0" fontId="5" fillId="0" borderId="0" xfId="0" applyFont="1"/>
    <xf numFmtId="0" fontId="27" fillId="12" borderId="36" xfId="0" applyFont="1" applyFill="1" applyBorder="1" applyAlignment="1">
      <alignment horizontal="center" vertical="top"/>
    </xf>
    <xf numFmtId="0" fontId="6" fillId="12" borderId="33" xfId="0" applyFont="1" applyFill="1" applyBorder="1"/>
    <xf numFmtId="0" fontId="27" fillId="12" borderId="38" xfId="0" applyFont="1" applyFill="1" applyBorder="1" applyAlignment="1">
      <alignment horizontal="center" vertical="top"/>
    </xf>
    <xf numFmtId="0" fontId="6" fillId="12" borderId="13" xfId="0" applyFont="1" applyFill="1" applyBorder="1"/>
    <xf numFmtId="0" fontId="6" fillId="12" borderId="9" xfId="0" applyFont="1" applyFill="1" applyBorder="1"/>
    <xf numFmtId="0" fontId="6" fillId="12" borderId="10" xfId="0" applyFont="1" applyFill="1" applyBorder="1"/>
    <xf numFmtId="0" fontId="5" fillId="12" borderId="38" xfId="0" applyFont="1" applyFill="1" applyBorder="1" applyAlignment="1">
      <alignment horizontal="center"/>
    </xf>
    <xf numFmtId="0" fontId="5" fillId="12" borderId="39" xfId="0" applyFont="1" applyFill="1" applyBorder="1" applyAlignment="1">
      <alignment horizontal="center"/>
    </xf>
    <xf numFmtId="0" fontId="6" fillId="12" borderId="16" xfId="0" applyFont="1" applyFill="1" applyBorder="1"/>
    <xf numFmtId="11" fontId="32" fillId="0" borderId="25" xfId="0" applyNumberFormat="1" applyFont="1" applyBorder="1" applyAlignment="1">
      <alignment horizontal="center" vertical="center"/>
    </xf>
    <xf numFmtId="11" fontId="0" fillId="0" borderId="41" xfId="0" applyNumberFormat="1" applyBorder="1" applyAlignment="1">
      <alignment horizontal="center"/>
    </xf>
    <xf numFmtId="11" fontId="0" fillId="0" borderId="37" xfId="0" applyNumberFormat="1" applyBorder="1" applyAlignment="1">
      <alignment horizontal="center"/>
    </xf>
    <xf numFmtId="11" fontId="0" fillId="0" borderId="33" xfId="0" applyNumberFormat="1" applyBorder="1" applyAlignment="1">
      <alignment horizontal="center"/>
    </xf>
    <xf numFmtId="0" fontId="47" fillId="0" borderId="33" xfId="0" applyFont="1" applyBorder="1" applyAlignment="1">
      <alignment horizontal="center" vertical="top"/>
    </xf>
    <xf numFmtId="0" fontId="47" fillId="0" borderId="35" xfId="0" applyFont="1" applyBorder="1" applyAlignment="1">
      <alignment horizontal="center" vertical="top"/>
    </xf>
    <xf numFmtId="0" fontId="47" fillId="0" borderId="66" xfId="0" applyFont="1" applyBorder="1" applyAlignment="1">
      <alignment horizontal="center" vertical="top"/>
    </xf>
    <xf numFmtId="0" fontId="33" fillId="0" borderId="14" xfId="0" applyFont="1" applyBorder="1" applyAlignment="1">
      <alignment horizontal="center" vertical="center"/>
    </xf>
    <xf numFmtId="0" fontId="0" fillId="0" borderId="1" xfId="0" applyBorder="1" applyAlignment="1">
      <alignment horizontal="center"/>
    </xf>
    <xf numFmtId="0" fontId="5" fillId="7" borderId="1" xfId="0" applyFont="1" applyFill="1" applyBorder="1"/>
    <xf numFmtId="0" fontId="5" fillId="7" borderId="20" xfId="0" applyFont="1" applyFill="1" applyBorder="1"/>
    <xf numFmtId="0" fontId="5" fillId="7" borderId="2" xfId="0" applyFont="1" applyFill="1" applyBorder="1"/>
    <xf numFmtId="11" fontId="0" fillId="0" borderId="30" xfId="0" applyNumberFormat="1" applyBorder="1"/>
    <xf numFmtId="11" fontId="0" fillId="0" borderId="31" xfId="0" applyNumberFormat="1" applyBorder="1"/>
    <xf numFmtId="0" fontId="0" fillId="0" borderId="31" xfId="0" applyBorder="1"/>
    <xf numFmtId="11" fontId="0" fillId="0" borderId="32" xfId="0" applyNumberFormat="1" applyBorder="1"/>
    <xf numFmtId="11" fontId="0" fillId="0" borderId="70" xfId="0" applyNumberFormat="1" applyBorder="1"/>
    <xf numFmtId="11" fontId="0" fillId="0" borderId="71" xfId="0" applyNumberFormat="1" applyBorder="1"/>
    <xf numFmtId="0" fontId="0" fillId="0" borderId="71" xfId="0" applyBorder="1"/>
    <xf numFmtId="11" fontId="0" fillId="0" borderId="72" xfId="0" applyNumberFormat="1" applyBorder="1"/>
    <xf numFmtId="11" fontId="0" fillId="0" borderId="45" xfId="0" applyNumberFormat="1" applyBorder="1"/>
    <xf numFmtId="11" fontId="0" fillId="0" borderId="46" xfId="0" applyNumberFormat="1" applyBorder="1"/>
    <xf numFmtId="0" fontId="0" fillId="0" borderId="46" xfId="0" applyBorder="1"/>
    <xf numFmtId="11" fontId="0" fillId="0" borderId="47" xfId="0" applyNumberFormat="1" applyBorder="1"/>
    <xf numFmtId="11" fontId="0" fillId="0" borderId="73" xfId="0" applyNumberFormat="1" applyBorder="1"/>
    <xf numFmtId="11" fontId="0" fillId="0" borderId="74" xfId="0" applyNumberFormat="1" applyBorder="1"/>
    <xf numFmtId="11" fontId="0" fillId="0" borderId="60" xfId="0" applyNumberFormat="1" applyBorder="1"/>
    <xf numFmtId="11" fontId="0" fillId="0" borderId="75" xfId="0" applyNumberFormat="1" applyBorder="1"/>
    <xf numFmtId="11" fontId="0" fillId="0" borderId="76" xfId="0" applyNumberFormat="1" applyBorder="1"/>
    <xf numFmtId="11" fontId="0" fillId="0" borderId="64" xfId="0" applyNumberFormat="1" applyBorder="1"/>
    <xf numFmtId="0" fontId="0" fillId="0" borderId="75" xfId="0" applyBorder="1"/>
    <xf numFmtId="0" fontId="0" fillId="0" borderId="76" xfId="0" applyBorder="1"/>
    <xf numFmtId="0" fontId="0" fillId="0" borderId="64" xfId="0" applyBorder="1"/>
    <xf numFmtId="10" fontId="0" fillId="0" borderId="0" xfId="0" applyNumberFormat="1"/>
    <xf numFmtId="11" fontId="0" fillId="7" borderId="31" xfId="0" applyNumberFormat="1" applyFill="1" applyBorder="1"/>
    <xf numFmtId="11" fontId="0" fillId="7" borderId="71" xfId="0" applyNumberFormat="1" applyFill="1" applyBorder="1"/>
    <xf numFmtId="11" fontId="0" fillId="7" borderId="46" xfId="0" applyNumberFormat="1" applyFill="1" applyBorder="1"/>
    <xf numFmtId="11" fontId="0" fillId="16" borderId="32" xfId="0" applyNumberFormat="1" applyFill="1" applyBorder="1"/>
    <xf numFmtId="11" fontId="0" fillId="16" borderId="72" xfId="0" applyNumberFormat="1" applyFill="1" applyBorder="1"/>
    <xf numFmtId="11" fontId="0" fillId="16" borderId="47" xfId="0" applyNumberFormat="1" applyFill="1" applyBorder="1"/>
    <xf numFmtId="0" fontId="0" fillId="0" borderId="25" xfId="0" applyBorder="1" applyAlignment="1">
      <alignment horizontal="center"/>
    </xf>
    <xf numFmtId="0" fontId="0" fillId="0" borderId="26" xfId="0" applyBorder="1" applyAlignment="1">
      <alignment horizontal="center"/>
    </xf>
    <xf numFmtId="0" fontId="0" fillId="7" borderId="26" xfId="0" applyFill="1" applyBorder="1" applyAlignment="1">
      <alignment horizontal="center"/>
    </xf>
    <xf numFmtId="0" fontId="0" fillId="16" borderId="28" xfId="0" applyFill="1" applyBorder="1" applyAlignment="1">
      <alignment horizontal="center"/>
    </xf>
    <xf numFmtId="0" fontId="0" fillId="0" borderId="21" xfId="0" applyBorder="1" applyAlignment="1">
      <alignment horizontal="center"/>
    </xf>
    <xf numFmtId="0" fontId="32" fillId="0" borderId="24" xfId="0" applyFont="1" applyBorder="1" applyAlignment="1">
      <alignment horizontal="center"/>
    </xf>
    <xf numFmtId="0" fontId="0" fillId="0" borderId="24" xfId="0" applyBorder="1" applyAlignment="1">
      <alignment horizontal="center"/>
    </xf>
    <xf numFmtId="11" fontId="0" fillId="11" borderId="66" xfId="0" applyNumberFormat="1" applyFill="1" applyBorder="1"/>
    <xf numFmtId="11" fontId="0" fillId="11" borderId="4" xfId="0" applyNumberFormat="1" applyFill="1" applyBorder="1"/>
    <xf numFmtId="11" fontId="0" fillId="11" borderId="62" xfId="0" applyNumberFormat="1" applyFill="1" applyBorder="1"/>
    <xf numFmtId="0" fontId="0" fillId="11" borderId="56" xfId="0" applyFill="1" applyBorder="1"/>
    <xf numFmtId="0" fontId="0" fillId="11" borderId="44" xfId="0" applyFill="1" applyBorder="1"/>
    <xf numFmtId="0" fontId="0" fillId="11" borderId="37" xfId="0" applyFill="1" applyBorder="1"/>
    <xf numFmtId="0" fontId="27" fillId="0" borderId="1" xfId="0" applyFont="1" applyBorder="1" applyAlignment="1">
      <alignment horizontal="center" vertical="top"/>
    </xf>
    <xf numFmtId="0" fontId="27" fillId="0" borderId="2" xfId="0" applyFont="1" applyBorder="1" applyAlignment="1">
      <alignment horizontal="center" vertical="top"/>
    </xf>
    <xf numFmtId="0" fontId="38" fillId="8" borderId="0" xfId="0" applyFont="1" applyFill="1" applyAlignment="1">
      <alignment horizontal="center"/>
    </xf>
    <xf numFmtId="0" fontId="44" fillId="0" borderId="1" xfId="0" applyFont="1" applyBorder="1" applyAlignment="1">
      <alignment horizontal="center"/>
    </xf>
    <xf numFmtId="0" fontId="44" fillId="0" borderId="20" xfId="0" applyFont="1" applyBorder="1" applyAlignment="1">
      <alignment horizontal="center"/>
    </xf>
    <xf numFmtId="0" fontId="44" fillId="0" borderId="2" xfId="0" applyFont="1" applyBorder="1" applyAlignment="1">
      <alignment horizontal="center"/>
    </xf>
    <xf numFmtId="0" fontId="25" fillId="0" borderId="29" xfId="0" applyFont="1" applyBorder="1" applyAlignment="1">
      <alignment horizontal="center"/>
    </xf>
    <xf numFmtId="0" fontId="25" fillId="0" borderId="54" xfId="0" applyFont="1" applyBorder="1" applyAlignment="1">
      <alignment horizontal="center"/>
    </xf>
    <xf numFmtId="0" fontId="25" fillId="0" borderId="55" xfId="0" applyFont="1" applyBorder="1" applyAlignment="1">
      <alignment horizontal="center"/>
    </xf>
    <xf numFmtId="0" fontId="27" fillId="0" borderId="0" xfId="0" applyFont="1" applyAlignment="1">
      <alignment horizontal="center" vertical="top"/>
    </xf>
    <xf numFmtId="0" fontId="23" fillId="0" borderId="19" xfId="0" applyFont="1" applyBorder="1" applyAlignment="1">
      <alignment horizontal="center"/>
    </xf>
    <xf numFmtId="0" fontId="34" fillId="8" borderId="0" xfId="0" applyFont="1" applyFill="1" applyAlignment="1">
      <alignment horizontal="center"/>
    </xf>
    <xf numFmtId="0" fontId="39" fillId="0" borderId="1" xfId="0" applyFont="1" applyBorder="1" applyAlignment="1">
      <alignment horizontal="center"/>
    </xf>
    <xf numFmtId="0" fontId="0" fillId="0" borderId="20" xfId="0" applyBorder="1" applyAlignment="1">
      <alignment horizontal="center"/>
    </xf>
    <xf numFmtId="0" fontId="0" fillId="0" borderId="2" xfId="0" applyBorder="1" applyAlignment="1">
      <alignment horizontal="center"/>
    </xf>
    <xf numFmtId="0" fontId="25" fillId="0" borderId="1" xfId="0" applyFont="1" applyBorder="1" applyAlignment="1">
      <alignment horizontal="center"/>
    </xf>
    <xf numFmtId="0" fontId="25" fillId="0" borderId="20" xfId="0" applyFont="1" applyBorder="1" applyAlignment="1">
      <alignment horizontal="center"/>
    </xf>
    <xf numFmtId="0" fontId="25" fillId="0" borderId="2" xfId="0" applyFont="1" applyBorder="1" applyAlignment="1">
      <alignment horizontal="center"/>
    </xf>
    <xf numFmtId="0" fontId="27" fillId="0" borderId="23" xfId="0" applyFont="1" applyBorder="1" applyAlignment="1">
      <alignment horizontal="center" vertical="top"/>
    </xf>
    <xf numFmtId="0" fontId="39" fillId="0" borderId="20" xfId="0" applyFont="1" applyBorder="1" applyAlignment="1">
      <alignment horizontal="center"/>
    </xf>
    <xf numFmtId="11" fontId="6" fillId="0" borderId="22" xfId="0" applyNumberFormat="1" applyFont="1" applyBorder="1" applyAlignment="1">
      <alignment horizontal="center"/>
    </xf>
    <xf numFmtId="0" fontId="6" fillId="0" borderId="24" xfId="0" applyFont="1" applyBorder="1" applyAlignment="1">
      <alignment horizontal="center"/>
    </xf>
    <xf numFmtId="0" fontId="39" fillId="0" borderId="2" xfId="0" applyFont="1" applyBorder="1" applyAlignment="1">
      <alignment horizontal="center"/>
    </xf>
    <xf numFmtId="11" fontId="0" fillId="0" borderId="71" xfId="0" applyNumberFormat="1" applyBorder="1"/>
    <xf numFmtId="0" fontId="0" fillId="0" borderId="71" xfId="0" applyBorder="1"/>
    <xf numFmtId="11" fontId="0" fillId="0" borderId="31" xfId="0" applyNumberFormat="1" applyBorder="1"/>
    <xf numFmtId="0" fontId="0" fillId="0" borderId="31" xfId="0" applyBorder="1"/>
    <xf numFmtId="11" fontId="0" fillId="0" borderId="71" xfId="0" applyNumberFormat="1" applyBorder="1" applyAlignment="1">
      <alignment horizontal="center"/>
    </xf>
    <xf numFmtId="0" fontId="0" fillId="0" borderId="71" xfId="0" applyBorder="1" applyAlignment="1">
      <alignment horizontal="center"/>
    </xf>
    <xf numFmtId="11" fontId="0" fillId="0" borderId="42" xfId="0" applyNumberFormat="1" applyBorder="1" applyAlignment="1">
      <alignment horizontal="center"/>
    </xf>
    <xf numFmtId="0" fontId="0" fillId="0" borderId="42" xfId="0" applyBorder="1" applyAlignment="1">
      <alignment horizontal="center"/>
    </xf>
    <xf numFmtId="11" fontId="0" fillId="0" borderId="42" xfId="0" applyNumberFormat="1" applyBorder="1"/>
    <xf numFmtId="0" fontId="0" fillId="0" borderId="42" xfId="0" applyBorder="1"/>
    <xf numFmtId="0" fontId="32" fillId="4" borderId="29" xfId="0" applyFont="1" applyFill="1" applyBorder="1" applyAlignment="1">
      <alignment horizontal="center"/>
    </xf>
    <xf numFmtId="0" fontId="32" fillId="4" borderId="54" xfId="0" applyFont="1" applyFill="1" applyBorder="1" applyAlignment="1">
      <alignment horizontal="center"/>
    </xf>
    <xf numFmtId="0" fontId="32" fillId="4" borderId="55" xfId="0" applyFont="1" applyFill="1" applyBorder="1" applyAlignment="1">
      <alignment horizontal="center"/>
    </xf>
    <xf numFmtId="11" fontId="0" fillId="0" borderId="31" xfId="0" applyNumberFormat="1" applyBorder="1" applyAlignment="1">
      <alignment horizontal="center"/>
    </xf>
    <xf numFmtId="0" fontId="0" fillId="0" borderId="31" xfId="0" applyBorder="1" applyAlignment="1">
      <alignment horizontal="center"/>
    </xf>
    <xf numFmtId="0" fontId="1" fillId="10" borderId="29" xfId="0" applyFont="1" applyFill="1" applyBorder="1" applyAlignment="1">
      <alignment horizontal="center"/>
    </xf>
    <xf numFmtId="0" fontId="1" fillId="10" borderId="54" xfId="0" applyFont="1" applyFill="1" applyBorder="1" applyAlignment="1">
      <alignment horizontal="center"/>
    </xf>
    <xf numFmtId="0" fontId="1" fillId="10" borderId="55" xfId="0" applyFont="1" applyFill="1" applyBorder="1" applyAlignment="1">
      <alignment horizontal="center"/>
    </xf>
    <xf numFmtId="0" fontId="32" fillId="17" borderId="29" xfId="0" applyFont="1" applyFill="1" applyBorder="1" applyAlignment="1">
      <alignment horizontal="center"/>
    </xf>
    <xf numFmtId="0" fontId="32" fillId="17" borderId="54" xfId="0" applyFont="1" applyFill="1" applyBorder="1" applyAlignment="1">
      <alignment horizontal="center"/>
    </xf>
    <xf numFmtId="0" fontId="32" fillId="17" borderId="55" xfId="0" applyFont="1" applyFill="1" applyBorder="1" applyAlignment="1">
      <alignment horizontal="center"/>
    </xf>
    <xf numFmtId="0" fontId="5" fillId="13" borderId="1" xfId="0" applyFont="1" applyFill="1" applyBorder="1" applyAlignment="1">
      <alignment horizontal="center"/>
    </xf>
    <xf numFmtId="0" fontId="5" fillId="13" borderId="20" xfId="0" applyFont="1" applyFill="1" applyBorder="1" applyAlignment="1">
      <alignment horizontal="center"/>
    </xf>
    <xf numFmtId="0" fontId="5" fillId="13" borderId="2" xfId="0" applyFont="1" applyFill="1" applyBorder="1" applyAlignment="1">
      <alignment horizontal="center"/>
    </xf>
    <xf numFmtId="0" fontId="52" fillId="0" borderId="21" xfId="0" applyFont="1" applyBorder="1" applyAlignment="1">
      <alignment horizontal="center"/>
    </xf>
    <xf numFmtId="0" fontId="6" fillId="0" borderId="21" xfId="0" applyFont="1" applyBorder="1" applyAlignment="1">
      <alignment horizontal="center"/>
    </xf>
    <xf numFmtId="0" fontId="0" fillId="18" borderId="1" xfId="0" applyFill="1" applyBorder="1" applyAlignment="1">
      <alignment horizontal="center"/>
    </xf>
    <xf numFmtId="0" fontId="0" fillId="18" borderId="2" xfId="0" applyFill="1" applyBorder="1" applyAlignment="1">
      <alignment horizontal="center"/>
    </xf>
    <xf numFmtId="0" fontId="0" fillId="14" borderId="1" xfId="0" applyFill="1" applyBorder="1" applyAlignment="1">
      <alignment horizontal="center"/>
    </xf>
    <xf numFmtId="0" fontId="0" fillId="14" borderId="20" xfId="0" applyFill="1" applyBorder="1" applyAlignment="1">
      <alignment horizontal="center"/>
    </xf>
    <xf numFmtId="0" fontId="5" fillId="15" borderId="1" xfId="0" applyFont="1" applyFill="1" applyBorder="1" applyAlignment="1">
      <alignment horizontal="center"/>
    </xf>
    <xf numFmtId="0" fontId="5" fillId="15" borderId="20" xfId="0" applyFont="1" applyFill="1" applyBorder="1" applyAlignment="1">
      <alignment horizontal="center"/>
    </xf>
    <xf numFmtId="0" fontId="5" fillId="15" borderId="2" xfId="0" applyFont="1" applyFill="1" applyBorder="1" applyAlignment="1">
      <alignment horizontal="center"/>
    </xf>
    <xf numFmtId="0" fontId="5" fillId="19" borderId="1" xfId="0" applyFont="1" applyFill="1" applyBorder="1" applyAlignment="1">
      <alignment horizontal="center"/>
    </xf>
    <xf numFmtId="0" fontId="5" fillId="19" borderId="20" xfId="0" applyFont="1" applyFill="1" applyBorder="1" applyAlignment="1">
      <alignment horizontal="center"/>
    </xf>
    <xf numFmtId="0" fontId="5" fillId="19" borderId="2"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471E"/>
      <color rgb="FFFF6D29"/>
      <color rgb="FFFFD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'CH4'!$E$64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'CH4'!$C$66:$C$83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'CH4'!$E$66:$E$83</c:f>
              <c:numCache>
                <c:formatCode>0.00E+00</c:formatCode>
                <c:ptCount val="18"/>
                <c:pt idx="0">
                  <c:v>2561019.5780483168</c:v>
                </c:pt>
                <c:pt idx="1">
                  <c:v>5257263.4410172841</c:v>
                </c:pt>
                <c:pt idx="2">
                  <c:v>9184061.2732337248</c:v>
                </c:pt>
                <c:pt idx="3">
                  <c:v>14487314.483115843</c:v>
                </c:pt>
                <c:pt idx="4">
                  <c:v>21298786.576327905</c:v>
                </c:pt>
                <c:pt idx="5">
                  <c:v>29739573.03701964</c:v>
                </c:pt>
                <c:pt idx="6">
                  <c:v>39922344.255225062</c:v>
                </c:pt>
                <c:pt idx="7">
                  <c:v>51952896.041090004</c:v>
                </c:pt>
                <c:pt idx="8">
                  <c:v>65931275.037711106</c:v>
                </c:pt>
                <c:pt idx="9">
                  <c:v>81952626.497546583</c:v>
                </c:pt>
                <c:pt idx="10">
                  <c:v>100107851.90564039</c:v>
                </c:pt>
                <c:pt idx="11">
                  <c:v>120484131.35333039</c:v>
                </c:pt>
                <c:pt idx="12">
                  <c:v>143165346.70559824</c:v>
                </c:pt>
                <c:pt idx="13">
                  <c:v>168232430.11255404</c:v>
                </c:pt>
                <c:pt idx="14">
                  <c:v>195763655.11076817</c:v>
                </c:pt>
                <c:pt idx="15">
                  <c:v>225834882.74986503</c:v>
                </c:pt>
                <c:pt idx="16">
                  <c:v>258519771.9152036</c:v>
                </c:pt>
                <c:pt idx="17">
                  <c:v>293889960.74347669</c:v>
                </c:pt>
              </c:numCache>
            </c:numRef>
          </c:val>
          <c:smooth val="0"/>
          <c:extLst>
            <c:ext xmlns:c16="http://schemas.microsoft.com/office/drawing/2014/chart" uri="{C3380CC4-5D6E-409C-BE32-E72D297353CC}">
              <c16:uniqueId val="{00000000-D49E-F542-BF06-A6D12FD2F9C7}"/>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'CH4'!$C$102:$C$120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'CH4'!$M$102:$M$120</c:f>
              <c:numCache>
                <c:formatCode>General</c:formatCode>
                <c:ptCount val="19"/>
                <c:pt idx="0">
                  <c:v>1.0055756116022561</c:v>
                </c:pt>
                <c:pt idx="1">
                  <c:v>1.0058117576803012</c:v>
                </c:pt>
                <c:pt idx="2">
                  <c:v>1.0314188286923798</c:v>
                </c:pt>
                <c:pt idx="3">
                  <c:v>1.089389272054446</c:v>
                </c:pt>
                <c:pt idx="4">
                  <c:v>1.1862545013821679</c:v>
                </c:pt>
                <c:pt idx="5">
                  <c:v>1.3268799313733808</c:v>
                </c:pt>
                <c:pt idx="6">
                  <c:v>1.5172999529346272</c:v>
                </c:pt>
                <c:pt idx="7">
                  <c:v>1.7658155878493342</c:v>
                </c:pt>
                <c:pt idx="8">
                  <c:v>2.083444256061747</c:v>
                </c:pt>
                <c:pt idx="9">
                  <c:v>2.4842545094398427</c:v>
                </c:pt>
                <c:pt idx="10">
                  <c:v>2.9857565618685236</c:v>
                </c:pt>
                <c:pt idx="11">
                  <c:v>3.6093920325554492</c:v>
                </c:pt>
                <c:pt idx="12">
                  <c:v>4.3811318605683862</c:v>
                </c:pt>
                <c:pt idx="13">
                  <c:v>5.3321853042623237</c:v>
                </c:pt>
                <c:pt idx="14">
                  <c:v>6.4998240803617646</c:v>
                </c:pt>
                <c:pt idx="15">
                  <c:v>7.9283280281990791</c:v>
                </c:pt>
                <c:pt idx="16">
                  <c:v>9.6700607949388342</c:v>
                </c:pt>
                <c:pt idx="17">
                  <c:v>11.786685747364226</c:v>
                </c:pt>
                <c:pt idx="18">
                  <c:v>14.350533713209794</c:v>
                </c:pt>
              </c:numCache>
            </c:numRef>
          </c:val>
          <c:smooth val="0"/>
          <c:extLst>
            <c:ext xmlns:c16="http://schemas.microsoft.com/office/drawing/2014/chart" uri="{C3380CC4-5D6E-409C-BE32-E72D297353CC}">
              <c16:uniqueId val="{00000000-0409-214A-BA05-54C2A397A308}"/>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'CH4'!$D$136</c:f>
              <c:strCache>
                <c:ptCount val="1"/>
                <c:pt idx="0">
                  <c:v>Qrot(1) and 𝜎=12</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'CH4'!$C$138:$C$155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'CH4'!$D$138:$D$155</c:f>
              <c:numCache>
                <c:formatCode>0.00E+00</c:formatCode>
                <c:ptCount val="18"/>
                <c:pt idx="0">
                  <c:v>249.17524638314001</c:v>
                </c:pt>
                <c:pt idx="1">
                  <c:v>383.63038819919609</c:v>
                </c:pt>
                <c:pt idx="2">
                  <c:v>536.13976640501767</c:v>
                </c:pt>
                <c:pt idx="3">
                  <c:v>704.77402568539014</c:v>
                </c:pt>
                <c:pt idx="4">
                  <c:v>888.11677722445518</c:v>
                </c:pt>
                <c:pt idx="5">
                  <c:v>1085.0705958595045</c:v>
                </c:pt>
                <c:pt idx="6">
                  <c:v>1294.7525601722703</c:v>
                </c:pt>
                <c:pt idx="7">
                  <c:v>1516.4322579550208</c:v>
                </c:pt>
                <c:pt idx="8">
                  <c:v>1749.4923267732656</c:v>
                </c:pt>
                <c:pt idx="9">
                  <c:v>1993.4019710651312</c:v>
                </c:pt>
                <c:pt idx="10">
                  <c:v>2247.6984326522916</c:v>
                </c:pt>
                <c:pt idx="11">
                  <c:v>2511.9735826438255</c:v>
                </c:pt>
                <c:pt idx="12">
                  <c:v>2785.86394611479</c:v>
                </c:pt>
                <c:pt idx="13">
                  <c:v>3069.0431055935424</c:v>
                </c:pt>
                <c:pt idx="14">
                  <c:v>3361.2157999517285</c:v>
                </c:pt>
                <c:pt idx="15">
                  <c:v>3662.1132610258333</c:v>
                </c:pt>
                <c:pt idx="16">
                  <c:v>3971.4894728499617</c:v>
                </c:pt>
                <c:pt idx="17">
                  <c:v>4289.118131240105</c:v>
                </c:pt>
              </c:numCache>
            </c:numRef>
          </c:val>
          <c:smooth val="0"/>
          <c:extLst>
            <c:ext xmlns:c16="http://schemas.microsoft.com/office/drawing/2014/chart" uri="{C3380CC4-5D6E-409C-BE32-E72D297353CC}">
              <c16:uniqueId val="{00000000-5470-5748-B251-CDCFC9D3D057}"/>
            </c:ext>
          </c:extLst>
        </c:ser>
        <c:ser>
          <c:idx val="1"/>
          <c:order val="1"/>
          <c:tx>
            <c:strRef>
              <c:f>'CH4'!$E$136</c:f>
              <c:strCache>
                <c:ptCount val="1"/>
                <c:pt idx="0">
                  <c:v>Qrot(2) and 𝜎=3</c:v>
                </c:pt>
              </c:strCache>
            </c:strRef>
          </c:tx>
          <c:spPr>
            <a:ln w="28575" cap="rnd">
              <a:solidFill>
                <a:schemeClr val="accent2"/>
              </a:solidFill>
              <a:round/>
            </a:ln>
            <a:effectLst/>
          </c:spPr>
          <c:marker>
            <c:symbol val="x"/>
            <c:size val="5"/>
            <c:spPr>
              <a:noFill/>
              <a:ln w="9525">
                <a:solidFill>
                  <a:schemeClr val="accent2"/>
                </a:solidFill>
              </a:ln>
              <a:effectLst/>
            </c:spPr>
          </c:marker>
          <c:cat>
            <c:numRef>
              <c:f>'CH4'!$C$138:$C$155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'CH4'!$E$138:$E$155</c:f>
              <c:numCache>
                <c:formatCode>0.00E+00</c:formatCode>
                <c:ptCount val="18"/>
                <c:pt idx="0">
                  <c:v>147.76790334428063</c:v>
                </c:pt>
                <c:pt idx="1">
                  <c:v>227.50357006241873</c:v>
                </c:pt>
                <c:pt idx="2">
                  <c:v>317.9459048646591</c:v>
                </c:pt>
                <c:pt idx="3">
                  <c:v>417.95074598583614</c:v>
                </c:pt>
                <c:pt idx="4">
                  <c:v>526.67813516895399</c:v>
                </c:pt>
                <c:pt idx="5">
                  <c:v>643.47726854113989</c:v>
                </c:pt>
                <c:pt idx="6">
                  <c:v>767.82454896066304</c:v>
                </c:pt>
                <c:pt idx="7">
                  <c:v>899.28682152117278</c:v>
                </c:pt>
                <c:pt idx="8">
                  <c:v>1037.4979729996389</c:v>
                </c:pt>
                <c:pt idx="9">
                  <c:v>1182.143226754245</c:v>
                </c:pt>
                <c:pt idx="10">
                  <c:v>1332.9481542181418</c:v>
                </c:pt>
                <c:pt idx="11">
                  <c:v>1489.6707235226113</c:v>
                </c:pt>
                <c:pt idx="12">
                  <c:v>1652.0953838521509</c:v>
                </c:pt>
                <c:pt idx="13">
                  <c:v>1820.0285604993505</c:v>
                </c:pt>
                <c:pt idx="14">
                  <c:v>1993.2951553414787</c:v>
                </c:pt>
                <c:pt idx="15">
                  <c:v>2171.7357813263507</c:v>
                </c:pt>
                <c:pt idx="16">
                  <c:v>2355.2045440924217</c:v>
                </c:pt>
                <c:pt idx="17">
                  <c:v>2543.5672389172692</c:v>
                </c:pt>
              </c:numCache>
            </c:numRef>
          </c:val>
          <c:smooth val="0"/>
          <c:extLst>
            <c:ext xmlns:c16="http://schemas.microsoft.com/office/drawing/2014/chart" uri="{C3380CC4-5D6E-409C-BE32-E72D297353CC}">
              <c16:uniqueId val="{00000001-5470-5748-B251-CDCFC9D3D057}"/>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'CH4'!$D$174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'CH4'!$D$176:$D$193</c:f>
              <c:numCache>
                <c:formatCode>0.00E+00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0-4AC5-4147-BBB7-BDD893F9C390}"/>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'CH4'!$H$215:$H$232</c:f>
              <c:numCache>
                <c:formatCode>0.00E+00</c:formatCode>
                <c:ptCount val="18"/>
                <c:pt idx="0">
                  <c:v>27.0948541465064</c:v>
                </c:pt>
                <c:pt idx="1">
                  <c:v>31.586053313565774</c:v>
                </c:pt>
                <c:pt idx="2">
                  <c:v>37.203725057213674</c:v>
                </c:pt>
                <c:pt idx="3">
                  <c:v>42.914798735219449</c:v>
                </c:pt>
                <c:pt idx="4">
                  <c:v>48.339760524406756</c:v>
                </c:pt>
                <c:pt idx="5">
                  <c:v>53.368415171871533</c:v>
                </c:pt>
                <c:pt idx="6">
                  <c:v>57.967221363696353</c:v>
                </c:pt>
                <c:pt idx="7">
                  <c:v>62.128709445501073</c:v>
                </c:pt>
                <c:pt idx="8">
                  <c:v>65.862106989071492</c:v>
                </c:pt>
                <c:pt idx="9">
                  <c:v>69.189645768537744</c:v>
                </c:pt>
                <c:pt idx="10">
                  <c:v>72.142295197128732</c:v>
                </c:pt>
                <c:pt idx="11">
                  <c:v>74.755492331867757</c:v>
                </c:pt>
                <c:pt idx="12">
                  <c:v>77.065741541593255</c:v>
                </c:pt>
                <c:pt idx="13">
                  <c:v>79.10832420744434</c:v>
                </c:pt>
                <c:pt idx="14">
                  <c:v>80.915972610273613</c:v>
                </c:pt>
                <c:pt idx="15">
                  <c:v>82.518245721202746</c:v>
                </c:pt>
                <c:pt idx="16">
                  <c:v>83.9413615857286</c:v>
                </c:pt>
                <c:pt idx="17">
                  <c:v>85.208299710683761</c:v>
                </c:pt>
              </c:numCache>
            </c:numRef>
          </c:val>
          <c:smooth val="0"/>
          <c:extLst>
            <c:ext xmlns:c16="http://schemas.microsoft.com/office/drawing/2014/chart" uri="{C3380CC4-5D6E-409C-BE32-E72D297353CC}">
              <c16:uniqueId val="{00000000-998A-0845-9C19-1C3931887FB9}"/>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'CH4'!$C$263:$C$280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'CH4'!$J$263:$J$280</c:f>
              <c:numCache>
                <c:formatCode>0.00E+00</c:formatCode>
                <c:ptCount val="18"/>
                <c:pt idx="0">
                  <c:v>197.84929525810085</c:v>
                </c:pt>
                <c:pt idx="1">
                  <c:v>208.60534217558455</c:v>
                </c:pt>
                <c:pt idx="2">
                  <c:v>218.10385360393238</c:v>
                </c:pt>
                <c:pt idx="3">
                  <c:v>226.91026174615203</c:v>
                </c:pt>
                <c:pt idx="4">
                  <c:v>235.21934932023964</c:v>
                </c:pt>
                <c:pt idx="5">
                  <c:v>243.11739676932339</c:v>
                </c:pt>
                <c:pt idx="6">
                  <c:v>250.65238854601637</c:v>
                </c:pt>
                <c:pt idx="7">
                  <c:v>257.85505554918967</c:v>
                </c:pt>
                <c:pt idx="8">
                  <c:v>264.7474177289389</c:v>
                </c:pt>
                <c:pt idx="9">
                  <c:v>271.34712429272554</c:v>
                </c:pt>
                <c:pt idx="10">
                  <c:v>277.66973606173349</c:v>
                </c:pt>
                <c:pt idx="11">
                  <c:v>283.72983529656932</c:v>
                </c:pt>
                <c:pt idx="12">
                  <c:v>289.54148288755317</c:v>
                </c:pt>
                <c:pt idx="13">
                  <c:v>295.1183432665955</c:v>
                </c:pt>
                <c:pt idx="14">
                  <c:v>300.47366241465187</c:v>
                </c:pt>
                <c:pt idx="15">
                  <c:v>305.6201973823413</c:v>
                </c:pt>
                <c:pt idx="16">
                  <c:v>310.5701443083758</c:v>
                </c:pt>
                <c:pt idx="17">
                  <c:v>315.33508384279168</c:v>
                </c:pt>
              </c:numCache>
            </c:numRef>
          </c:val>
          <c:smooth val="0"/>
          <c:extLst>
            <c:ext xmlns:c16="http://schemas.microsoft.com/office/drawing/2014/chart" uri="{C3380CC4-5D6E-409C-BE32-E72D297353CC}">
              <c16:uniqueId val="{00000000-8507-A244-B9E0-DEC0E8FC4B28}"/>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[1]CH3!$U$102:$U$120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[1]CH3!$Z$102:$Z$120</c:f>
              <c:numCache>
                <c:formatCode>General</c:formatCode>
                <c:ptCount val="19"/>
                <c:pt idx="0">
                  <c:v>4.0102420045868308E-6</c:v>
                </c:pt>
                <c:pt idx="1">
                  <c:v>5.0023103638718323E-6</c:v>
                </c:pt>
                <c:pt idx="2">
                  <c:v>4.4427768877759413E-2</c:v>
                </c:pt>
                <c:pt idx="3">
                  <c:v>13.423631185476241</c:v>
                </c:pt>
                <c:pt idx="4">
                  <c:v>725.20635571074808</c:v>
                </c:pt>
                <c:pt idx="5">
                  <c:v>14388.831842912245</c:v>
                </c:pt>
                <c:pt idx="6">
                  <c:v>150907.32802266433</c:v>
                </c:pt>
                <c:pt idx="7">
                  <c:v>1026621.6350634171</c:v>
                </c:pt>
                <c:pt idx="8">
                  <c:v>5129514.1396994386</c:v>
                </c:pt>
                <c:pt idx="9">
                  <c:v>20390066.526725184</c:v>
                </c:pt>
                <c:pt idx="10">
                  <c:v>68048965.630663425</c:v>
                </c:pt>
                <c:pt idx="11">
                  <c:v>197987375.19490969</c:v>
                </c:pt>
                <c:pt idx="12">
                  <c:v>516015674.90561867</c:v>
                </c:pt>
                <c:pt idx="13">
                  <c:v>1229233714.166389</c:v>
                </c:pt>
                <c:pt idx="14">
                  <c:v>2717511995.3463597</c:v>
                </c:pt>
                <c:pt idx="15">
                  <c:v>5641429587.1678038</c:v>
                </c:pt>
                <c:pt idx="16">
                  <c:v>11099670351.951281</c:v>
                </c:pt>
                <c:pt idx="17">
                  <c:v>20851952797.502457</c:v>
                </c:pt>
                <c:pt idx="18">
                  <c:v>37627078707.740967</c:v>
                </c:pt>
              </c:numCache>
            </c:numRef>
          </c:val>
          <c:smooth val="0"/>
          <c:extLst>
            <c:ext xmlns:c16="http://schemas.microsoft.com/office/drawing/2014/chart" uri="{C3380CC4-5D6E-409C-BE32-E72D297353CC}">
              <c16:uniqueId val="{00000000-8A57-FC40-ADC2-D63C9BBCBEEC}"/>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H!$E$64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H!$C$66:$C$83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H!$E$66:$E$83</c:f>
              <c:numCache>
                <c:formatCode>0.00E+00</c:formatCode>
                <c:ptCount val="18"/>
                <c:pt idx="0">
                  <c:v>40368.323106654447</c:v>
                </c:pt>
                <c:pt idx="1">
                  <c:v>82868.132310616726</c:v>
                </c:pt>
                <c:pt idx="2">
                  <c:v>144764.66954295631</c:v>
                </c:pt>
                <c:pt idx="3">
                  <c:v>228357.72011076027</c:v>
                </c:pt>
                <c:pt idx="4">
                  <c:v>335724.21923775156</c:v>
                </c:pt>
                <c:pt idx="5">
                  <c:v>468772.94640881027</c:v>
                </c:pt>
                <c:pt idx="6">
                  <c:v>629279.87973373779</c:v>
                </c:pt>
                <c:pt idx="7">
                  <c:v>818912.6360804349</c:v>
                </c:pt>
                <c:pt idx="8">
                  <c:v>1039248.2105053912</c:v>
                </c:pt>
                <c:pt idx="9">
                  <c:v>1291786.3394129495</c:v>
                </c:pt>
                <c:pt idx="10">
                  <c:v>1577959.8664058954</c:v>
                </c:pt>
                <c:pt idx="11">
                  <c:v>1899142.9762525919</c:v>
                </c:pt>
                <c:pt idx="12">
                  <c:v>2256657.865103865</c:v>
                </c:pt>
                <c:pt idx="13">
                  <c:v>2651780.2339397119</c:v>
                </c:pt>
                <c:pt idx="14">
                  <c:v>3085743.8770825602</c:v>
                </c:pt>
                <c:pt idx="15">
                  <c:v>3559744.5617918582</c:v>
                </c:pt>
                <c:pt idx="16">
                  <c:v>4074943.3434961871</c:v>
                </c:pt>
                <c:pt idx="17">
                  <c:v>4632469.425374628</c:v>
                </c:pt>
              </c:numCache>
            </c:numRef>
          </c:val>
          <c:smooth val="0"/>
          <c:extLst>
            <c:ext xmlns:c16="http://schemas.microsoft.com/office/drawing/2014/chart" uri="{C3380CC4-5D6E-409C-BE32-E72D297353CC}">
              <c16:uniqueId val="{00000000-88C0-CD48-82AF-254B4E1EA6E9}"/>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H!$C$102:$C$120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H!$E$102:$E$120</c:f>
              <c:numCache>
                <c:formatCode>General</c:formatCode>
                <c:ptCount val="1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numCache>
            </c:numRef>
          </c:val>
          <c:smooth val="0"/>
          <c:extLst>
            <c:ext xmlns:c16="http://schemas.microsoft.com/office/drawing/2014/chart" uri="{C3380CC4-5D6E-409C-BE32-E72D297353CC}">
              <c16:uniqueId val="{00000000-E8D1-7F4E-B499-CD627D6D7D7F}"/>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H!$D$136</c:f>
              <c:strCache>
                <c:ptCount val="1"/>
                <c:pt idx="0">
                  <c:v>Qrot</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H!$C$138:$C$155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H!$D$138:$D$155</c:f>
              <c:numCache>
                <c:formatCode>0.00E+00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0-3F3F-1D4C-978B-E5ABD9FD7BC5}"/>
            </c:ext>
          </c:extLst>
        </c:ser>
        <c:ser>
          <c:idx val="1"/>
          <c:order val="1"/>
          <c:tx>
            <c:strRef>
              <c:f>H!$E$136</c:f>
              <c:strCache>
                <c:ptCount val="1"/>
              </c:strCache>
            </c:strRef>
          </c:tx>
          <c:spPr>
            <a:ln w="28575" cap="rnd">
              <a:solidFill>
                <a:schemeClr val="accent2"/>
              </a:solidFill>
              <a:round/>
            </a:ln>
            <a:effectLst/>
          </c:spPr>
          <c:marker>
            <c:symbol val="x"/>
            <c:size val="5"/>
            <c:spPr>
              <a:noFill/>
              <a:ln w="9525">
                <a:solidFill>
                  <a:schemeClr val="accent2"/>
                </a:solidFill>
              </a:ln>
              <a:effectLst/>
            </c:spPr>
          </c:marker>
          <c:cat>
            <c:numRef>
              <c:f>H!$C$138:$C$155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H!$E$137:$E$154</c:f>
              <c:numCache>
                <c:formatCode>0.00E+00</c:formatCode>
                <c:ptCount val="18"/>
              </c:numCache>
            </c:numRef>
          </c:val>
          <c:smooth val="0"/>
          <c:extLst>
            <c:ext xmlns:c16="http://schemas.microsoft.com/office/drawing/2014/chart" uri="{C3380CC4-5D6E-409C-BE32-E72D297353CC}">
              <c16:uniqueId val="{00000001-3F3F-1D4C-978B-E5ABD9FD7BC5}"/>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H!$D$176:$D$193</c:f>
              <c:numCache>
                <c:formatCode>0.00E+00</c:formatCode>
                <c:ptCount val="18"/>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numCache>
            </c:numRef>
          </c:val>
          <c:smooth val="0"/>
          <c:extLst>
            <c:ext xmlns:c16="http://schemas.microsoft.com/office/drawing/2014/chart" uri="{C3380CC4-5D6E-409C-BE32-E72D297353CC}">
              <c16:uniqueId val="{00000000-F3E4-0149-A2C2-64E2680E1035}"/>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H!$H$215:$H$232</c:f>
              <c:numCache>
                <c:formatCode>0.00E+00</c:formatCode>
                <c:ptCount val="18"/>
                <c:pt idx="0">
                  <c:v>12.471599999999999</c:v>
                </c:pt>
                <c:pt idx="1">
                  <c:v>12.471599999999999</c:v>
                </c:pt>
                <c:pt idx="2">
                  <c:v>12.471599999999999</c:v>
                </c:pt>
                <c:pt idx="3">
                  <c:v>12.471599999999999</c:v>
                </c:pt>
                <c:pt idx="4">
                  <c:v>12.471599999999999</c:v>
                </c:pt>
                <c:pt idx="5">
                  <c:v>12.471599999999999</c:v>
                </c:pt>
                <c:pt idx="6">
                  <c:v>12.471599999999999</c:v>
                </c:pt>
                <c:pt idx="7">
                  <c:v>12.471599999999999</c:v>
                </c:pt>
                <c:pt idx="8">
                  <c:v>12.471599999999999</c:v>
                </c:pt>
                <c:pt idx="9">
                  <c:v>12.471599999999999</c:v>
                </c:pt>
                <c:pt idx="10">
                  <c:v>12.471599999999999</c:v>
                </c:pt>
                <c:pt idx="11">
                  <c:v>12.471599999999999</c:v>
                </c:pt>
                <c:pt idx="12">
                  <c:v>12.471599999999999</c:v>
                </c:pt>
                <c:pt idx="13">
                  <c:v>12.471599999999999</c:v>
                </c:pt>
                <c:pt idx="14">
                  <c:v>12.471599999999999</c:v>
                </c:pt>
                <c:pt idx="15">
                  <c:v>12.471599999999999</c:v>
                </c:pt>
                <c:pt idx="16">
                  <c:v>12.471599999999999</c:v>
                </c:pt>
                <c:pt idx="17">
                  <c:v>12.471599999999999</c:v>
                </c:pt>
              </c:numCache>
            </c:numRef>
          </c:val>
          <c:smooth val="0"/>
          <c:extLst>
            <c:ext xmlns:c16="http://schemas.microsoft.com/office/drawing/2014/chart" uri="{C3380CC4-5D6E-409C-BE32-E72D297353CC}">
              <c16:uniqueId val="{00000000-7627-4840-8FD3-492D049986D0}"/>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H!$J$263:$J$280</c:f>
              <c:numCache>
                <c:formatCode>0.00E+00</c:formatCode>
                <c:ptCount val="18"/>
                <c:pt idx="0">
                  <c:v>114.72990445852881</c:v>
                </c:pt>
                <c:pt idx="1">
                  <c:v>120.70966401651158</c:v>
                </c:pt>
                <c:pt idx="2">
                  <c:v>125.34792587412869</c:v>
                </c:pt>
                <c:pt idx="3">
                  <c:v>129.13766175364785</c:v>
                </c:pt>
                <c:pt idx="4">
                  <c:v>132.34183778453723</c:v>
                </c:pt>
                <c:pt idx="5">
                  <c:v>135.11742131163064</c:v>
                </c:pt>
                <c:pt idx="6">
                  <c:v>137.5656594907841</c:v>
                </c:pt>
                <c:pt idx="7">
                  <c:v>139.75568316924776</c:v>
                </c:pt>
                <c:pt idx="8">
                  <c:v>141.73680056666038</c:v>
                </c:pt>
                <c:pt idx="9">
                  <c:v>143.54541904876692</c:v>
                </c:pt>
                <c:pt idx="10">
                  <c:v>145.20918677046902</c:v>
                </c:pt>
                <c:pt idx="11">
                  <c:v>146.7495950796563</c:v>
                </c:pt>
                <c:pt idx="12">
                  <c:v>148.18368090638398</c:v>
                </c:pt>
                <c:pt idx="13">
                  <c:v>149.52517860674956</c:v>
                </c:pt>
                <c:pt idx="14">
                  <c:v>150.78532199582605</c:v>
                </c:pt>
                <c:pt idx="15">
                  <c:v>151.97341678590314</c:v>
                </c:pt>
                <c:pt idx="16">
                  <c:v>153.09725804722714</c:v>
                </c:pt>
                <c:pt idx="17">
                  <c:v>154.16344046436677</c:v>
                </c:pt>
              </c:numCache>
            </c:numRef>
          </c:val>
          <c:smooth val="0"/>
          <c:extLst>
            <c:ext xmlns:c16="http://schemas.microsoft.com/office/drawing/2014/chart" uri="{C3380CC4-5D6E-409C-BE32-E72D297353CC}">
              <c16:uniqueId val="{00000000-B1D1-B143-AF08-9EC54522A1DE}"/>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H!$U$102:$U$120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H!$Z$102:$Z$120</c:f>
              <c:numCache>
                <c:formatCode>General</c:formatCode>
                <c:ptCount val="19"/>
                <c:pt idx="0">
                  <c:v>79497.707020761445</c:v>
                </c:pt>
                <c:pt idx="1">
                  <c:v>80736.646213308893</c:v>
                </c:pt>
                <c:pt idx="2">
                  <c:v>165736.26462123345</c:v>
                </c:pt>
                <c:pt idx="3">
                  <c:v>289529.33908591262</c:v>
                </c:pt>
                <c:pt idx="4">
                  <c:v>456715.44022152055</c:v>
                </c:pt>
                <c:pt idx="5">
                  <c:v>671448.43847550312</c:v>
                </c:pt>
                <c:pt idx="6">
                  <c:v>937545.89281762054</c:v>
                </c:pt>
                <c:pt idx="7">
                  <c:v>1258559.7594674756</c:v>
                </c:pt>
                <c:pt idx="8">
                  <c:v>1637825.2721608698</c:v>
                </c:pt>
                <c:pt idx="9">
                  <c:v>2078496.4210107825</c:v>
                </c:pt>
                <c:pt idx="10">
                  <c:v>2583572.678825899</c:v>
                </c:pt>
                <c:pt idx="11">
                  <c:v>3155919.7328117909</c:v>
                </c:pt>
                <c:pt idx="12">
                  <c:v>3798285.9525051839</c:v>
                </c:pt>
                <c:pt idx="13">
                  <c:v>4513315.7302077301</c:v>
                </c:pt>
                <c:pt idx="14">
                  <c:v>5303560.4678794239</c:v>
                </c:pt>
                <c:pt idx="15">
                  <c:v>6171487.7541651204</c:v>
                </c:pt>
                <c:pt idx="16">
                  <c:v>7119489.1235837163</c:v>
                </c:pt>
                <c:pt idx="17">
                  <c:v>8149886.6869923742</c:v>
                </c:pt>
                <c:pt idx="18">
                  <c:v>9264938.8507492561</c:v>
                </c:pt>
              </c:numCache>
            </c:numRef>
          </c:val>
          <c:smooth val="0"/>
          <c:extLst>
            <c:ext xmlns:c16="http://schemas.microsoft.com/office/drawing/2014/chart" uri="{C3380CC4-5D6E-409C-BE32-E72D297353CC}">
              <c16:uniqueId val="{00000000-0CE9-594B-9E21-DF17FEE864E0}"/>
            </c:ext>
          </c:extLst>
        </c:ser>
        <c:dLbls>
          <c:showLegendKey val="0"/>
          <c:showVal val="0"/>
          <c:showCatName val="0"/>
          <c:showSerName val="0"/>
          <c:showPercent val="0"/>
          <c:showBubbleSize val="0"/>
        </c:dLbls>
        <c:marker val="1"/>
        <c:smooth val="0"/>
        <c:axId val="235744720"/>
        <c:axId val="751785295"/>
      </c:lineChart>
      <c:catAx>
        <c:axId val="23574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85295"/>
        <c:crosses val="autoZero"/>
        <c:auto val="1"/>
        <c:lblAlgn val="ctr"/>
        <c:lblOffset val="100"/>
        <c:noMultiLvlLbl val="0"/>
      </c:catAx>
      <c:valAx>
        <c:axId val="751785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35744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'CH3'!$E$64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'CH3'!$C$66:$C$83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'CH3'!$E$66:$E$83</c:f>
              <c:numCache>
                <c:formatCode>0.00E+00</c:formatCode>
                <c:ptCount val="18"/>
                <c:pt idx="0">
                  <c:v>2323355.1489047599</c:v>
                </c:pt>
                <c:pt idx="1">
                  <c:v>4769385.6733982554</c:v>
                </c:pt>
                <c:pt idx="2">
                  <c:v>8331773.8879938824</c:v>
                </c:pt>
                <c:pt idx="3">
                  <c:v>13142881.447161743</c:v>
                </c:pt>
                <c:pt idx="4">
                  <c:v>19322244.10999826</c:v>
                </c:pt>
                <c:pt idx="5">
                  <c:v>26979719.61403108</c:v>
                </c:pt>
                <c:pt idx="6">
                  <c:v>36217522.457368061</c:v>
                </c:pt>
                <c:pt idx="7">
                  <c:v>47131630.524107978</c:v>
                </c:pt>
                <c:pt idx="8">
                  <c:v>59812806.058068268</c:v>
                </c:pt>
                <c:pt idx="9">
                  <c:v>74347364.764951676</c:v>
                </c:pt>
                <c:pt idx="10">
                  <c:v>90817772.407663122</c:v>
                </c:pt>
                <c:pt idx="11">
                  <c:v>109303118.70337307</c:v>
                </c:pt>
                <c:pt idx="12">
                  <c:v>129879501.22062938</c:v>
                </c:pt>
                <c:pt idx="13">
                  <c:v>152620341.54874289</c:v>
                </c:pt>
                <c:pt idx="14">
                  <c:v>177596649.38470513</c:v>
                </c:pt>
                <c:pt idx="15">
                  <c:v>204877245.81904879</c:v>
                </c:pt>
                <c:pt idx="16">
                  <c:v>234528954.14044046</c:v>
                </c:pt>
                <c:pt idx="17">
                  <c:v>266616764.41580194</c:v>
                </c:pt>
              </c:numCache>
            </c:numRef>
          </c:val>
          <c:smooth val="0"/>
          <c:extLst>
            <c:ext xmlns:c16="http://schemas.microsoft.com/office/drawing/2014/chart" uri="{C3380CC4-5D6E-409C-BE32-E72D297353CC}">
              <c16:uniqueId val="{00000000-7F8D-7743-ACC5-F318C66B477C}"/>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'CH3'!$C$102:$C$120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'CH3'!$J$102:$J$120</c:f>
              <c:numCache>
                <c:formatCode>General</c:formatCode>
                <c:ptCount val="19"/>
                <c:pt idx="0">
                  <c:v>1.0894223030783743</c:v>
                </c:pt>
                <c:pt idx="1">
                  <c:v>1.0910151884207482</c:v>
                </c:pt>
                <c:pt idx="2">
                  <c:v>1.1944943993277499</c:v>
                </c:pt>
                <c:pt idx="3">
                  <c:v>1.3308656368723202</c:v>
                </c:pt>
                <c:pt idx="4">
                  <c:v>1.500550364303576</c:v>
                </c:pt>
                <c:pt idx="5">
                  <c:v>1.7057682976912358</c:v>
                </c:pt>
                <c:pt idx="6">
                  <c:v>1.9500985383323988</c:v>
                </c:pt>
                <c:pt idx="7">
                  <c:v>2.2382947843736782</c:v>
                </c:pt>
                <c:pt idx="8">
                  <c:v>2.5761415703458113</c:v>
                </c:pt>
                <c:pt idx="9">
                  <c:v>2.9703629051025491</c:v>
                </c:pt>
                <c:pt idx="10">
                  <c:v>3.4285849770816701</c:v>
                </c:pt>
                <c:pt idx="11">
                  <c:v>3.9593400320115713</c:v>
                </c:pt>
                <c:pt idx="12">
                  <c:v>4.5720973402735599</c:v>
                </c:pt>
                <c:pt idx="13">
                  <c:v>5.2773108994272615</c:v>
                </c:pt>
                <c:pt idx="14">
                  <c:v>6.0864773810570156</c:v>
                </c:pt>
                <c:pt idx="15">
                  <c:v>7.0122005764425035</c:v>
                </c:pt>
                <c:pt idx="16">
                  <c:v>8.0682602836374517</c:v>
                </c:pt>
                <c:pt idx="17">
                  <c:v>9.2696845429718664</c:v>
                </c:pt>
                <c:pt idx="18">
                  <c:v>10.632824655857579</c:v>
                </c:pt>
              </c:numCache>
            </c:numRef>
          </c:val>
          <c:smooth val="0"/>
          <c:extLst>
            <c:ext xmlns:c16="http://schemas.microsoft.com/office/drawing/2014/chart" uri="{C3380CC4-5D6E-409C-BE32-E72D297353CC}">
              <c16:uniqueId val="{00000000-B90B-8A45-A965-E67EEB333616}"/>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'CH3'!$D$136</c:f>
              <c:strCache>
                <c:ptCount val="1"/>
                <c:pt idx="0">
                  <c:v>Qrot(1) and 𝜎=6</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'CH3'!$C$138:$C$155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'CH3'!$D$138:$D$155</c:f>
              <c:numCache>
                <c:formatCode>0.00E+00</c:formatCode>
                <c:ptCount val="18"/>
                <c:pt idx="0">
                  <c:v>288.85634699480477</c:v>
                </c:pt>
                <c:pt idx="1">
                  <c:v>444.72343918555737</c:v>
                </c:pt>
                <c:pt idx="2">
                  <c:v>621.51990075399465</c:v>
                </c:pt>
                <c:pt idx="3">
                  <c:v>817.00912699520575</c:v>
                </c:pt>
                <c:pt idx="4">
                  <c:v>1029.549169500543</c:v>
                </c:pt>
                <c:pt idx="5">
                  <c:v>1257.867838402829</c:v>
                </c:pt>
                <c:pt idx="6">
                  <c:v>1500.941607251237</c:v>
                </c:pt>
                <c:pt idx="7">
                  <c:v>1757.9237458621387</c:v>
                </c:pt>
                <c:pt idx="8">
                  <c:v>2028.0985769755036</c:v>
                </c:pt>
                <c:pt idx="9">
                  <c:v>2310.8507759584513</c:v>
                </c:pt>
                <c:pt idx="10">
                  <c:v>2605.6438904993106</c:v>
                </c:pt>
                <c:pt idx="11">
                  <c:v>2912.0047972752568</c:v>
                </c:pt>
                <c:pt idx="12">
                  <c:v>3229.5121380632436</c:v>
                </c:pt>
                <c:pt idx="13">
                  <c:v>3557.7875134844289</c:v>
                </c:pt>
                <c:pt idx="14">
                  <c:v>3896.4886421437554</c:v>
                </c:pt>
                <c:pt idx="15">
                  <c:v>4245.3039546095542</c:v>
                </c:pt>
                <c:pt idx="16">
                  <c:v>4603.9482569300089</c:v>
                </c:pt>
                <c:pt idx="17">
                  <c:v>4972.1592060319144</c:v>
                </c:pt>
              </c:numCache>
            </c:numRef>
          </c:val>
          <c:smooth val="0"/>
          <c:extLst>
            <c:ext xmlns:c16="http://schemas.microsoft.com/office/drawing/2014/chart" uri="{C3380CC4-5D6E-409C-BE32-E72D297353CC}">
              <c16:uniqueId val="{00000000-422F-B347-AC07-AE06E24239B2}"/>
            </c:ext>
          </c:extLst>
        </c:ser>
        <c:ser>
          <c:idx val="1"/>
          <c:order val="1"/>
          <c:tx>
            <c:strRef>
              <c:f>'CH3'!$E$136</c:f>
              <c:strCache>
                <c:ptCount val="1"/>
                <c:pt idx="0">
                  <c:v>Qrot(2) and 𝜎=6</c:v>
                </c:pt>
              </c:strCache>
            </c:strRef>
          </c:tx>
          <c:spPr>
            <a:ln w="28575" cap="rnd">
              <a:solidFill>
                <a:schemeClr val="accent2"/>
              </a:solidFill>
              <a:round/>
            </a:ln>
            <a:effectLst/>
          </c:spPr>
          <c:marker>
            <c:symbol val="x"/>
            <c:size val="5"/>
            <c:spPr>
              <a:noFill/>
              <a:ln w="9525">
                <a:solidFill>
                  <a:schemeClr val="accent2"/>
                </a:solidFill>
              </a:ln>
              <a:effectLst/>
            </c:spPr>
          </c:marker>
          <c:cat>
            <c:numRef>
              <c:f>'CH3'!$C$138:$C$155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'CH3'!$E$138:$E$155</c:f>
              <c:numCache>
                <c:formatCode>0.00E+00</c:formatCode>
                <c:ptCount val="18"/>
                <c:pt idx="0">
                  <c:v>42.824928905896343</c:v>
                </c:pt>
                <c:pt idx="1">
                  <c:v>65.933291284922248</c:v>
                </c:pt>
                <c:pt idx="2">
                  <c:v>92.144575808362916</c:v>
                </c:pt>
                <c:pt idx="3">
                  <c:v>121.1271905327643</c:v>
                </c:pt>
                <c:pt idx="4">
                  <c:v>152.63770537740064</c:v>
                </c:pt>
                <c:pt idx="5">
                  <c:v>186.48750949406551</c:v>
                </c:pt>
                <c:pt idx="6">
                  <c:v>222.52485808661254</c:v>
                </c:pt>
                <c:pt idx="7">
                  <c:v>260.62421761460507</c:v>
                </c:pt>
                <c:pt idx="8">
                  <c:v>300.67948402978277</c:v>
                </c:pt>
                <c:pt idx="9">
                  <c:v>342.5994312471708</c:v>
                </c:pt>
                <c:pt idx="10">
                  <c:v>386.30452654282112</c:v>
                </c:pt>
                <c:pt idx="11">
                  <c:v>431.72462614845784</c:v>
                </c:pt>
                <c:pt idx="12">
                  <c:v>478.79726082589985</c:v>
                </c:pt>
                <c:pt idx="13">
                  <c:v>527.4663302793781</c:v>
                </c:pt>
                <c:pt idx="14">
                  <c:v>577.68108895124567</c:v>
                </c:pt>
                <c:pt idx="15">
                  <c:v>629.39534454247212</c:v>
                </c:pt>
                <c:pt idx="16">
                  <c:v>682.56681509926716</c:v>
                </c:pt>
                <c:pt idx="17">
                  <c:v>737.1566064669023</c:v>
                </c:pt>
              </c:numCache>
            </c:numRef>
          </c:val>
          <c:smooth val="0"/>
          <c:extLst>
            <c:ext xmlns:c16="http://schemas.microsoft.com/office/drawing/2014/chart" uri="{C3380CC4-5D6E-409C-BE32-E72D297353CC}">
              <c16:uniqueId val="{00000001-422F-B347-AC07-AE06E24239B2}"/>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'CH3'!$D$174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'CH3'!$C$176:$C$193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'CH3'!$D$176:$D$193</c:f>
              <c:numCache>
                <c:formatCode>0.00E+00</c:formatCode>
                <c:ptCount val="18"/>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numCache>
            </c:numRef>
          </c:val>
          <c:smooth val="0"/>
          <c:extLst>
            <c:ext xmlns:c16="http://schemas.microsoft.com/office/drawing/2014/chart" uri="{C3380CC4-5D6E-409C-BE32-E72D297353CC}">
              <c16:uniqueId val="{00000000-E559-6743-97B0-61E3AB4D521C}"/>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'CH3'!$C$215:$C$232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'CH3'!$H$215:$H$232</c:f>
              <c:numCache>
                <c:formatCode>0.00E+00</c:formatCode>
                <c:ptCount val="18"/>
                <c:pt idx="0">
                  <c:v>30.864446169484037</c:v>
                </c:pt>
                <c:pt idx="1">
                  <c:v>33.917829914321302</c:v>
                </c:pt>
                <c:pt idx="2">
                  <c:v>36.930484931018128</c:v>
                </c:pt>
                <c:pt idx="3">
                  <c:v>39.793335700001975</c:v>
                </c:pt>
                <c:pt idx="4">
                  <c:v>42.522088936840873</c:v>
                </c:pt>
                <c:pt idx="5">
                  <c:v>45.138658449762744</c:v>
                </c:pt>
                <c:pt idx="6">
                  <c:v>47.635070935757128</c:v>
                </c:pt>
                <c:pt idx="7">
                  <c:v>49.987843355397843</c:v>
                </c:pt>
                <c:pt idx="8">
                  <c:v>52.17492763314587</c:v>
                </c:pt>
                <c:pt idx="9">
                  <c:v>54.183439792916744</c:v>
                </c:pt>
                <c:pt idx="10">
                  <c:v>56.010532350943549</c:v>
                </c:pt>
                <c:pt idx="11">
                  <c:v>57.661282452799739</c:v>
                </c:pt>
                <c:pt idx="12">
                  <c:v>59.145956194056453</c:v>
                </c:pt>
                <c:pt idx="13">
                  <c:v>60.477651128864593</c:v>
                </c:pt>
                <c:pt idx="14">
                  <c:v>61.670579065008127</c:v>
                </c:pt>
                <c:pt idx="15">
                  <c:v>62.738941847181238</c:v>
                </c:pt>
                <c:pt idx="16">
                  <c:v>63.696261839720677</c:v>
                </c:pt>
                <c:pt idx="17">
                  <c:v>64.555028312260788</c:v>
                </c:pt>
              </c:numCache>
            </c:numRef>
          </c:val>
          <c:smooth val="0"/>
          <c:extLst>
            <c:ext xmlns:c16="http://schemas.microsoft.com/office/drawing/2014/chart" uri="{C3380CC4-5D6E-409C-BE32-E72D297353CC}">
              <c16:uniqueId val="{00000000-E6D9-6C49-B31C-22D567BC16D4}"/>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'CH3'!$C$263:$C$280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'CH3'!$J$263:$J$280</c:f>
              <c:numCache>
                <c:formatCode>0.00E+00</c:formatCode>
                <c:ptCount val="18"/>
                <c:pt idx="0">
                  <c:v>194.83597038619993</c:v>
                </c:pt>
                <c:pt idx="1">
                  <c:v>206.52361590297943</c:v>
                </c:pt>
                <c:pt idx="2">
                  <c:v>216.27349867178495</c:v>
                </c:pt>
                <c:pt idx="3">
                  <c:v>224.77797485162503</c:v>
                </c:pt>
                <c:pt idx="4">
                  <c:v>232.40024430215013</c:v>
                </c:pt>
                <c:pt idx="5">
                  <c:v>239.36056028394992</c:v>
                </c:pt>
                <c:pt idx="6">
                  <c:v>245.80184002656293</c:v>
                </c:pt>
                <c:pt idx="7">
                  <c:v>251.81984236181628</c:v>
                </c:pt>
                <c:pt idx="8">
                  <c:v>257.48059192406737</c:v>
                </c:pt>
                <c:pt idx="9">
                  <c:v>262.83128339247185</c:v>
                </c:pt>
                <c:pt idx="10">
                  <c:v>267.90712800596941</c:v>
                </c:pt>
                <c:pt idx="11">
                  <c:v>272.73559136476024</c:v>
                </c:pt>
                <c:pt idx="12">
                  <c:v>277.33898929016596</c:v>
                </c:pt>
                <c:pt idx="13">
                  <c:v>281.7360764691789</c:v>
                </c:pt>
                <c:pt idx="14">
                  <c:v>285.94302839237946</c:v>
                </c:pt>
                <c:pt idx="15">
                  <c:v>289.97406122695605</c:v>
                </c:pt>
                <c:pt idx="16">
                  <c:v>293.84183584338365</c:v>
                </c:pt>
                <c:pt idx="17">
                  <c:v>297.55773227508979</c:v>
                </c:pt>
              </c:numCache>
            </c:numRef>
          </c:val>
          <c:smooth val="0"/>
          <c:extLst>
            <c:ext xmlns:c16="http://schemas.microsoft.com/office/drawing/2014/chart" uri="{C3380CC4-5D6E-409C-BE32-E72D297353CC}">
              <c16:uniqueId val="{00000000-A605-3248-9095-8BF17F9C84BC}"/>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'CH3'!$U$102:$U$120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'CH3'!$Z$102:$Z$120</c:f>
              <c:numCache>
                <c:formatCode>General</c:formatCode>
                <c:ptCount val="19"/>
                <c:pt idx="0">
                  <c:v>4.0102420045868308E-6</c:v>
                </c:pt>
                <c:pt idx="1">
                  <c:v>5.0023103638718323E-6</c:v>
                </c:pt>
                <c:pt idx="2">
                  <c:v>4.4427768877759413E-2</c:v>
                </c:pt>
                <c:pt idx="3">
                  <c:v>13.423631185476241</c:v>
                </c:pt>
                <c:pt idx="4">
                  <c:v>725.20635571074808</c:v>
                </c:pt>
                <c:pt idx="5">
                  <c:v>14388.831842912245</c:v>
                </c:pt>
                <c:pt idx="6">
                  <c:v>150907.32802266433</c:v>
                </c:pt>
                <c:pt idx="7">
                  <c:v>1026621.6350634171</c:v>
                </c:pt>
                <c:pt idx="8">
                  <c:v>5129514.1396994386</c:v>
                </c:pt>
                <c:pt idx="9">
                  <c:v>20390066.526725184</c:v>
                </c:pt>
                <c:pt idx="10">
                  <c:v>68048965.630663425</c:v>
                </c:pt>
                <c:pt idx="11">
                  <c:v>197987375.19490969</c:v>
                </c:pt>
                <c:pt idx="12">
                  <c:v>516015674.90561867</c:v>
                </c:pt>
                <c:pt idx="13">
                  <c:v>1229233714.166389</c:v>
                </c:pt>
                <c:pt idx="14">
                  <c:v>2717511995.3463597</c:v>
                </c:pt>
                <c:pt idx="15">
                  <c:v>5641429587.1678038</c:v>
                </c:pt>
                <c:pt idx="16">
                  <c:v>11099670351.951281</c:v>
                </c:pt>
                <c:pt idx="17">
                  <c:v>20851952797.502457</c:v>
                </c:pt>
                <c:pt idx="18">
                  <c:v>37627078707.740967</c:v>
                </c:pt>
              </c:numCache>
            </c:numRef>
          </c:val>
          <c:smooth val="0"/>
          <c:extLst>
            <c:ext xmlns:c16="http://schemas.microsoft.com/office/drawing/2014/chart" uri="{C3380CC4-5D6E-409C-BE32-E72D297353CC}">
              <c16:uniqueId val="{00000000-3C30-AF42-A555-48281B86CE99}"/>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'H2'!$E$64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'H2'!$C$66:$C$83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'H2'!$E$66:$E$83</c:f>
              <c:numCache>
                <c:formatCode>0.00E+00</c:formatCode>
                <c:ptCount val="18"/>
                <c:pt idx="0">
                  <c:v>114178.01036804235</c:v>
                </c:pt>
                <c:pt idx="1">
                  <c:v>234384.72896542485</c:v>
                </c:pt>
                <c:pt idx="2">
                  <c:v>409453.27098012256</c:v>
                </c:pt>
                <c:pt idx="3">
                  <c:v>645888.36314904713</c:v>
                </c:pt>
                <c:pt idx="4">
                  <c:v>949564.42167925066</c:v>
                </c:pt>
                <c:pt idx="5">
                  <c:v>1325880.2500641872</c:v>
                </c:pt>
                <c:pt idx="6">
                  <c:v>1779859.0355811976</c:v>
                </c:pt>
                <c:pt idx="7">
                  <c:v>2316217.475912435</c:v>
                </c:pt>
                <c:pt idx="8">
                  <c:v>2939415.9534582081</c:v>
                </c:pt>
                <c:pt idx="9">
                  <c:v>3653696.3317773752</c:v>
                </c:pt>
                <c:pt idx="10">
                  <c:v>4463111.27442268</c:v>
                </c:pt>
                <c:pt idx="11">
                  <c:v>5371547.5339429826</c:v>
                </c:pt>
                <c:pt idx="12">
                  <c:v>6382744.8179655354</c:v>
                </c:pt>
                <c:pt idx="13">
                  <c:v>7500311.326893637</c:v>
                </c:pt>
                <c:pt idx="14">
                  <c:v>8727736.7320857942</c:v>
                </c:pt>
                <c:pt idx="15">
                  <c:v>10068403.148924792</c:v>
                </c:pt>
                <c:pt idx="16">
                  <c:v>11525594.513639903</c:v>
                </c:pt>
                <c:pt idx="17">
                  <c:v>13102504.671363808</c:v>
                </c:pt>
              </c:numCache>
            </c:numRef>
          </c:val>
          <c:smooth val="0"/>
          <c:extLst>
            <c:ext xmlns:c16="http://schemas.microsoft.com/office/drawing/2014/chart" uri="{C3380CC4-5D6E-409C-BE32-E72D297353CC}">
              <c16:uniqueId val="{00000000-4727-2E49-9AA6-03578AC18598}"/>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Qvib_𝜐=0</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'H2'!$C$102:$C$120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'H2'!$E$102:$E$120</c:f>
              <c:numCache>
                <c:formatCode>General</c:formatCode>
                <c:ptCount val="19"/>
                <c:pt idx="0">
                  <c:v>1.0000000004358929</c:v>
                </c:pt>
                <c:pt idx="1">
                  <c:v>1.000000000497856</c:v>
                </c:pt>
                <c:pt idx="2">
                  <c:v>1.0000001053968774</c:v>
                </c:pt>
                <c:pt idx="3">
                  <c:v>1.0000026197707961</c:v>
                </c:pt>
                <c:pt idx="4">
                  <c:v>1.0000223131810506</c:v>
                </c:pt>
                <c:pt idx="5">
                  <c:v>1.0001030597667218</c:v>
                </c:pt>
                <c:pt idx="6">
                  <c:v>1.0003247542664466</c:v>
                </c:pt>
                <c:pt idx="7">
                  <c:v>1.0007931930047049</c:v>
                </c:pt>
                <c:pt idx="8">
                  <c:v>1.001621192493636</c:v>
                </c:pt>
                <c:pt idx="9">
                  <c:v>1.0029114479107326</c:v>
                </c:pt>
                <c:pt idx="10">
                  <c:v>1.0047460488773623</c:v>
                </c:pt>
                <c:pt idx="11">
                  <c:v>1.0071826714022107</c:v>
                </c:pt>
                <c:pt idx="12">
                  <c:v>1.0102554185092685</c:v>
                </c:pt>
                <c:pt idx="13">
                  <c:v>1.013978137584411</c:v>
                </c:pt>
                <c:pt idx="14">
                  <c:v>1.0183486198834626</c:v>
                </c:pt>
                <c:pt idx="15">
                  <c:v>1.0233527351716376</c:v>
                </c:pt>
                <c:pt idx="16">
                  <c:v>1.0289680427797723</c:v>
                </c:pt>
                <c:pt idx="17">
                  <c:v>1.0351667248954137</c:v>
                </c:pt>
                <c:pt idx="18">
                  <c:v>1.0419178518928653</c:v>
                </c:pt>
              </c:numCache>
            </c:numRef>
          </c:val>
          <c:smooth val="0"/>
          <c:extLst>
            <c:ext xmlns:c16="http://schemas.microsoft.com/office/drawing/2014/chart" uri="{C3380CC4-5D6E-409C-BE32-E72D297353CC}">
              <c16:uniqueId val="{00000000-B984-644E-83CC-C9C079A30DC7}"/>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'H2'!$D$136</c:f>
              <c:strCache>
                <c:ptCount val="1"/>
                <c:pt idx="0">
                  <c:v>Qrot and 𝜎=2</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'H2'!$C$138:$C$155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'H2'!$D$138:$D$155</c:f>
              <c:numCache>
                <c:formatCode>0.00E+00</c:formatCode>
                <c:ptCount val="18"/>
                <c:pt idx="0">
                  <c:v>1.7184736568947652</c:v>
                </c:pt>
                <c:pt idx="1">
                  <c:v>2.2912982091930205</c:v>
                </c:pt>
                <c:pt idx="2">
                  <c:v>2.8641227614912754</c:v>
                </c:pt>
                <c:pt idx="3">
                  <c:v>3.4369473137895303</c:v>
                </c:pt>
                <c:pt idx="4">
                  <c:v>4.0097718660877852</c:v>
                </c:pt>
                <c:pt idx="5">
                  <c:v>4.582596418386041</c:v>
                </c:pt>
                <c:pt idx="6">
                  <c:v>5.1554209706842959</c:v>
                </c:pt>
                <c:pt idx="7">
                  <c:v>5.7282455229825509</c:v>
                </c:pt>
                <c:pt idx="8">
                  <c:v>6.3010700752808058</c:v>
                </c:pt>
                <c:pt idx="9">
                  <c:v>6.8738946275790607</c:v>
                </c:pt>
                <c:pt idx="10">
                  <c:v>7.4467191798773165</c:v>
                </c:pt>
                <c:pt idx="11">
                  <c:v>8.0195437321755705</c:v>
                </c:pt>
                <c:pt idx="12">
                  <c:v>8.5923682844738263</c:v>
                </c:pt>
                <c:pt idx="13">
                  <c:v>9.1651928367720821</c:v>
                </c:pt>
                <c:pt idx="14">
                  <c:v>9.7380173890703361</c:v>
                </c:pt>
                <c:pt idx="15">
                  <c:v>10.310841941368592</c:v>
                </c:pt>
                <c:pt idx="16">
                  <c:v>10.883666493666846</c:v>
                </c:pt>
                <c:pt idx="17">
                  <c:v>11.456491045965102</c:v>
                </c:pt>
              </c:numCache>
            </c:numRef>
          </c:val>
          <c:smooth val="0"/>
          <c:extLst>
            <c:ext xmlns:c16="http://schemas.microsoft.com/office/drawing/2014/chart" uri="{C3380CC4-5D6E-409C-BE32-E72D297353CC}">
              <c16:uniqueId val="{00000000-E414-CE45-8248-DEBF6482B682}"/>
            </c:ext>
          </c:extLst>
        </c:ser>
        <c:ser>
          <c:idx val="1"/>
          <c:order val="1"/>
          <c:tx>
            <c:strRef>
              <c:f>'H2'!$E$136</c:f>
              <c:strCache>
                <c:ptCount val="1"/>
              </c:strCache>
            </c:strRef>
          </c:tx>
          <c:spPr>
            <a:ln w="28575" cap="rnd">
              <a:solidFill>
                <a:schemeClr val="accent2"/>
              </a:solidFill>
              <a:round/>
            </a:ln>
            <a:effectLst/>
          </c:spPr>
          <c:marker>
            <c:symbol val="x"/>
            <c:size val="5"/>
            <c:spPr>
              <a:noFill/>
              <a:ln w="9525">
                <a:solidFill>
                  <a:schemeClr val="accent2"/>
                </a:solidFill>
              </a:ln>
              <a:effectLst/>
            </c:spPr>
          </c:marker>
          <c:cat>
            <c:numRef>
              <c:f>'H2'!$C$138:$C$155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'H2'!$E$138:$E$155</c:f>
              <c:numCache>
                <c:formatCode>0.00E+00</c:formatCode>
                <c:ptCount val="18"/>
              </c:numCache>
            </c:numRef>
          </c:val>
          <c:smooth val="0"/>
          <c:extLst>
            <c:ext xmlns:c16="http://schemas.microsoft.com/office/drawing/2014/chart" uri="{C3380CC4-5D6E-409C-BE32-E72D297353CC}">
              <c16:uniqueId val="{00000001-E414-CE45-8248-DEBF6482B682}"/>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'H2'!$D$174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'H2'!$C$176:$C$193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'H2'!$D$176:$D$193</c:f>
              <c:numCache>
                <c:formatCode>0.00E+00</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smooth val="0"/>
          <c:extLst>
            <c:ext xmlns:c16="http://schemas.microsoft.com/office/drawing/2014/chart" uri="{C3380CC4-5D6E-409C-BE32-E72D297353CC}">
              <c16:uniqueId val="{00000000-797F-F74A-932F-66975B513200}"/>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'H2'!$C$215:$C$232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'H2'!$H$215:$H$232</c:f>
              <c:numCache>
                <c:formatCode>0.00E+00</c:formatCode>
                <c:ptCount val="18"/>
                <c:pt idx="0">
                  <c:v>20.78600189941362</c:v>
                </c:pt>
                <c:pt idx="1">
                  <c:v>20.786226183801865</c:v>
                </c:pt>
                <c:pt idx="2">
                  <c:v>20.789598116804051</c:v>
                </c:pt>
                <c:pt idx="3">
                  <c:v>20.807282253126147</c:v>
                </c:pt>
                <c:pt idx="4">
                  <c:v>20.858224641609258</c:v>
                </c:pt>
                <c:pt idx="5">
                  <c:v>20.960285980168521</c:v>
                </c:pt>
                <c:pt idx="6">
                  <c:v>21.122499137965221</c:v>
                </c:pt>
                <c:pt idx="7">
                  <c:v>21.343549227612336</c:v>
                </c:pt>
                <c:pt idx="8">
                  <c:v>21.614573165398468</c:v>
                </c:pt>
                <c:pt idx="9">
                  <c:v>21.92302555072569</c:v>
                </c:pt>
                <c:pt idx="10">
                  <c:v>22.255776816841013</c:v>
                </c:pt>
                <c:pt idx="11">
                  <c:v>22.600980925748111</c:v>
                </c:pt>
                <c:pt idx="12">
                  <c:v>22.948911224871004</c:v>
                </c:pt>
                <c:pt idx="13">
                  <c:v>23.292126647352347</c:v>
                </c:pt>
                <c:pt idx="14">
                  <c:v>23.625279707742692</c:v>
                </c:pt>
                <c:pt idx="15">
                  <c:v>23.944775654770371</c:v>
                </c:pt>
                <c:pt idx="16">
                  <c:v>24.248403181185758</c:v>
                </c:pt>
                <c:pt idx="17">
                  <c:v>24.534996171095855</c:v>
                </c:pt>
              </c:numCache>
            </c:numRef>
          </c:val>
          <c:smooth val="0"/>
          <c:extLst>
            <c:ext xmlns:c16="http://schemas.microsoft.com/office/drawing/2014/chart" uri="{C3380CC4-5D6E-409C-BE32-E72D297353CC}">
              <c16:uniqueId val="{00000000-02B7-5948-B17D-CF37768B336A}"/>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'H2'!$C$263:$C$280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'H2'!$J$263:$J$280</c:f>
              <c:numCache>
                <c:formatCode>0.00E+00</c:formatCode>
                <c:ptCount val="18"/>
                <c:pt idx="0">
                  <c:v>130.42751367303117</c:v>
                </c:pt>
                <c:pt idx="1">
                  <c:v>138.79919191658692</c:v>
                </c:pt>
                <c:pt idx="2">
                  <c:v>145.29304530049592</c:v>
                </c:pt>
                <c:pt idx="3">
                  <c:v>150.60054634839983</c:v>
                </c:pt>
                <c:pt idx="4">
                  <c:v>155.0929436411474</c:v>
                </c:pt>
                <c:pt idx="5">
                  <c:v>158.99442679928512</c:v>
                </c:pt>
                <c:pt idx="6">
                  <c:v>162.4512529437865</c:v>
                </c:pt>
                <c:pt idx="7">
                  <c:v>165.56369373467442</c:v>
                </c:pt>
                <c:pt idx="8">
                  <c:v>168.40275885025585</c:v>
                </c:pt>
                <c:pt idx="9">
                  <c:v>171.01992178920253</c:v>
                </c:pt>
                <c:pt idx="10">
                  <c:v>173.45322636604118</c:v>
                </c:pt>
                <c:pt idx="11">
                  <c:v>175.73130906525256</c:v>
                </c:pt>
                <c:pt idx="12">
                  <c:v>177.87612234665701</c:v>
                </c:pt>
                <c:pt idx="13">
                  <c:v>179.90480801649915</c:v>
                </c:pt>
                <c:pt idx="14">
                  <c:v>181.8309996896424</c:v>
                </c:pt>
                <c:pt idx="15">
                  <c:v>183.66573643286944</c:v>
                </c:pt>
                <c:pt idx="16">
                  <c:v>185.41810945550549</c:v>
                </c:pt>
                <c:pt idx="17">
                  <c:v>187.09572439116147</c:v>
                </c:pt>
              </c:numCache>
            </c:numRef>
          </c:val>
          <c:smooth val="0"/>
          <c:extLst>
            <c:ext xmlns:c16="http://schemas.microsoft.com/office/drawing/2014/chart" uri="{C3380CC4-5D6E-409C-BE32-E72D297353CC}">
              <c16:uniqueId val="{00000000-B900-1C48-BB1B-8092F9753147}"/>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'H2'!$U$102:$U$120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'H2'!$Z$102:$Z$120</c:f>
              <c:numCache>
                <c:formatCode>General</c:formatCode>
                <c:ptCount val="19"/>
                <c:pt idx="0">
                  <c:v>4.0087843387787254</c:v>
                </c:pt>
                <c:pt idx="1">
                  <c:v>4.3780140309894415</c:v>
                </c:pt>
                <c:pt idx="2">
                  <c:v>174.35115271478776</c:v>
                </c:pt>
                <c:pt idx="3">
                  <c:v>1898.13977895531</c:v>
                </c:pt>
                <c:pt idx="4">
                  <c:v>10486.146590237382</c:v>
                </c:pt>
                <c:pt idx="5">
                  <c:v>38655.478535156093</c:v>
                </c:pt>
                <c:pt idx="6">
                  <c:v>109512.54040326814</c:v>
                </c:pt>
                <c:pt idx="7">
                  <c:v>258530.24071522686</c:v>
                </c:pt>
                <c:pt idx="8">
                  <c:v>534650.53155065491</c:v>
                </c:pt>
                <c:pt idx="9">
                  <c:v>1000831.954474094</c:v>
                </c:pt>
                <c:pt idx="10">
                  <c:v>1734321.3735948729</c:v>
                </c:pt>
                <c:pt idx="11">
                  <c:v>2826830.7916020132</c:v>
                </c:pt>
                <c:pt idx="12">
                  <c:v>4384715.0140473042</c:v>
                </c:pt>
                <c:pt idx="13">
                  <c:v>6529190.1405756408</c:v>
                </c:pt>
                <c:pt idx="14">
                  <c:v>9396602.1464824658</c:v>
                </c:pt>
                <c:pt idx="15">
                  <c:v>13138740.579431489</c:v>
                </c:pt>
                <c:pt idx="16">
                  <c:v>17923187.424443047</c:v>
                </c:pt>
                <c:pt idx="17">
                  <c:v>23933690.762483649</c:v>
                </c:pt>
                <c:pt idx="18">
                  <c:v>31370554.279895131</c:v>
                </c:pt>
              </c:numCache>
            </c:numRef>
          </c:val>
          <c:smooth val="0"/>
          <c:extLst>
            <c:ext xmlns:c16="http://schemas.microsoft.com/office/drawing/2014/chart" uri="{C3380CC4-5D6E-409C-BE32-E72D297353CC}">
              <c16:uniqueId val="{00000000-2CB1-A747-A1BA-5817BDCA9850}"/>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strRef>
              <c:f>TS!$E$64</c:f>
              <c:strCache>
                <c:ptCount val="1"/>
                <c:pt idx="0">
                  <c:v>Qtransl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TS!$C$66:$C$83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TS!$E$66:$E$83</c:f>
              <c:numCache>
                <c:formatCode>0.00E+00</c:formatCode>
                <c:ptCount val="18"/>
                <c:pt idx="0">
                  <c:v>2806279.4183435072</c:v>
                </c:pt>
                <c:pt idx="1">
                  <c:v>5760733.0759179452</c:v>
                </c:pt>
                <c:pt idx="2">
                  <c:v>10063586.529674899</c:v>
                </c:pt>
                <c:pt idx="3">
                  <c:v>15874713.65291952</c:v>
                </c:pt>
                <c:pt idx="4">
                  <c:v>23338496.478963908</c:v>
                </c:pt>
                <c:pt idx="5">
                  <c:v>32587627.380697835</c:v>
                </c:pt>
                <c:pt idx="6">
                  <c:v>43745566.795251966</c:v>
                </c:pt>
                <c:pt idx="7">
                  <c:v>56928242.225525893</c:v>
                </c:pt>
                <c:pt idx="8">
                  <c:v>72245281.429855764</c:v>
                </c:pt>
                <c:pt idx="9">
                  <c:v>89800941.386991456</c:v>
                </c:pt>
                <c:pt idx="10">
                  <c:v>109694828.89758618</c:v>
                </c:pt>
                <c:pt idx="11">
                  <c:v>132022472.98379029</c:v>
                </c:pt>
                <c:pt idx="12">
                  <c:v>156875788.58186588</c:v>
                </c:pt>
                <c:pt idx="13">
                  <c:v>184343458.42937529</c:v>
                </c:pt>
                <c:pt idx="14">
                  <c:v>214511252.04427201</c:v>
                </c:pt>
                <c:pt idx="15">
                  <c:v>247462295.42217454</c:v>
                </c:pt>
                <c:pt idx="16">
                  <c:v>283277301.50088918</c:v>
                </c:pt>
                <c:pt idx="17">
                  <c:v>322034768.94959861</c:v>
                </c:pt>
              </c:numCache>
            </c:numRef>
          </c:val>
          <c:smooth val="0"/>
          <c:extLst>
            <c:ext xmlns:c16="http://schemas.microsoft.com/office/drawing/2014/chart" uri="{C3380CC4-5D6E-409C-BE32-E72D297353CC}">
              <c16:uniqueId val="{00000000-FA2A-FA45-8E4A-6B76B2847D57}"/>
            </c:ext>
          </c:extLst>
        </c:ser>
        <c:dLbls>
          <c:showLegendKey val="0"/>
          <c:showVal val="0"/>
          <c:showCatName val="0"/>
          <c:showSerName val="0"/>
          <c:showPercent val="0"/>
          <c:showBubbleSize val="0"/>
        </c:dLbls>
        <c:marker val="1"/>
        <c:smooth val="0"/>
        <c:axId val="221762047"/>
        <c:axId val="221763759"/>
      </c:lineChart>
      <c:catAx>
        <c:axId val="22176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3759"/>
        <c:crosses val="autoZero"/>
        <c:auto val="1"/>
        <c:lblAlgn val="ctr"/>
        <c:lblOffset val="100"/>
        <c:noMultiLvlLbl val="0"/>
      </c:catAx>
      <c:valAx>
        <c:axId val="22176375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21762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1"/>
          <c:order val="0"/>
          <c:tx>
            <c:v>Qvib</c:v>
          </c:tx>
          <c:spPr>
            <a:ln w="28575" cap="rnd">
              <a:solidFill>
                <a:schemeClr val="accent2"/>
              </a:solidFill>
              <a:round/>
            </a:ln>
            <a:effectLst/>
          </c:spPr>
          <c:marker>
            <c:symbol val="diamond"/>
            <c:size val="6"/>
            <c:spPr>
              <a:solidFill>
                <a:schemeClr val="accent2"/>
              </a:solidFill>
              <a:ln w="9525">
                <a:solidFill>
                  <a:schemeClr val="accent2"/>
                </a:solidFill>
              </a:ln>
              <a:effectLst/>
            </c:spPr>
          </c:marker>
          <c:cat>
            <c:numRef>
              <c:f>TS!$C$102:$C$120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TS!$P$102:$P$120</c:f>
              <c:numCache>
                <c:formatCode>General</c:formatCode>
                <c:ptCount val="19"/>
                <c:pt idx="0">
                  <c:v>1.1718758753907468</c:v>
                </c:pt>
                <c:pt idx="1">
                  <c:v>1.1753940039091979</c:v>
                </c:pt>
                <c:pt idx="2">
                  <c:v>1.430172739012731</c:v>
                </c:pt>
                <c:pt idx="3">
                  <c:v>1.8374524569914585</c:v>
                </c:pt>
                <c:pt idx="4">
                  <c:v>2.4514090295212454</c:v>
                </c:pt>
                <c:pt idx="5">
                  <c:v>3.3523281090225856</c:v>
                </c:pt>
                <c:pt idx="6">
                  <c:v>4.6551306967421882</c:v>
                </c:pt>
                <c:pt idx="7">
                  <c:v>6.5210391126241305</c:v>
                </c:pt>
                <c:pt idx="8">
                  <c:v>9.1730399895215378</c:v>
                </c:pt>
                <c:pt idx="9">
                  <c:v>12.916063757509262</c:v>
                </c:pt>
                <c:pt idx="10">
                  <c:v>18.162993862180112</c:v>
                </c:pt>
                <c:pt idx="11">
                  <c:v>25.467838584219269</c:v>
                </c:pt>
                <c:pt idx="12">
                  <c:v>35.567650817850662</c:v>
                </c:pt>
                <c:pt idx="13">
                  <c:v>49.435066939535218</c:v>
                </c:pt>
                <c:pt idx="14">
                  <c:v>68.343657093744397</c:v>
                </c:pt>
                <c:pt idx="15">
                  <c:v>93.948638966636594</c:v>
                </c:pt>
                <c:pt idx="16">
                  <c:v>128.38590886733368</c:v>
                </c:pt>
                <c:pt idx="17">
                  <c:v>174.3927912517438</c:v>
                </c:pt>
                <c:pt idx="18">
                  <c:v>235.45440432742566</c:v>
                </c:pt>
              </c:numCache>
            </c:numRef>
          </c:val>
          <c:smooth val="0"/>
          <c:extLst>
            <c:ext xmlns:c16="http://schemas.microsoft.com/office/drawing/2014/chart" uri="{C3380CC4-5D6E-409C-BE32-E72D297353CC}">
              <c16:uniqueId val="{00000000-0B20-4C49-A1C1-4ACEB9747635}"/>
            </c:ext>
          </c:extLst>
        </c:ser>
        <c:dLbls>
          <c:showLegendKey val="0"/>
          <c:showVal val="0"/>
          <c:showCatName val="0"/>
          <c:showSerName val="0"/>
          <c:showPercent val="0"/>
          <c:showBubbleSize val="0"/>
        </c:dLbls>
        <c:marker val="1"/>
        <c:smooth val="0"/>
        <c:axId val="1670626112"/>
        <c:axId val="1670627824"/>
      </c:lineChart>
      <c:catAx>
        <c:axId val="167062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7824"/>
        <c:crosses val="autoZero"/>
        <c:auto val="1"/>
        <c:lblAlgn val="ctr"/>
        <c:lblOffset val="100"/>
        <c:noMultiLvlLbl val="0"/>
      </c:catAx>
      <c:valAx>
        <c:axId val="1670627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67062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Qrot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TS!$D$136</c:f>
              <c:strCache>
                <c:ptCount val="1"/>
                <c:pt idx="0">
                  <c:v>Qrot(1) and 𝜎=1</c:v>
                </c:pt>
              </c:strCache>
            </c:strRef>
          </c:tx>
          <c:spPr>
            <a:ln w="28575" cap="rnd">
              <a:solidFill>
                <a:schemeClr val="accent1"/>
              </a:solidFill>
              <a:round/>
            </a:ln>
            <a:effectLst/>
          </c:spPr>
          <c:marker>
            <c:symbol val="square"/>
            <c:size val="5"/>
            <c:spPr>
              <a:solidFill>
                <a:schemeClr val="accent1"/>
              </a:solidFill>
              <a:ln w="9525">
                <a:solidFill>
                  <a:schemeClr val="accent1"/>
                </a:solidFill>
              </a:ln>
              <a:effectLst/>
            </c:spPr>
          </c:marker>
          <c:cat>
            <c:numRef>
              <c:f>TS!$C$138:$C$155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TS!$D$138:$D$155</c:f>
              <c:numCache>
                <c:formatCode>0.00E+00</c:formatCode>
                <c:ptCount val="18"/>
                <c:pt idx="0">
                  <c:v>8350.3180951679133</c:v>
                </c:pt>
                <c:pt idx="1">
                  <c:v>12856.155733504644</c:v>
                </c:pt>
                <c:pt idx="2">
                  <c:v>17967.023843399882</c:v>
                </c:pt>
                <c:pt idx="3">
                  <c:v>23618.266200631922</c:v>
                </c:pt>
                <c:pt idx="4">
                  <c:v>29762.417026273972</c:v>
                </c:pt>
                <c:pt idx="5">
                  <c:v>36362.699596605366</c:v>
                </c:pt>
                <c:pt idx="6">
                  <c:v>43389.525600577617</c:v>
                </c:pt>
                <c:pt idx="7">
                  <c:v>50818.41758963318</c:v>
                </c:pt>
                <c:pt idx="8">
                  <c:v>58628.686619814631</c:v>
                </c:pt>
                <c:pt idx="9">
                  <c:v>66802.54476134367</c:v>
                </c:pt>
                <c:pt idx="10">
                  <c:v>75324.484141563415</c:v>
                </c:pt>
                <c:pt idx="11">
                  <c:v>84180.827615121379</c:v>
                </c:pt>
                <c:pt idx="12">
                  <c:v>93359.394472709784</c:v>
                </c:pt>
                <c:pt idx="13">
                  <c:v>102849.24586803628</c:v>
                </c:pt>
                <c:pt idx="14">
                  <c:v>112640.48706083803</c:v>
                </c:pt>
                <c:pt idx="15">
                  <c:v>122724.1111385433</c:v>
                </c:pt>
                <c:pt idx="16">
                  <c:v>133091.87365632254</c:v>
                </c:pt>
                <c:pt idx="17">
                  <c:v>143736.1907471978</c:v>
                </c:pt>
              </c:numCache>
            </c:numRef>
          </c:val>
          <c:smooth val="0"/>
          <c:extLst>
            <c:ext xmlns:c16="http://schemas.microsoft.com/office/drawing/2014/chart" uri="{C3380CC4-5D6E-409C-BE32-E72D297353CC}">
              <c16:uniqueId val="{00000000-E0D2-4246-9D2B-0815A814CD74}"/>
            </c:ext>
          </c:extLst>
        </c:ser>
        <c:ser>
          <c:idx val="1"/>
          <c:order val="1"/>
          <c:tx>
            <c:strRef>
              <c:f>TS!$E$136</c:f>
              <c:strCache>
                <c:ptCount val="1"/>
                <c:pt idx="0">
                  <c:v>Qrot(2) and 𝜎=1</c:v>
                </c:pt>
              </c:strCache>
            </c:strRef>
          </c:tx>
          <c:spPr>
            <a:ln w="28575" cap="rnd">
              <a:solidFill>
                <a:schemeClr val="accent2"/>
              </a:solidFill>
              <a:round/>
            </a:ln>
            <a:effectLst/>
          </c:spPr>
          <c:marker>
            <c:symbol val="x"/>
            <c:size val="5"/>
            <c:spPr>
              <a:noFill/>
              <a:ln w="9525">
                <a:solidFill>
                  <a:schemeClr val="accent2"/>
                </a:solidFill>
              </a:ln>
              <a:effectLst/>
            </c:spPr>
          </c:marker>
          <c:cat>
            <c:numRef>
              <c:f>TS!$C$138:$C$155</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TS!$E$138:$E$155</c:f>
              <c:numCache>
                <c:formatCode>0.00E+00</c:formatCode>
                <c:ptCount val="18"/>
                <c:pt idx="0">
                  <c:v>1237.9922938548289</c:v>
                </c:pt>
                <c:pt idx="1">
                  <c:v>1906.0138242980477</c:v>
                </c:pt>
                <c:pt idx="2">
                  <c:v>2663.735298240485</c:v>
                </c:pt>
                <c:pt idx="3">
                  <c:v>3501.5709841657513</c:v>
                </c:pt>
                <c:pt idx="4">
                  <c:v>4412.483752725816</c:v>
                </c:pt>
                <c:pt idx="5">
                  <c:v>5391.0212007858127</c:v>
                </c:pt>
                <c:pt idx="6">
                  <c:v>6432.7966570059098</c:v>
                </c:pt>
                <c:pt idx="7">
                  <c:v>7534.181170687265</c:v>
                </c:pt>
                <c:pt idx="8">
                  <c:v>8692.1074630871244</c:v>
                </c:pt>
                <c:pt idx="9">
                  <c:v>9903.9383508386345</c:v>
                </c:pt>
                <c:pt idx="10">
                  <c:v>11167.374684780951</c:v>
                </c:pt>
                <c:pt idx="11">
                  <c:v>12480.38873371157</c:v>
                </c:pt>
                <c:pt idx="12">
                  <c:v>13841.174623401472</c:v>
                </c:pt>
                <c:pt idx="13">
                  <c:v>15248.110594384389</c:v>
                </c:pt>
                <c:pt idx="14">
                  <c:v>16699.729683120167</c:v>
                </c:pt>
                <c:pt idx="15">
                  <c:v>18194.696552652149</c:v>
                </c:pt>
                <c:pt idx="16">
                  <c:v>19731.788907128372</c:v>
                </c:pt>
                <c:pt idx="17">
                  <c:v>21309.882385923851</c:v>
                </c:pt>
              </c:numCache>
            </c:numRef>
          </c:val>
          <c:smooth val="0"/>
          <c:extLst>
            <c:ext xmlns:c16="http://schemas.microsoft.com/office/drawing/2014/chart" uri="{C3380CC4-5D6E-409C-BE32-E72D297353CC}">
              <c16:uniqueId val="{00000001-E0D2-4246-9D2B-0815A814CD74}"/>
            </c:ext>
          </c:extLst>
        </c:ser>
        <c:dLbls>
          <c:showLegendKey val="0"/>
          <c:showVal val="0"/>
          <c:showCatName val="0"/>
          <c:showSerName val="0"/>
          <c:showPercent val="0"/>
          <c:showBubbleSize val="0"/>
        </c:dLbls>
        <c:marker val="1"/>
        <c:smooth val="0"/>
        <c:axId val="721149247"/>
        <c:axId val="696234255"/>
      </c:lineChart>
      <c:catAx>
        <c:axId val="7211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234255"/>
        <c:crosses val="autoZero"/>
        <c:auto val="1"/>
        <c:lblAlgn val="ctr"/>
        <c:lblOffset val="100"/>
        <c:noMultiLvlLbl val="0"/>
      </c:catAx>
      <c:valAx>
        <c:axId val="69623425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T"/>
            </a:p>
          </c:txPr>
        </c:title>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2114924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IT"/>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strRef>
              <c:f>TS!$D$174</c:f>
              <c:strCache>
                <c:ptCount val="1"/>
                <c:pt idx="0">
                  <c:v>Qel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TS!$C$176:$C$193</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TS!$D$176:$D$193</c:f>
              <c:numCache>
                <c:formatCode>0.00E+00</c:formatCode>
                <c:ptCount val="18"/>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numCache>
            </c:numRef>
          </c:val>
          <c:smooth val="0"/>
          <c:extLst>
            <c:ext xmlns:c16="http://schemas.microsoft.com/office/drawing/2014/chart" uri="{C3380CC4-5D6E-409C-BE32-E72D297353CC}">
              <c16:uniqueId val="{00000000-8D77-734A-B651-9153B7896229}"/>
            </c:ext>
          </c:extLst>
        </c:ser>
        <c:dLbls>
          <c:showLegendKey val="0"/>
          <c:showVal val="0"/>
          <c:showCatName val="0"/>
          <c:showSerName val="0"/>
          <c:showPercent val="0"/>
          <c:showBubbleSize val="0"/>
        </c:dLbls>
        <c:marker val="1"/>
        <c:smooth val="0"/>
        <c:axId val="1005151871"/>
        <c:axId val="751999423"/>
      </c:lineChart>
      <c:catAx>
        <c:axId val="1005151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999423"/>
        <c:crosses val="autoZero"/>
        <c:auto val="1"/>
        <c:lblAlgn val="ctr"/>
        <c:lblOffset val="100"/>
        <c:noMultiLvlLbl val="0"/>
      </c:catAx>
      <c:valAx>
        <c:axId val="7519994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100515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Cv</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TS!$C$215:$C$232</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TS!$H$215:$H$232</c:f>
              <c:numCache>
                <c:formatCode>0.00E+00</c:formatCode>
                <c:ptCount val="18"/>
                <c:pt idx="0">
                  <c:v>38.561158993524757</c:v>
                </c:pt>
                <c:pt idx="1">
                  <c:v>47.212428118340767</c:v>
                </c:pt>
                <c:pt idx="2">
                  <c:v>55.320078444081105</c:v>
                </c:pt>
                <c:pt idx="3">
                  <c:v>62.426631597625743</c:v>
                </c:pt>
                <c:pt idx="4">
                  <c:v>68.566625661654683</c:v>
                </c:pt>
                <c:pt idx="5">
                  <c:v>73.88970018801335</c:v>
                </c:pt>
                <c:pt idx="6">
                  <c:v>78.528144905022046</c:v>
                </c:pt>
                <c:pt idx="7">
                  <c:v>82.581372999016125</c:v>
                </c:pt>
                <c:pt idx="8">
                  <c:v>86.126630981670999</c:v>
                </c:pt>
                <c:pt idx="9">
                  <c:v>89.228405258402745</c:v>
                </c:pt>
                <c:pt idx="10">
                  <c:v>91.943133783308966</c:v>
                </c:pt>
                <c:pt idx="11">
                  <c:v>94.321024887984095</c:v>
                </c:pt>
                <c:pt idx="12">
                  <c:v>96.406679667584839</c:v>
                </c:pt>
                <c:pt idx="13">
                  <c:v>98.239395798864521</c:v>
                </c:pt>
                <c:pt idx="14">
                  <c:v>99.853482931416423</c:v>
                </c:pt>
                <c:pt idx="15">
                  <c:v>101.27866199654818</c:v>
                </c:pt>
                <c:pt idx="16">
                  <c:v>102.540527706766</c:v>
                </c:pt>
                <c:pt idx="17">
                  <c:v>103.66103378071445</c:v>
                </c:pt>
              </c:numCache>
            </c:numRef>
          </c:val>
          <c:smooth val="0"/>
          <c:extLst>
            <c:ext xmlns:c16="http://schemas.microsoft.com/office/drawing/2014/chart" uri="{C3380CC4-5D6E-409C-BE32-E72D297353CC}">
              <c16:uniqueId val="{00000000-187E-9649-8647-53ADDDBE8545}"/>
            </c:ext>
          </c:extLst>
        </c:ser>
        <c:dLbls>
          <c:showLegendKey val="0"/>
          <c:showVal val="0"/>
          <c:showCatName val="0"/>
          <c:showSerName val="0"/>
          <c:showPercent val="0"/>
          <c:showBubbleSize val="0"/>
        </c:dLbls>
        <c:marker val="1"/>
        <c:smooth val="0"/>
        <c:axId val="696926223"/>
        <c:axId val="695489599"/>
      </c:lineChart>
      <c:catAx>
        <c:axId val="6969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5489599"/>
        <c:crosses val="autoZero"/>
        <c:auto val="1"/>
        <c:lblAlgn val="ctr"/>
        <c:lblOffset val="100"/>
        <c:noMultiLvlLbl val="0"/>
      </c:catAx>
      <c:valAx>
        <c:axId val="69548959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69692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TS!$C$263:$C$280</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TS!$J$263:$J$280</c:f>
              <c:numCache>
                <c:formatCode>0.00E+00</c:formatCode>
                <c:ptCount val="18"/>
                <c:pt idx="0">
                  <c:v>227.07881780115696</c:v>
                </c:pt>
                <c:pt idx="1">
                  <c:v>241.7498729282554</c:v>
                </c:pt>
                <c:pt idx="2">
                  <c:v>255.02817724145277</c:v>
                </c:pt>
                <c:pt idx="3">
                  <c:v>267.27389387162151</c:v>
                </c:pt>
                <c:pt idx="4">
                  <c:v>278.65123559435159</c:v>
                </c:pt>
                <c:pt idx="5">
                  <c:v>289.27303690674711</c:v>
                </c:pt>
                <c:pt idx="6">
                  <c:v>299.22926929761763</c:v>
                </c:pt>
                <c:pt idx="7">
                  <c:v>308.59359303291745</c:v>
                </c:pt>
                <c:pt idx="8">
                  <c:v>317.42691590936511</c:v>
                </c:pt>
                <c:pt idx="9">
                  <c:v>325.78035009183429</c:v>
                </c:pt>
                <c:pt idx="10">
                  <c:v>333.69754528116778</c:v>
                </c:pt>
                <c:pt idx="11">
                  <c:v>341.21638626662468</c:v>
                </c:pt>
                <c:pt idx="12">
                  <c:v>348.37018114161503</c:v>
                </c:pt>
                <c:pt idx="13">
                  <c:v>355.18849243446971</c:v>
                </c:pt>
                <c:pt idx="14">
                  <c:v>361.69773381946942</c:v>
                </c:pt>
                <c:pt idx="15">
                  <c:v>367.9216164135014</c:v>
                </c:pt>
                <c:pt idx="16">
                  <c:v>373.88149773247676</c:v>
                </c:pt>
                <c:pt idx="17">
                  <c:v>379.59666553615648</c:v>
                </c:pt>
              </c:numCache>
            </c:numRef>
          </c:val>
          <c:smooth val="0"/>
          <c:extLst>
            <c:ext xmlns:c16="http://schemas.microsoft.com/office/drawing/2014/chart" uri="{C3380CC4-5D6E-409C-BE32-E72D297353CC}">
              <c16:uniqueId val="{00000000-CE93-F349-8EF5-3357B4E58E67}"/>
            </c:ext>
          </c:extLst>
        </c:ser>
        <c:dLbls>
          <c:showLegendKey val="0"/>
          <c:showVal val="0"/>
          <c:showCatName val="0"/>
          <c:showSerName val="0"/>
          <c:showPercent val="0"/>
          <c:showBubbleSize val="0"/>
        </c:dLbls>
        <c:marker val="1"/>
        <c:smooth val="0"/>
        <c:axId val="751585951"/>
        <c:axId val="751706911"/>
      </c:lineChart>
      <c:catAx>
        <c:axId val="75158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706911"/>
        <c:crosses val="autoZero"/>
        <c:auto val="1"/>
        <c:lblAlgn val="ctr"/>
        <c:lblOffset val="100"/>
        <c:noMultiLvlLbl val="0"/>
      </c:catAx>
      <c:valAx>
        <c:axId val="75170691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75158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T"/>
        </a:p>
      </c:txPr>
    </c:title>
    <c:autoTitleDeleted val="0"/>
    <c:plotArea>
      <c:layout/>
      <c:lineChart>
        <c:grouping val="standard"/>
        <c:varyColors val="0"/>
        <c:ser>
          <c:idx val="0"/>
          <c:order val="0"/>
          <c:tx>
            <c:v>Qtot</c:v>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TS!$AC$102:$AC$120</c:f>
              <c:numCache>
                <c:formatCode>General</c:formatCode>
                <c:ptCount val="19"/>
                <c:pt idx="0">
                  <c:v>298.14999999999998</c:v>
                </c:pt>
                <c:pt idx="1">
                  <c:v>300</c:v>
                </c:pt>
                <c:pt idx="2">
                  <c:v>400</c:v>
                </c:pt>
                <c:pt idx="3">
                  <c:v>500</c:v>
                </c:pt>
                <c:pt idx="4">
                  <c:v>600</c:v>
                </c:pt>
                <c:pt idx="5">
                  <c:v>700</c:v>
                </c:pt>
                <c:pt idx="6">
                  <c:v>800</c:v>
                </c:pt>
                <c:pt idx="7">
                  <c:v>900</c:v>
                </c:pt>
                <c:pt idx="8">
                  <c:v>1000</c:v>
                </c:pt>
                <c:pt idx="9">
                  <c:v>1100</c:v>
                </c:pt>
                <c:pt idx="10">
                  <c:v>1200</c:v>
                </c:pt>
                <c:pt idx="11">
                  <c:v>1300</c:v>
                </c:pt>
                <c:pt idx="12">
                  <c:v>1400</c:v>
                </c:pt>
                <c:pt idx="13">
                  <c:v>1500</c:v>
                </c:pt>
                <c:pt idx="14">
                  <c:v>1600</c:v>
                </c:pt>
                <c:pt idx="15">
                  <c:v>1700</c:v>
                </c:pt>
                <c:pt idx="16">
                  <c:v>1800</c:v>
                </c:pt>
                <c:pt idx="17">
                  <c:v>1900</c:v>
                </c:pt>
                <c:pt idx="18">
                  <c:v>2000</c:v>
                </c:pt>
              </c:numCache>
            </c:numRef>
          </c:cat>
          <c:val>
            <c:numRef>
              <c:f>TS!$AH$102:$AH$120</c:f>
              <c:numCache>
                <c:formatCode>General</c:formatCode>
                <c:ptCount val="19"/>
                <c:pt idx="0">
                  <c:v>1.3060232532123731E-10</c:v>
                </c:pt>
                <c:pt idx="1">
                  <c:v>1.7782804638471929E-10</c:v>
                </c:pt>
                <c:pt idx="2">
                  <c:v>5.6295767430400731E-5</c:v>
                </c:pt>
                <c:pt idx="3">
                  <c:v>0.15712768803239771</c:v>
                </c:pt>
                <c:pt idx="4">
                  <c:v>40.214584081669287</c:v>
                </c:pt>
                <c:pt idx="5">
                  <c:v>2585.4401063020323</c:v>
                </c:pt>
                <c:pt idx="6">
                  <c:v>69248.820849483353</c:v>
                </c:pt>
                <c:pt idx="7">
                  <c:v>1024849.2434226637</c:v>
                </c:pt>
                <c:pt idx="8">
                  <c:v>9937759.8476394899</c:v>
                </c:pt>
                <c:pt idx="9">
                  <c:v>70422945.806727871</c:v>
                </c:pt>
                <c:pt idx="10">
                  <c:v>392455784.0891369</c:v>
                </c:pt>
                <c:pt idx="11">
                  <c:v>1810341010.3961608</c:v>
                </c:pt>
                <c:pt idx="12">
                  <c:v>7172361000.9879398</c:v>
                </c:pt>
                <c:pt idx="13">
                  <c:v>25083121375.621994</c:v>
                </c:pt>
                <c:pt idx="14">
                  <c:v>79056091213.141846</c:v>
                </c:pt>
                <c:pt idx="15">
                  <c:v>228194067524.0369</c:v>
                </c:pt>
                <c:pt idx="16">
                  <c:v>610929175709.48596</c:v>
                </c:pt>
                <c:pt idx="17">
                  <c:v>1532500577637.1252</c:v>
                </c:pt>
                <c:pt idx="18">
                  <c:v>3631711332757.2109</c:v>
                </c:pt>
              </c:numCache>
            </c:numRef>
          </c:val>
          <c:smooth val="0"/>
          <c:extLst>
            <c:ext xmlns:c16="http://schemas.microsoft.com/office/drawing/2014/chart" uri="{C3380CC4-5D6E-409C-BE32-E72D297353CC}">
              <c16:uniqueId val="{00000000-BCB4-EA42-9057-8C8B6D56A183}"/>
            </c:ext>
          </c:extLst>
        </c:ser>
        <c:dLbls>
          <c:showLegendKey val="0"/>
          <c:showVal val="0"/>
          <c:showCatName val="0"/>
          <c:showSerName val="0"/>
          <c:showPercent val="0"/>
          <c:showBubbleSize val="0"/>
        </c:dLbls>
        <c:marker val="1"/>
        <c:smooth val="0"/>
        <c:axId val="574877343"/>
        <c:axId val="255072544"/>
      </c:lineChart>
      <c:catAx>
        <c:axId val="57487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255072544"/>
        <c:crosses val="autoZero"/>
        <c:auto val="1"/>
        <c:lblAlgn val="ctr"/>
        <c:lblOffset val="100"/>
        <c:noMultiLvlLbl val="0"/>
      </c:catAx>
      <c:valAx>
        <c:axId val="25507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7487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FORWARD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'CH4+H---CH3+H2'!$R$20:$R$37</c:f>
              <c:numCache>
                <c:formatCode>0.00E+00</c:formatCode>
                <c:ptCount val="18"/>
                <c:pt idx="0">
                  <c:v>8.2762049350981744E-18</c:v>
                </c:pt>
                <c:pt idx="1">
                  <c:v>4.5516673095584921E-16</c:v>
                </c:pt>
                <c:pt idx="2">
                  <c:v>5.3939666923883799E-15</c:v>
                </c:pt>
                <c:pt idx="3">
                  <c:v>2.9643625298823771E-14</c:v>
                </c:pt>
                <c:pt idx="4">
                  <c:v>1.0461605138338001E-13</c:v>
                </c:pt>
                <c:pt idx="5">
                  <c:v>2.7883382472724368E-13</c:v>
                </c:pt>
                <c:pt idx="6">
                  <c:v>6.1428118516635301E-13</c:v>
                </c:pt>
                <c:pt idx="7">
                  <c:v>1.1811852267403369E-12</c:v>
                </c:pt>
                <c:pt idx="8">
                  <c:v>2.0530068017941375E-12</c:v>
                </c:pt>
                <c:pt idx="9">
                  <c:v>3.302428440173678E-12</c:v>
                </c:pt>
                <c:pt idx="10">
                  <c:v>4.9985102071442604E-12</c:v>
                </c:pt>
                <c:pt idx="11">
                  <c:v>7.2048931876417462E-12</c:v>
                </c:pt>
                <c:pt idx="12">
                  <c:v>9.9788307021793812E-12</c:v>
                </c:pt>
                <c:pt idx="13">
                  <c:v>1.3370822083005055E-11</c:v>
                </c:pt>
                <c:pt idx="14">
                  <c:v>1.7424656812604161E-11</c:v>
                </c:pt>
                <c:pt idx="15">
                  <c:v>2.2177719662366042E-11</c:v>
                </c:pt>
                <c:pt idx="16">
                  <c:v>2.7661447576845787E-11</c:v>
                </c:pt>
                <c:pt idx="17">
                  <c:v>3.3901862006911866E-11</c:v>
                </c:pt>
              </c:numCache>
            </c:numRef>
          </c:val>
          <c:smooth val="0"/>
          <c:extLst>
            <c:ext xmlns:c16="http://schemas.microsoft.com/office/drawing/2014/chart" uri="{C3380CC4-5D6E-409C-BE32-E72D297353CC}">
              <c16:uniqueId val="{00000000-DF1A-CE44-B8A6-A300C6346A67}"/>
            </c:ext>
          </c:extLst>
        </c:ser>
        <c:ser>
          <c:idx val="1"/>
          <c:order val="1"/>
          <c:tx>
            <c:v>kc exp</c:v>
          </c:tx>
          <c:spPr>
            <a:ln w="38100" cap="flat" cmpd="dbl" algn="ctr">
              <a:solidFill>
                <a:schemeClr val="accent2"/>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'CH4+H---CH3+H2'!$S$20:$S$37</c:f>
              <c:numCache>
                <c:formatCode>0.00E+00</c:formatCode>
                <c:ptCount val="18"/>
                <c:pt idx="0">
                  <c:v>4.1599999999999999E-19</c:v>
                </c:pt>
                <c:pt idx="1">
                  <c:v>3.8900000000000001E-17</c:v>
                </c:pt>
                <c:pt idx="2">
                  <c:v>6.8800000000000004E-16</c:v>
                </c:pt>
                <c:pt idx="3">
                  <c:v>5.17E-15</c:v>
                </c:pt>
                <c:pt idx="4">
                  <c:v>2.3500000000000001E-14</c:v>
                </c:pt>
                <c:pt idx="5">
                  <c:v>7.7E-14</c:v>
                </c:pt>
                <c:pt idx="6">
                  <c:v>2.02E-13</c:v>
                </c:pt>
                <c:pt idx="7">
                  <c:v>4.5299999999999999E-13</c:v>
                </c:pt>
                <c:pt idx="8">
                  <c:v>9E-13</c:v>
                </c:pt>
                <c:pt idx="9">
                  <c:v>1.6299999999999999E-12</c:v>
                </c:pt>
                <c:pt idx="10">
                  <c:v>2.7500000000000002E-12</c:v>
                </c:pt>
                <c:pt idx="11">
                  <c:v>4.3800000000000003E-12</c:v>
                </c:pt>
                <c:pt idx="12">
                  <c:v>6.6500000000000001E-12</c:v>
                </c:pt>
                <c:pt idx="13">
                  <c:v>9.6999999999999995E-12</c:v>
                </c:pt>
                <c:pt idx="14">
                  <c:v>1.37E-11</c:v>
                </c:pt>
                <c:pt idx="15">
                  <c:v>1.8799999999999999E-11</c:v>
                </c:pt>
                <c:pt idx="16">
                  <c:v>2.5099999999999999E-11</c:v>
                </c:pt>
                <c:pt idx="17">
                  <c:v>3.2899999999999998E-11</c:v>
                </c:pt>
              </c:numCache>
            </c:numRef>
          </c:val>
          <c:smooth val="0"/>
          <c:extLst>
            <c:ext xmlns:c16="http://schemas.microsoft.com/office/drawing/2014/chart" uri="{C3380CC4-5D6E-409C-BE32-E72D297353CC}">
              <c16:uniqueId val="{00000001-DF1A-CE44-B8A6-A300C6346A67}"/>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BACKWARD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val>
            <c:numRef>
              <c:f>'CH4+H---CH3+H2'!$R$57:$R$74</c:f>
              <c:numCache>
                <c:formatCode>0.00E+00</c:formatCode>
                <c:ptCount val="18"/>
                <c:pt idx="0">
                  <c:v>5.9705352193757942E-18</c:v>
                </c:pt>
                <c:pt idx="1">
                  <c:v>2.3066344993529162E-16</c:v>
                </c:pt>
                <c:pt idx="2">
                  <c:v>2.0730194298473341E-15</c:v>
                </c:pt>
                <c:pt idx="3">
                  <c:v>9.1688536968897266E-15</c:v>
                </c:pt>
                <c:pt idx="4">
                  <c:v>2.7288803044377349E-14</c:v>
                </c:pt>
                <c:pt idx="5">
                  <c:v>6.364242395164809E-14</c:v>
                </c:pt>
                <c:pt idx="6">
                  <c:v>1.2630652786528415E-13</c:v>
                </c:pt>
                <c:pt idx="7">
                  <c:v>2.2389481329541776E-13</c:v>
                </c:pt>
                <c:pt idx="8">
                  <c:v>3.6537519524856522E-13</c:v>
                </c:pt>
                <c:pt idx="9">
                  <c:v>5.5995446509158079E-13</c:v>
                </c:pt>
                <c:pt idx="10">
                  <c:v>8.1699163903809365E-13</c:v>
                </c:pt>
                <c:pt idx="11">
                  <c:v>1.1459259412770891E-12</c:v>
                </c:pt>
                <c:pt idx="12">
                  <c:v>1.5562154743493217E-12</c:v>
                </c:pt>
                <c:pt idx="13">
                  <c:v>2.0572857129851983E-12</c:v>
                </c:pt>
                <c:pt idx="14">
                  <c:v>2.6584874185061661E-12</c:v>
                </c:pt>
                <c:pt idx="15">
                  <c:v>3.3690633217118109E-12</c:v>
                </c:pt>
                <c:pt idx="16">
                  <c:v>4.1981226372155321E-12</c:v>
                </c:pt>
                <c:pt idx="17">
                  <c:v>5.1546223212933534E-12</c:v>
                </c:pt>
              </c:numCache>
            </c:numRef>
          </c:val>
          <c:smooth val="0"/>
          <c:extLst>
            <c:ext xmlns:c16="http://schemas.microsoft.com/office/drawing/2014/chart" uri="{C3380CC4-5D6E-409C-BE32-E72D297353CC}">
              <c16:uniqueId val="{00000000-FC71-4E4F-B675-91AD86E2034E}"/>
            </c:ext>
          </c:extLst>
        </c:ser>
        <c:ser>
          <c:idx val="1"/>
          <c:order val="1"/>
          <c:tx>
            <c:v>kc exp</c:v>
          </c:tx>
          <c:spPr>
            <a:ln w="38100" cap="flat" cmpd="dbl" algn="ctr">
              <a:solidFill>
                <a:schemeClr val="accent2"/>
              </a:solidFill>
              <a:miter lim="800000"/>
            </a:ln>
            <a:effectLst/>
          </c:spPr>
          <c:marker>
            <c:symbol val="none"/>
          </c:marker>
          <c:val>
            <c:numRef>
              <c:f>'CH4+H---CH3+H2'!$S$57:$S$74</c:f>
              <c:numCache>
                <c:formatCode>0.00E+00</c:formatCode>
                <c:ptCount val="18"/>
                <c:pt idx="0">
                  <c:v>1.1800000000000001E-20</c:v>
                </c:pt>
                <c:pt idx="1">
                  <c:v>1.1100000000000001E-18</c:v>
                </c:pt>
                <c:pt idx="2">
                  <c:v>1.99E-17</c:v>
                </c:pt>
                <c:pt idx="3">
                  <c:v>1.5099999999999999E-16</c:v>
                </c:pt>
                <c:pt idx="4">
                  <c:v>6.9499999999999995E-16</c:v>
                </c:pt>
                <c:pt idx="5">
                  <c:v>2.2999999999999999E-15</c:v>
                </c:pt>
                <c:pt idx="6">
                  <c:v>6.1100000000000003E-15</c:v>
                </c:pt>
                <c:pt idx="7">
                  <c:v>1.38E-14</c:v>
                </c:pt>
                <c:pt idx="8">
                  <c:v>2.7700000000000001E-14</c:v>
                </c:pt>
                <c:pt idx="9">
                  <c:v>5.06E-14</c:v>
                </c:pt>
                <c:pt idx="10">
                  <c:v>8.6099999999999994E-14</c:v>
                </c:pt>
                <c:pt idx="11">
                  <c:v>1.3799999999999999E-13</c:v>
                </c:pt>
                <c:pt idx="12">
                  <c:v>2.1100000000000001E-13</c:v>
                </c:pt>
                <c:pt idx="13">
                  <c:v>3.09E-13</c:v>
                </c:pt>
                <c:pt idx="14">
                  <c:v>4.39E-13</c:v>
                </c:pt>
                <c:pt idx="15">
                  <c:v>6.0600000000000004E-13</c:v>
                </c:pt>
                <c:pt idx="16">
                  <c:v>8.1499999999999996E-13</c:v>
                </c:pt>
                <c:pt idx="17">
                  <c:v>1.0700000000000001E-12</c:v>
                </c:pt>
              </c:numCache>
            </c:numRef>
          </c:val>
          <c:smooth val="0"/>
          <c:extLst>
            <c:ext xmlns:c16="http://schemas.microsoft.com/office/drawing/2014/chart" uri="{C3380CC4-5D6E-409C-BE32-E72D297353CC}">
              <c16:uniqueId val="{00000002-FC71-4E4F-B675-91AD86E2034E}"/>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FORWARD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'CH4+H---CH3+H2'!$R$20:$R$37</c:f>
              <c:numCache>
                <c:formatCode>0.00E+00</c:formatCode>
                <c:ptCount val="18"/>
                <c:pt idx="0">
                  <c:v>8.2762049350981744E-18</c:v>
                </c:pt>
                <c:pt idx="1">
                  <c:v>4.5516673095584921E-16</c:v>
                </c:pt>
                <c:pt idx="2">
                  <c:v>5.3939666923883799E-15</c:v>
                </c:pt>
                <c:pt idx="3">
                  <c:v>2.9643625298823771E-14</c:v>
                </c:pt>
                <c:pt idx="4">
                  <c:v>1.0461605138338001E-13</c:v>
                </c:pt>
                <c:pt idx="5">
                  <c:v>2.7883382472724368E-13</c:v>
                </c:pt>
                <c:pt idx="6">
                  <c:v>6.1428118516635301E-13</c:v>
                </c:pt>
                <c:pt idx="7">
                  <c:v>1.1811852267403369E-12</c:v>
                </c:pt>
                <c:pt idx="8">
                  <c:v>2.0530068017941375E-12</c:v>
                </c:pt>
                <c:pt idx="9">
                  <c:v>3.302428440173678E-12</c:v>
                </c:pt>
                <c:pt idx="10">
                  <c:v>4.9985102071442604E-12</c:v>
                </c:pt>
                <c:pt idx="11">
                  <c:v>7.2048931876417462E-12</c:v>
                </c:pt>
                <c:pt idx="12">
                  <c:v>9.9788307021793812E-12</c:v>
                </c:pt>
                <c:pt idx="13">
                  <c:v>1.3370822083005055E-11</c:v>
                </c:pt>
                <c:pt idx="14">
                  <c:v>1.7424656812604161E-11</c:v>
                </c:pt>
                <c:pt idx="15">
                  <c:v>2.2177719662366042E-11</c:v>
                </c:pt>
                <c:pt idx="16">
                  <c:v>2.7661447576845787E-11</c:v>
                </c:pt>
                <c:pt idx="17">
                  <c:v>3.3901862006911866E-11</c:v>
                </c:pt>
              </c:numCache>
            </c:numRef>
          </c:val>
          <c:smooth val="0"/>
          <c:extLst>
            <c:ext xmlns:c16="http://schemas.microsoft.com/office/drawing/2014/chart" uri="{C3380CC4-5D6E-409C-BE32-E72D297353CC}">
              <c16:uniqueId val="{00000000-AB84-C44A-8BC5-0DDA6F9DF11C}"/>
            </c:ext>
          </c:extLst>
        </c:ser>
        <c:ser>
          <c:idx val="1"/>
          <c:order val="1"/>
          <c:tx>
            <c:v>kc corrected</c:v>
          </c:tx>
          <c:spPr>
            <a:ln w="38100" cap="flat" cmpd="dbl" algn="ctr">
              <a:solidFill>
                <a:schemeClr val="accent2"/>
              </a:solidFill>
              <a:miter lim="800000"/>
            </a:ln>
            <a:effectLst/>
          </c:spPr>
          <c:marker>
            <c:symbol val="none"/>
          </c:marker>
          <c:cat>
            <c:numRef>
              <c:f>'CH4+H---CH3+H2'!$A$20:$A$37</c:f>
              <c:numCache>
                <c:formatCode>General</c:formatCode>
                <c:ptCount val="18"/>
                <c:pt idx="0">
                  <c:v>300</c:v>
                </c:pt>
                <c:pt idx="1">
                  <c:v>400</c:v>
                </c:pt>
                <c:pt idx="2">
                  <c:v>500</c:v>
                </c:pt>
                <c:pt idx="3">
                  <c:v>600</c:v>
                </c:pt>
                <c:pt idx="4">
                  <c:v>700</c:v>
                </c:pt>
                <c:pt idx="5">
                  <c:v>800</c:v>
                </c:pt>
                <c:pt idx="6">
                  <c:v>900</c:v>
                </c:pt>
                <c:pt idx="7">
                  <c:v>1000</c:v>
                </c:pt>
                <c:pt idx="8">
                  <c:v>1100</c:v>
                </c:pt>
                <c:pt idx="9">
                  <c:v>1200</c:v>
                </c:pt>
                <c:pt idx="10">
                  <c:v>1300</c:v>
                </c:pt>
                <c:pt idx="11">
                  <c:v>1400</c:v>
                </c:pt>
                <c:pt idx="12">
                  <c:v>1500</c:v>
                </c:pt>
                <c:pt idx="13">
                  <c:v>1600</c:v>
                </c:pt>
                <c:pt idx="14">
                  <c:v>1700</c:v>
                </c:pt>
                <c:pt idx="15">
                  <c:v>1800</c:v>
                </c:pt>
                <c:pt idx="16">
                  <c:v>1900</c:v>
                </c:pt>
                <c:pt idx="17">
                  <c:v>2000</c:v>
                </c:pt>
              </c:numCache>
            </c:numRef>
          </c:cat>
          <c:val>
            <c:numRef>
              <c:f>'CH4+H---CH3+H2'!$H$104:$H$121</c:f>
              <c:numCache>
                <c:formatCode>General</c:formatCode>
                <c:ptCount val="18"/>
                <c:pt idx="0" formatCode="0.00E+00">
                  <c:v>1.9245522911132718E-17</c:v>
                </c:pt>
                <c:pt idx="1">
                  <c:v>8.0119688430045999E-16</c:v>
                </c:pt>
                <c:pt idx="2">
                  <c:v>8.0690792261227983E-15</c:v>
                </c:pt>
                <c:pt idx="3">
                  <c:v>4.004658617851827E-14</c:v>
                </c:pt>
                <c:pt idx="4">
                  <c:v>1.3209084586446393E-13</c:v>
                </c:pt>
                <c:pt idx="5">
                  <c:v>3.3592341135985305E-13</c:v>
                </c:pt>
                <c:pt idx="6">
                  <c:v>7.1543752792491672E-13</c:v>
                </c:pt>
                <c:pt idx="7">
                  <c:v>1.3415147936640576E-12</c:v>
                </c:pt>
                <c:pt idx="8">
                  <c:v>2.2872975436852143E-12</c:v>
                </c:pt>
                <c:pt idx="9">
                  <c:v>3.6244980392992881E-12</c:v>
                </c:pt>
                <c:pt idx="10">
                  <c:v>5.4208283753385535E-12</c:v>
                </c:pt>
                <c:pt idx="11">
                  <c:v>7.738408376987712E-12</c:v>
                </c:pt>
                <c:pt idx="12">
                  <c:v>1.0632936508710081E-11</c:v>
                </c:pt>
                <c:pt idx="13">
                  <c:v>1.4153412086906719E-11</c:v>
                </c:pt>
                <c:pt idx="14">
                  <c:v>1.8342230575445583E-11</c:v>
                </c:pt>
                <c:pt idx="15">
                  <c:v>2.3235514287043257E-11</c:v>
                </c:pt>
                <c:pt idx="16">
                  <c:v>2.8863578088066668E-11</c:v>
                </c:pt>
                <c:pt idx="17">
                  <c:v>3.5251460139247265E-11</c:v>
                </c:pt>
              </c:numCache>
            </c:numRef>
          </c:val>
          <c:smooth val="0"/>
          <c:extLst>
            <c:ext xmlns:c16="http://schemas.microsoft.com/office/drawing/2014/chart" uri="{C3380CC4-5D6E-409C-BE32-E72D297353CC}">
              <c16:uniqueId val="{00000001-AB84-C44A-8BC5-0DDA6F9DF11C}"/>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BACKWARD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T"/>
        </a:p>
      </c:txPr>
    </c:title>
    <c:autoTitleDeleted val="0"/>
    <c:plotArea>
      <c:layout/>
      <c:lineChart>
        <c:grouping val="standard"/>
        <c:varyColors val="0"/>
        <c:ser>
          <c:idx val="0"/>
          <c:order val="0"/>
          <c:tx>
            <c:v>kc theory</c:v>
          </c:tx>
          <c:spPr>
            <a:ln w="38100" cap="flat" cmpd="dbl" algn="ctr">
              <a:solidFill>
                <a:schemeClr val="accent1"/>
              </a:solidFill>
              <a:miter lim="800000"/>
            </a:ln>
            <a:effectLst/>
          </c:spPr>
          <c:marker>
            <c:symbol val="none"/>
          </c:marker>
          <c:val>
            <c:numRef>
              <c:f>'CH4+H---CH3+H2'!$R$57:$R$74</c:f>
              <c:numCache>
                <c:formatCode>0.00E+00</c:formatCode>
                <c:ptCount val="18"/>
                <c:pt idx="0">
                  <c:v>5.9705352193757942E-18</c:v>
                </c:pt>
                <c:pt idx="1">
                  <c:v>2.3066344993529162E-16</c:v>
                </c:pt>
                <c:pt idx="2">
                  <c:v>2.0730194298473341E-15</c:v>
                </c:pt>
                <c:pt idx="3">
                  <c:v>9.1688536968897266E-15</c:v>
                </c:pt>
                <c:pt idx="4">
                  <c:v>2.7288803044377349E-14</c:v>
                </c:pt>
                <c:pt idx="5">
                  <c:v>6.364242395164809E-14</c:v>
                </c:pt>
                <c:pt idx="6">
                  <c:v>1.2630652786528415E-13</c:v>
                </c:pt>
                <c:pt idx="7">
                  <c:v>2.2389481329541776E-13</c:v>
                </c:pt>
                <c:pt idx="8">
                  <c:v>3.6537519524856522E-13</c:v>
                </c:pt>
                <c:pt idx="9">
                  <c:v>5.5995446509158079E-13</c:v>
                </c:pt>
                <c:pt idx="10">
                  <c:v>8.1699163903809365E-13</c:v>
                </c:pt>
                <c:pt idx="11">
                  <c:v>1.1459259412770891E-12</c:v>
                </c:pt>
                <c:pt idx="12">
                  <c:v>1.5562154743493217E-12</c:v>
                </c:pt>
                <c:pt idx="13">
                  <c:v>2.0572857129851983E-12</c:v>
                </c:pt>
                <c:pt idx="14">
                  <c:v>2.6584874185061661E-12</c:v>
                </c:pt>
                <c:pt idx="15">
                  <c:v>3.3690633217118109E-12</c:v>
                </c:pt>
                <c:pt idx="16">
                  <c:v>4.1981226372155321E-12</c:v>
                </c:pt>
                <c:pt idx="17">
                  <c:v>5.1546223212933534E-12</c:v>
                </c:pt>
              </c:numCache>
            </c:numRef>
          </c:val>
          <c:smooth val="0"/>
          <c:extLst>
            <c:ext xmlns:c16="http://schemas.microsoft.com/office/drawing/2014/chart" uri="{C3380CC4-5D6E-409C-BE32-E72D297353CC}">
              <c16:uniqueId val="{00000000-1189-334C-9036-20F1005B77D6}"/>
            </c:ext>
          </c:extLst>
        </c:ser>
        <c:ser>
          <c:idx val="1"/>
          <c:order val="1"/>
          <c:tx>
            <c:v>kc corrected wigner</c:v>
          </c:tx>
          <c:spPr>
            <a:ln w="38100" cap="flat" cmpd="dbl" algn="ctr">
              <a:solidFill>
                <a:schemeClr val="accent2"/>
              </a:solidFill>
              <a:miter lim="800000"/>
            </a:ln>
            <a:effectLst/>
          </c:spPr>
          <c:marker>
            <c:symbol val="none"/>
          </c:marker>
          <c:val>
            <c:numRef>
              <c:f>'CH4+H---CH3+H2'!$J$104:$J$121</c:f>
              <c:numCache>
                <c:formatCode>General</c:formatCode>
                <c:ptCount val="18"/>
                <c:pt idx="0" formatCode="0.00E+00">
                  <c:v>1.3780844715741408E-17</c:v>
                </c:pt>
                <c:pt idx="1">
                  <c:v>4.0303379356850482E-16</c:v>
                </c:pt>
                <c:pt idx="2">
                  <c:v>3.0796529438906633E-15</c:v>
                </c:pt>
                <c:pt idx="3">
                  <c:v>1.2307380993032921E-14</c:v>
                </c:pt>
                <c:pt idx="4">
                  <c:v>3.4253642551557522E-14</c:v>
                </c:pt>
                <c:pt idx="5">
                  <c:v>7.6260861075995626E-14</c:v>
                </c:pt>
                <c:pt idx="6">
                  <c:v>1.4637919986538233E-13</c:v>
                </c:pt>
                <c:pt idx="7">
                  <c:v>2.5312597262529997E-13</c:v>
                </c:pt>
                <c:pt idx="8">
                  <c:v>4.0535197091558773E-13</c:v>
                </c:pt>
                <c:pt idx="9">
                  <c:v>6.1214757544152329E-13</c:v>
                </c:pt>
                <c:pt idx="10">
                  <c:v>8.8276375700721106E-13</c:v>
                </c:pt>
                <c:pt idx="11">
                  <c:v>1.226541821575841E-12</c:v>
                </c:pt>
                <c:pt idx="12">
                  <c:v>1.6528516764486056E-12</c:v>
                </c:pt>
                <c:pt idx="13">
                  <c:v>2.1710393066201139E-12</c:v>
                </c:pt>
                <c:pt idx="14">
                  <c:v>2.7903836309612093E-12</c:v>
                </c:pt>
                <c:pt idx="15">
                  <c:v>3.5200622569141648E-12</c:v>
                </c:pt>
                <c:pt idx="16">
                  <c:v>4.3691252194742906E-12</c:v>
                </c:pt>
                <c:pt idx="17">
                  <c:v>5.3464755942873476E-12</c:v>
                </c:pt>
              </c:numCache>
            </c:numRef>
          </c:val>
          <c:smooth val="0"/>
          <c:extLst>
            <c:ext xmlns:c16="http://schemas.microsoft.com/office/drawing/2014/chart" uri="{C3380CC4-5D6E-409C-BE32-E72D297353CC}">
              <c16:uniqueId val="{00000001-1189-334C-9036-20F1005B77D6}"/>
            </c:ext>
          </c:extLst>
        </c:ser>
        <c:dLbls>
          <c:showLegendKey val="0"/>
          <c:showVal val="0"/>
          <c:showCatName val="0"/>
          <c:showSerName val="0"/>
          <c:showPercent val="0"/>
          <c:showBubbleSize val="0"/>
        </c:dLbls>
        <c:dropLines>
          <c:spPr>
            <a:ln w="9525">
              <a:solidFill>
                <a:schemeClr val="tx1">
                  <a:lumMod val="35000"/>
                  <a:lumOff val="65000"/>
                </a:schemeClr>
              </a:solidFill>
            </a:ln>
            <a:effectLst/>
          </c:spPr>
        </c:dropLines>
        <c:smooth val="0"/>
        <c:axId val="420801807"/>
        <c:axId val="5224527"/>
      </c:lineChart>
      <c:catAx>
        <c:axId val="420801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5224527"/>
        <c:crosses val="autoZero"/>
        <c:auto val="1"/>
        <c:lblAlgn val="ctr"/>
        <c:lblOffset val="100"/>
        <c:noMultiLvlLbl val="0"/>
      </c:catAx>
      <c:valAx>
        <c:axId val="5224527"/>
        <c:scaling>
          <c:orientation val="minMax"/>
        </c:scaling>
        <c:delete val="0"/>
        <c:axPos val="l"/>
        <c:majorGridlines>
          <c:spPr>
            <a:ln w="9525" cap="flat" cmpd="sng" algn="ctr">
              <a:solidFill>
                <a:schemeClr val="tx1">
                  <a:lumMod val="15000"/>
                  <a:lumOff val="85000"/>
                  <a:alpha val="32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 k</a:t>
                </a:r>
                <a:r>
                  <a:rPr lang="en-US" baseline="0"/>
                  <a:t>  values [m</a:t>
                </a:r>
                <a:r>
                  <a:rPr lang="en-US" baseline="30000"/>
                  <a:t>3</a:t>
                </a:r>
                <a:r>
                  <a:rPr lang="en-US" baseline="0"/>
                  <a:t>molecule</a:t>
                </a:r>
                <a:r>
                  <a:rPr lang="en-US" baseline="30000"/>
                  <a:t>-1</a:t>
                </a:r>
                <a:r>
                  <a:rPr lang="en-US" baseline="0"/>
                  <a:t> s</a:t>
                </a:r>
                <a:r>
                  <a:rPr lang="en-US" baseline="30000"/>
                  <a:t>-1</a:t>
                </a:r>
                <a:r>
                  <a:rPr lang="en-US" baseline="0"/>
                  <a: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IT"/>
            </a:p>
          </c:txPr>
        </c:title>
        <c:numFmt formatCode="0.00E+00" sourceLinked="1"/>
        <c:majorTickMark val="out"/>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crossAx val="42080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4.xml"/><Relationship Id="rId7" Type="http://schemas.openxmlformats.org/officeDocument/2006/relationships/chart" Target="../charts/chart28.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39.xml"/><Relationship Id="rId5" Type="http://schemas.openxmlformats.org/officeDocument/2006/relationships/image" Target="../media/image5.png"/><Relationship Id="rId10" Type="http://schemas.openxmlformats.org/officeDocument/2006/relationships/chart" Target="../charts/chart38.xml"/><Relationship Id="rId4" Type="http://schemas.openxmlformats.org/officeDocument/2006/relationships/image" Target="../media/image4.gif"/><Relationship Id="rId9"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E9A50C69-DF69-6141-87FE-376DF4F52947}"/>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35E78DF9-E11E-AA4D-A79B-349F360E8E42}"/>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C9219DFB-96F0-1942-87F4-7CCE98A4DC93}"/>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mlns="">
        <xdr:sp macro="" textlink="">
          <xdr:nvSpPr>
            <xdr:cNvPr id="4" name="TextBox 3">
              <a:extLst>
                <a:ext uri="{FF2B5EF4-FFF2-40B4-BE49-F238E27FC236}">
                  <a16:creationId xmlns:a16="http://schemas.microsoft.com/office/drawing/2014/main" id="{C9219DFB-96F0-1942-87F4-7CCE98A4DC93}"/>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E236A64-9D68-9A42-B4EF-C8165781609F}"/>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mlns="">
        <xdr:sp macro="" textlink="">
          <xdr:nvSpPr>
            <xdr:cNvPr id="5" name="TextBox 4">
              <a:extLst>
                <a:ext uri="{FF2B5EF4-FFF2-40B4-BE49-F238E27FC236}">
                  <a16:creationId xmlns:a16="http://schemas.microsoft.com/office/drawing/2014/main" id="{1E236A64-9D68-9A42-B4EF-C8165781609F}"/>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EC47906F-42DE-694C-A3D6-2E03CD14328C}"/>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2E59ABB8-1A89-DF42-B96F-49EBEBA8EF60}"/>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mlns="">
        <xdr:sp macro="" textlink="">
          <xdr:nvSpPr>
            <xdr:cNvPr id="7" name="TextBox 6">
              <a:extLst>
                <a:ext uri="{FF2B5EF4-FFF2-40B4-BE49-F238E27FC236}">
                  <a16:creationId xmlns:a16="http://schemas.microsoft.com/office/drawing/2014/main" id="{2E59ABB8-1A89-DF42-B96F-49EBEBA8EF60}"/>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C8821D7E-7555-3142-B9E8-B71A6AE7B8D8}"/>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mlns="">
        <xdr:sp macro="" textlink="">
          <xdr:nvSpPr>
            <xdr:cNvPr id="8" name="TextBox 7">
              <a:extLst>
                <a:ext uri="{FF2B5EF4-FFF2-40B4-BE49-F238E27FC236}">
                  <a16:creationId xmlns:a16="http://schemas.microsoft.com/office/drawing/2014/main" id="{C8821D7E-7555-3142-B9E8-B71A6AE7B8D8}"/>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F8FEB087-440A-FF48-9DEB-5A8560AE840C}"/>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xmlns:a14="http://schemas.microsoft.com/office/drawing/2010/main">
      <mc:Choice Requires="a14">
        <xdr:sp macro="" textlink="">
          <xdr:nvSpPr>
            <xdr:cNvPr id="10" name="Rectangle 9">
              <a:extLst>
                <a:ext uri="{FF2B5EF4-FFF2-40B4-BE49-F238E27FC236}">
                  <a16:creationId xmlns:a16="http://schemas.microsoft.com/office/drawing/2014/main" id="{85F52088-7BEE-9C40-86DB-24CEC541C9D4}"/>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mlns="">
        <xdr:sp macro="" textlink="">
          <xdr:nvSpPr>
            <xdr:cNvPr id="10" name="Rectangle 9">
              <a:extLst>
                <a:ext uri="{FF2B5EF4-FFF2-40B4-BE49-F238E27FC236}">
                  <a16:creationId xmlns:a16="http://schemas.microsoft.com/office/drawing/2014/main" id="{85F52088-7BEE-9C40-86DB-24CEC541C9D4}"/>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6801E3DB-07B4-EC43-88DE-DDEE37F44238}"/>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9926841B-9703-FB41-B4A4-E318DF49AA6C}"/>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mlns="">
        <xdr:sp macro="" textlink="">
          <xdr:nvSpPr>
            <xdr:cNvPr id="12" name="TextBox 11">
              <a:extLst>
                <a:ext uri="{FF2B5EF4-FFF2-40B4-BE49-F238E27FC236}">
                  <a16:creationId xmlns:a16="http://schemas.microsoft.com/office/drawing/2014/main" id="{9926841B-9703-FB41-B4A4-E318DF49AA6C}"/>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3488180F-8C7B-044A-AD75-B08426271E4C}"/>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E2FBDF83-A279-9849-9842-6CBE72FF0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15" name="Straight Arrow Connector 14">
          <a:extLst>
            <a:ext uri="{FF2B5EF4-FFF2-40B4-BE49-F238E27FC236}">
              <a16:creationId xmlns:a16="http://schemas.microsoft.com/office/drawing/2014/main" id="{234643CA-F023-5243-8144-5DB715BBBF4A}"/>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4DEA9308-8B9E-FD48-BFDF-D9AA27D4784D}"/>
                </a:ext>
              </a:extLst>
            </xdr:cNvPr>
            <xdr:cNvSpPr txBox="1"/>
          </xdr:nvSpPr>
          <xdr:spPr>
            <a:xfrm>
              <a:off x="8925761" y="23819296"/>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mlns="">
        <xdr:sp macro="" textlink="">
          <xdr:nvSpPr>
            <xdr:cNvPr id="16" name="TextBox 15">
              <a:extLst>
                <a:ext uri="{FF2B5EF4-FFF2-40B4-BE49-F238E27FC236}">
                  <a16:creationId xmlns:a16="http://schemas.microsoft.com/office/drawing/2014/main" id="{4DEA9308-8B9E-FD48-BFDF-D9AA27D4784D}"/>
                </a:ext>
              </a:extLst>
            </xdr:cNvPr>
            <xdr:cNvSpPr txBox="1"/>
          </xdr:nvSpPr>
          <xdr:spPr>
            <a:xfrm>
              <a:off x="8925761" y="23819296"/>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17" name="Rectangle 16">
          <a:extLst>
            <a:ext uri="{FF2B5EF4-FFF2-40B4-BE49-F238E27FC236}">
              <a16:creationId xmlns:a16="http://schemas.microsoft.com/office/drawing/2014/main" id="{137123A2-F037-F84B-8442-00C6F00ED50F}"/>
            </a:ext>
          </a:extLst>
        </xdr:cNvPr>
        <xdr:cNvSpPr/>
      </xdr:nvSpPr>
      <xdr:spPr>
        <a:xfrm>
          <a:off x="114310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twoCellAnchor>
    <xdr:from>
      <xdr:col>15</xdr:col>
      <xdr:colOff>558800</xdr:colOff>
      <xdr:row>107</xdr:row>
      <xdr:rowOff>228599</xdr:rowOff>
    </xdr:from>
    <xdr:to>
      <xdr:col>19</xdr:col>
      <xdr:colOff>372533</xdr:colOff>
      <xdr:row>124</xdr:row>
      <xdr:rowOff>50800</xdr:rowOff>
    </xdr:to>
    <xdr:graphicFrame macro="">
      <xdr:nvGraphicFramePr>
        <xdr:cNvPr id="18" name="Chart 17">
          <a:extLst>
            <a:ext uri="{FF2B5EF4-FFF2-40B4-BE49-F238E27FC236}">
              <a16:creationId xmlns:a16="http://schemas.microsoft.com/office/drawing/2014/main" id="{0E2ABE64-6B0C-B44A-A7F5-4F5EBF693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A43DB75A-F586-8F4A-A69A-C885A3068247}"/>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A80AAB70-B370-D040-B50B-6EAEEB865EDA}"/>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20" name="TextBox 19">
              <a:extLst>
                <a:ext uri="{FF2B5EF4-FFF2-40B4-BE49-F238E27FC236}">
                  <a16:creationId xmlns:a16="http://schemas.microsoft.com/office/drawing/2014/main" id="{A80AAB70-B370-D040-B50B-6EAEEB865EDA}"/>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D3A53417-8461-4244-A4DE-8E69157D2ACA}"/>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xmlns:a14="http://schemas.microsoft.com/office/drawing/2010/main">
      <mc:Choice Requires="a14">
        <xdr:sp macro="" textlink="">
          <xdr:nvSpPr>
            <xdr:cNvPr id="22" name="Rectangle 21">
              <a:extLst>
                <a:ext uri="{FF2B5EF4-FFF2-40B4-BE49-F238E27FC236}">
                  <a16:creationId xmlns:a16="http://schemas.microsoft.com/office/drawing/2014/main" id="{BC0D3745-0264-CA48-A46A-DAEE53431B76}"/>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 Regarding this last parameter, Gassian choose </a:t>
              </a:r>
              <a:r>
                <a:rPr lang="en-US" sz="1100" b="1" baseline="0"/>
                <a:t>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a:t>=3 </a:t>
              </a:r>
              <a:r>
                <a:rPr lang="en-US" sz="1100" b="0"/>
                <a:t>but, in theory,</a:t>
              </a:r>
              <a:r>
                <a:rPr lang="en-US" sz="1100" b="0" baseline="0"/>
                <a:t> for CH</a:t>
              </a:r>
              <a:r>
                <a:rPr lang="en-US" sz="1100" b="0" baseline="-25000"/>
                <a:t>4</a:t>
              </a:r>
              <a:r>
                <a:rPr lang="en-US" sz="1100" b="0" baseline="0"/>
                <a:t>, we would have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a:t>=12</a:t>
              </a:r>
              <a:r>
                <a:rPr lang="en-US" sz="1100" b="0"/>
                <a:t>.</a:t>
              </a:r>
            </a:p>
            <a:p>
              <a:pPr algn="l"/>
              <a:r>
                <a:rPr lang="en-US" sz="1100" b="0"/>
                <a:t>Furthermore, Gaussian</a:t>
              </a:r>
              <a:r>
                <a:rPr lang="en-US" sz="1100" b="0" baseline="0"/>
                <a:t> internally uses a different formulation for the rotational partition function:</a:t>
              </a:r>
              <a:endParaRPr lang="en-US" sz="1100" b="0"/>
            </a:p>
          </xdr:txBody>
        </xdr:sp>
      </mc:Choice>
      <mc:Fallback xmlns="">
        <xdr:sp macro="" textlink="">
          <xdr:nvSpPr>
            <xdr:cNvPr id="22" name="Rectangle 21">
              <a:extLst>
                <a:ext uri="{FF2B5EF4-FFF2-40B4-BE49-F238E27FC236}">
                  <a16:creationId xmlns:a16="http://schemas.microsoft.com/office/drawing/2014/main" id="{BC0D3745-0264-CA48-A46A-DAEE53431B76}"/>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 Regarding this last parameter, Gassian choose </a:t>
              </a:r>
              <a:r>
                <a:rPr lang="en-US" sz="1100" b="1" baseline="0"/>
                <a:t> </a:t>
              </a:r>
              <a:r>
                <a:rPr lang="it-IT" sz="1100" b="1" i="0">
                  <a:latin typeface="Cambria Math" panose="02040503050406030204" pitchFamily="18" charset="0"/>
                  <a:ea typeface="Cambria Math" panose="02040503050406030204" pitchFamily="18" charset="0"/>
                </a:rPr>
                <a:t>𝝈</a:t>
              </a:r>
              <a:r>
                <a:rPr lang="en-US" sz="1100" b="1"/>
                <a:t>=3 </a:t>
              </a:r>
              <a:r>
                <a:rPr lang="en-US" sz="1100" b="0"/>
                <a:t>but, in theory,</a:t>
              </a:r>
              <a:r>
                <a:rPr lang="en-US" sz="1100" b="0" baseline="0"/>
                <a:t> for CH</a:t>
              </a:r>
              <a:r>
                <a:rPr lang="en-US" sz="1100" b="0" baseline="-25000"/>
                <a:t>4</a:t>
              </a:r>
              <a:r>
                <a:rPr lang="en-US" sz="1100" b="0" baseline="0"/>
                <a:t>, we would have </a:t>
              </a:r>
              <a:r>
                <a:rPr lang="it-IT" sz="1100" b="1" i="0">
                  <a:latin typeface="Cambria Math" panose="02040503050406030204" pitchFamily="18" charset="0"/>
                  <a:ea typeface="Cambria Math" panose="02040503050406030204" pitchFamily="18" charset="0"/>
                </a:rPr>
                <a:t>𝝈</a:t>
              </a:r>
              <a:r>
                <a:rPr lang="en-US" sz="1100" b="1"/>
                <a:t>=12</a:t>
              </a:r>
              <a:r>
                <a:rPr lang="en-US" sz="1100" b="0"/>
                <a:t>.</a:t>
              </a:r>
            </a:p>
            <a:p>
              <a:pPr algn="l"/>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04E47FE8-8794-1D4F-9FCF-34E5E46258AC}"/>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mlns="">
        <xdr:sp macro="" textlink="">
          <xdr:nvSpPr>
            <xdr:cNvPr id="23" name="TextBox 22">
              <a:extLst>
                <a:ext uri="{FF2B5EF4-FFF2-40B4-BE49-F238E27FC236}">
                  <a16:creationId xmlns:a16="http://schemas.microsoft.com/office/drawing/2014/main" id="{04E47FE8-8794-1D4F-9FCF-34E5E46258AC}"/>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58DFB88D-92A7-B348-B9DA-F61CB9B2C8FB}"/>
            </a:ext>
          </a:extLst>
        </xdr:cNvPr>
        <xdr:cNvSpPr/>
      </xdr:nvSpPr>
      <xdr:spPr>
        <a:xfrm>
          <a:off x="9334499" y="33210500"/>
          <a:ext cx="31314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46D6F904-439C-364B-A278-F81B90286DE2}"/>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mlns="">
        <xdr:sp macro="" textlink="">
          <xdr:nvSpPr>
            <xdr:cNvPr id="25" name="TextBox 24">
              <a:extLst>
                <a:ext uri="{FF2B5EF4-FFF2-40B4-BE49-F238E27FC236}">
                  <a16:creationId xmlns:a16="http://schemas.microsoft.com/office/drawing/2014/main" id="{46D6F904-439C-364B-A278-F81B90286DE2}"/>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8C728CC7-5B60-8741-B6CD-42953665E583}"/>
            </a:ext>
          </a:extLst>
        </xdr:cNvPr>
        <xdr:cNvCxnSpPr>
          <a:endCxn id="25" idx="1"/>
        </xdr:cNvCxnSpPr>
      </xdr:nvCxnSpPr>
      <xdr:spPr>
        <a:xfrm rot="16200000" flipH="1">
          <a:off x="12871846" y="338460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DAA646DC-FE64-E042-9537-D9D7D4F3E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A0F014D7-7140-8745-98E3-DF0E67579635}"/>
            </a:ext>
          </a:extLst>
        </xdr:cNvPr>
        <xdr:cNvSpPr txBox="1"/>
      </xdr:nvSpPr>
      <xdr:spPr>
        <a:xfrm>
          <a:off x="117314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90A094EF-D09E-234F-8614-A86D642AF94A}"/>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FFC3F80C-D38C-634C-88E4-8BAC5A3B13D3}"/>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mlns="">
        <xdr:sp macro="" textlink="">
          <xdr:nvSpPr>
            <xdr:cNvPr id="30" name="TextBox 29">
              <a:extLst>
                <a:ext uri="{FF2B5EF4-FFF2-40B4-BE49-F238E27FC236}">
                  <a16:creationId xmlns:a16="http://schemas.microsoft.com/office/drawing/2014/main" id="{FFC3F80C-D38C-634C-88E4-8BAC5A3B13D3}"/>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A2CF612C-4193-2F47-A44B-D31267AEBE83}"/>
            </a:ext>
          </a:extLst>
        </xdr:cNvPr>
        <xdr:cNvSpPr/>
      </xdr:nvSpPr>
      <xdr:spPr>
        <a:xfrm>
          <a:off x="128463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4025EADD-10FA-8349-BE55-CCD48AC60390}"/>
            </a:ext>
          </a:extLst>
        </xdr:cNvPr>
        <xdr:cNvCxnSpPr/>
      </xdr:nvCxnSpPr>
      <xdr:spPr>
        <a:xfrm flipV="1">
          <a:off x="116971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6288EE43-A553-394A-862F-80BA693E9003}"/>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mlns="">
        <xdr:sp macro="" textlink="">
          <xdr:nvSpPr>
            <xdr:cNvPr id="33" name="TextBox 32">
              <a:extLst>
                <a:ext uri="{FF2B5EF4-FFF2-40B4-BE49-F238E27FC236}">
                  <a16:creationId xmlns:a16="http://schemas.microsoft.com/office/drawing/2014/main" id="{6288EE43-A553-394A-862F-80BA693E9003}"/>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F82C2A98-F5E5-6C4F-B192-5B43CC508F61}"/>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E59066C5-0EDC-9C4C-A55C-DC610A0ACCD5}"/>
            </a:ext>
          </a:extLst>
        </xdr:cNvPr>
        <xdr:cNvCxnSpPr>
          <a:endCxn id="33" idx="1"/>
        </xdr:cNvCxnSpPr>
      </xdr:nvCxnSpPr>
      <xdr:spPr>
        <a:xfrm rot="16200000" flipH="1">
          <a:off x="132814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09193069-A4A9-6A4F-9870-E2504EBB3D5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mlns="">
        <xdr:sp macro="" textlink="">
          <xdr:nvSpPr>
            <xdr:cNvPr id="36" name="TextBox 35">
              <a:extLst>
                <a:ext uri="{FF2B5EF4-FFF2-40B4-BE49-F238E27FC236}">
                  <a16:creationId xmlns:a16="http://schemas.microsoft.com/office/drawing/2014/main" id="{09193069-A4A9-6A4F-9870-E2504EBB3D5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308773F3-76A0-D24E-A029-49E1AE32CA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E1BD9A8F-174D-3D4C-BFFC-FF87BF20D106}"/>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47AD4307-1666-1A4C-9159-67AED93E03CB}"/>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39" name="TextBox 38">
              <a:extLst>
                <a:ext uri="{FF2B5EF4-FFF2-40B4-BE49-F238E27FC236}">
                  <a16:creationId xmlns:a16="http://schemas.microsoft.com/office/drawing/2014/main" id="{47AD4307-1666-1A4C-9159-67AED93E03CB}"/>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1AC180A0-D87B-5B4B-A306-C51482650FE5}"/>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mlns="">
        <xdr:sp macro="" textlink="">
          <xdr:nvSpPr>
            <xdr:cNvPr id="40" name="TextBox 39">
              <a:extLst>
                <a:ext uri="{FF2B5EF4-FFF2-40B4-BE49-F238E27FC236}">
                  <a16:creationId xmlns:a16="http://schemas.microsoft.com/office/drawing/2014/main" id="{1AC180A0-D87B-5B4B-A306-C51482650FE5}"/>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8CDC18AF-C2A5-AD43-A54D-8AA76A92E56A}"/>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41" name="TextBox 40">
              <a:extLst>
                <a:ext uri="{FF2B5EF4-FFF2-40B4-BE49-F238E27FC236}">
                  <a16:creationId xmlns:a16="http://schemas.microsoft.com/office/drawing/2014/main" id="{8CDC18AF-C2A5-AD43-A54D-8AA76A92E56A}"/>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FF4F95DA-AE15-AE48-B699-FABE6B3AE5C9}"/>
            </a:ext>
          </a:extLst>
        </xdr:cNvPr>
        <xdr:cNvSpPr txBox="1"/>
      </xdr:nvSpPr>
      <xdr:spPr>
        <a:xfrm>
          <a:off x="134135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F0A7E9A1-7F52-C44A-866E-9FEDF039D0EF}"/>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0E60B892-7D7F-1145-8927-FE6DC0474CE7}"/>
            </a:ext>
          </a:extLst>
        </xdr:cNvPr>
        <xdr:cNvCxnSpPr/>
      </xdr:nvCxnSpPr>
      <xdr:spPr>
        <a:xfrm flipH="1">
          <a:off x="103378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6BBAE5E0-612F-B140-BF0F-F700BA4BEF5B}"/>
            </a:ext>
          </a:extLst>
        </xdr:cNvPr>
        <xdr:cNvCxnSpPr/>
      </xdr:nvCxnSpPr>
      <xdr:spPr>
        <a:xfrm>
          <a:off x="114129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6759CDAF-AD9E-EF4C-AE5B-A572FF5676BC}"/>
            </a:ext>
          </a:extLst>
        </xdr:cNvPr>
        <xdr:cNvCxnSpPr/>
      </xdr:nvCxnSpPr>
      <xdr:spPr>
        <a:xfrm>
          <a:off x="126037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331DD7CC-DA61-8E4B-BE63-411703DBD33F}"/>
            </a:ext>
          </a:extLst>
        </xdr:cNvPr>
        <xdr:cNvSpPr/>
      </xdr:nvSpPr>
      <xdr:spPr>
        <a:xfrm>
          <a:off x="139674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AEBA4B87-E51E-F647-8CFD-FD3512F0E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4EC180AC-27F3-A948-A2A1-9229CB4C9F70}"/>
            </a:ext>
          </a:extLst>
        </xdr:cNvPr>
        <xdr:cNvCxnSpPr/>
      </xdr:nvCxnSpPr>
      <xdr:spPr>
        <a:xfrm>
          <a:off x="6002428" y="60557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4AE41E1A-FD6B-794E-9C5A-35B8CB8E0A01}"/>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mlns="">
        <xdr:sp macro="" textlink="">
          <xdr:nvSpPr>
            <xdr:cNvPr id="50" name="TextBox 49">
              <a:extLst>
                <a:ext uri="{FF2B5EF4-FFF2-40B4-BE49-F238E27FC236}">
                  <a16:creationId xmlns:a16="http://schemas.microsoft.com/office/drawing/2014/main" id="{4AE41E1A-FD6B-794E-9C5A-35B8CB8E0A01}"/>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B58518C6-2B86-3A45-AEEE-25436E0B9C96}"/>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mlns="">
        <xdr:sp macro="" textlink="">
          <xdr:nvSpPr>
            <xdr:cNvPr id="51" name="TextBox 50">
              <a:extLst>
                <a:ext uri="{FF2B5EF4-FFF2-40B4-BE49-F238E27FC236}">
                  <a16:creationId xmlns:a16="http://schemas.microsoft.com/office/drawing/2014/main" id="{B58518C6-2B86-3A45-AEEE-25436E0B9C96}"/>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567B572D-1845-AD40-BFA0-4F0B8AB35C08}"/>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mlns="">
        <xdr:sp macro="" textlink="">
          <xdr:nvSpPr>
            <xdr:cNvPr id="52" name="TextBox 51">
              <a:extLst>
                <a:ext uri="{FF2B5EF4-FFF2-40B4-BE49-F238E27FC236}">
                  <a16:creationId xmlns:a16="http://schemas.microsoft.com/office/drawing/2014/main" id="{567B572D-1845-AD40-BFA0-4F0B8AB35C08}"/>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7D946AAD-F808-5240-8406-C41D29A1A1D0}"/>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mlns="">
        <xdr:sp macro="" textlink="">
          <xdr:nvSpPr>
            <xdr:cNvPr id="53" name="TextBox 52">
              <a:extLst>
                <a:ext uri="{FF2B5EF4-FFF2-40B4-BE49-F238E27FC236}">
                  <a16:creationId xmlns:a16="http://schemas.microsoft.com/office/drawing/2014/main" id="{7D946AAD-F808-5240-8406-C41D29A1A1D0}"/>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FB453008-886B-D549-B8A2-1A0C4DBA67D8}"/>
            </a:ext>
          </a:extLst>
        </xdr:cNvPr>
        <xdr:cNvCxnSpPr/>
      </xdr:nvCxnSpPr>
      <xdr:spPr>
        <a:xfrm flipH="1">
          <a:off x="9039469" y="608432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68884A1D-F444-4A47-86C0-37E2EB523452}"/>
            </a:ext>
          </a:extLst>
        </xdr:cNvPr>
        <xdr:cNvCxnSpPr/>
      </xdr:nvCxnSpPr>
      <xdr:spPr>
        <a:xfrm flipH="1">
          <a:off x="10265207" y="608246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A858D3AA-B049-4043-8C87-9D35AB84CEB8}"/>
            </a:ext>
          </a:extLst>
        </xdr:cNvPr>
        <xdr:cNvCxnSpPr/>
      </xdr:nvCxnSpPr>
      <xdr:spPr>
        <a:xfrm>
          <a:off x="11412903" y="608310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C48B3237-F958-F94C-A88C-D66276AEBE3E}"/>
            </a:ext>
          </a:extLst>
        </xdr:cNvPr>
        <xdr:cNvCxnSpPr/>
      </xdr:nvCxnSpPr>
      <xdr:spPr>
        <a:xfrm>
          <a:off x="12603774" y="608249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xmlns:a14="http://schemas.microsoft.com/office/drawing/2010/main">
      <mc:Choice Requires="a14">
        <xdr:sp macro="" textlink="">
          <xdr:nvSpPr>
            <xdr:cNvPr id="58" name="CasellaDiTesto 25">
              <a:extLst>
                <a:ext uri="{FF2B5EF4-FFF2-40B4-BE49-F238E27FC236}">
                  <a16:creationId xmlns:a16="http://schemas.microsoft.com/office/drawing/2014/main" id="{2282FACC-7068-B149-A8A9-EC88F4624A12}"/>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mlns="">
        <xdr:sp macro="" textlink="">
          <xdr:nvSpPr>
            <xdr:cNvPr id="58" name="CasellaDiTesto 25">
              <a:extLst>
                <a:ext uri="{FF2B5EF4-FFF2-40B4-BE49-F238E27FC236}">
                  <a16:creationId xmlns:a16="http://schemas.microsoft.com/office/drawing/2014/main" id="{2282FACC-7068-B149-A8A9-EC88F4624A12}"/>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ADFC5191-8846-7943-9FB2-061576AA8500}"/>
            </a:ext>
          </a:extLst>
        </xdr:cNvPr>
        <xdr:cNvCxnSpPr>
          <a:endCxn id="50" idx="0"/>
        </xdr:cNvCxnSpPr>
      </xdr:nvCxnSpPr>
      <xdr:spPr>
        <a:xfrm>
          <a:off x="8301567" y="609769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77838895-3948-BF4C-8E82-0E34E0CE3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EF8B156C-4321-EB41-89A5-C473038C1B7E}"/>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mlns="">
        <xdr:sp macro="" textlink="">
          <xdr:nvSpPr>
            <xdr:cNvPr id="61" name="TextBox 60">
              <a:extLst>
                <a:ext uri="{FF2B5EF4-FFF2-40B4-BE49-F238E27FC236}">
                  <a16:creationId xmlns:a16="http://schemas.microsoft.com/office/drawing/2014/main" id="{EF8B156C-4321-EB41-89A5-C473038C1B7E}"/>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21</xdr:col>
      <xdr:colOff>1577878</xdr:colOff>
      <xdr:row>55</xdr:row>
      <xdr:rowOff>0</xdr:rowOff>
    </xdr:from>
    <xdr:to>
      <xdr:col>22</xdr:col>
      <xdr:colOff>1039091</xdr:colOff>
      <xdr:row>195</xdr:row>
      <xdr:rowOff>153939</xdr:rowOff>
    </xdr:to>
    <xdr:sp macro="" textlink="">
      <xdr:nvSpPr>
        <xdr:cNvPr id="62" name="Right Brace 61">
          <a:extLst>
            <a:ext uri="{FF2B5EF4-FFF2-40B4-BE49-F238E27FC236}">
              <a16:creationId xmlns:a16="http://schemas.microsoft.com/office/drawing/2014/main" id="{B29BD539-6483-1D4D-9E2A-60D596E9627A}"/>
            </a:ext>
          </a:extLst>
        </xdr:cNvPr>
        <xdr:cNvSpPr/>
      </xdr:nvSpPr>
      <xdr:spPr>
        <a:xfrm>
          <a:off x="25847578" y="14897100"/>
          <a:ext cx="820113" cy="348884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28</xdr:col>
      <xdr:colOff>359975</xdr:colOff>
      <xdr:row>92</xdr:row>
      <xdr:rowOff>168476</xdr:rowOff>
    </xdr:from>
    <xdr:to>
      <xdr:col>30</xdr:col>
      <xdr:colOff>520551</xdr:colOff>
      <xdr:row>92</xdr:row>
      <xdr:rowOff>183073</xdr:rowOff>
    </xdr:to>
    <xdr:cxnSp macro="">
      <xdr:nvCxnSpPr>
        <xdr:cNvPr id="63" name="Straight Arrow Connector 62">
          <a:extLst>
            <a:ext uri="{FF2B5EF4-FFF2-40B4-BE49-F238E27FC236}">
              <a16:creationId xmlns:a16="http://schemas.microsoft.com/office/drawing/2014/main" id="{EA1618D5-C757-1544-9B47-D54E4E947560}"/>
            </a:ext>
          </a:extLst>
        </xdr:cNvPr>
        <xdr:cNvCxnSpPr/>
      </xdr:nvCxnSpPr>
      <xdr:spPr>
        <a:xfrm>
          <a:off x="32922775" y="24069876"/>
          <a:ext cx="28021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30</xdr:col>
      <xdr:colOff>708890</xdr:colOff>
      <xdr:row>91</xdr:row>
      <xdr:rowOff>229753</xdr:rowOff>
    </xdr:from>
    <xdr:ext cx="3999878" cy="315856"/>
    <mc:AlternateContent xmlns:mc="http://schemas.openxmlformats.org/markup-compatibility/2006" xmlns:a14="http://schemas.microsoft.com/office/drawing/2010/main">
      <mc:Choice Requires="a14">
        <xdr:sp macro="" textlink="">
          <xdr:nvSpPr>
            <xdr:cNvPr id="64" name="TextBox 63">
              <a:extLst>
                <a:ext uri="{FF2B5EF4-FFF2-40B4-BE49-F238E27FC236}">
                  <a16:creationId xmlns:a16="http://schemas.microsoft.com/office/drawing/2014/main" id="{40436D80-B2AF-6543-9247-45DD2AB78B1E}"/>
                </a:ext>
              </a:extLst>
            </xdr:cNvPr>
            <xdr:cNvSpPr txBox="1"/>
          </xdr:nvSpPr>
          <xdr:spPr>
            <a:xfrm>
              <a:off x="359132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mlns="">
        <xdr:sp macro="" textlink="">
          <xdr:nvSpPr>
            <xdr:cNvPr id="64" name="TextBox 63">
              <a:extLst>
                <a:ext uri="{FF2B5EF4-FFF2-40B4-BE49-F238E27FC236}">
                  <a16:creationId xmlns:a16="http://schemas.microsoft.com/office/drawing/2014/main" id="{40436D80-B2AF-6543-9247-45DD2AB78B1E}"/>
                </a:ext>
              </a:extLst>
            </xdr:cNvPr>
            <xdr:cNvSpPr txBox="1"/>
          </xdr:nvSpPr>
          <xdr:spPr>
            <a:xfrm>
              <a:off x="359132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25</xdr:col>
      <xdr:colOff>856511</xdr:colOff>
      <xdr:row>96</xdr:row>
      <xdr:rowOff>14766</xdr:rowOff>
    </xdr:from>
    <xdr:to>
      <xdr:col>30</xdr:col>
      <xdr:colOff>782674</xdr:colOff>
      <xdr:row>99</xdr:row>
      <xdr:rowOff>132906</xdr:rowOff>
    </xdr:to>
    <xdr:sp macro="" textlink="">
      <xdr:nvSpPr>
        <xdr:cNvPr id="65" name="TextBox 64">
          <a:extLst>
            <a:ext uri="{FF2B5EF4-FFF2-40B4-BE49-F238E27FC236}">
              <a16:creationId xmlns:a16="http://schemas.microsoft.com/office/drawing/2014/main" id="{662C11AA-4B44-AB48-93C0-B59DEBA1C178}"/>
            </a:ext>
          </a:extLst>
        </xdr:cNvPr>
        <xdr:cNvSpPr txBox="1"/>
      </xdr:nvSpPr>
      <xdr:spPr>
        <a:xfrm>
          <a:off x="29177511" y="25008366"/>
          <a:ext cx="68095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32</xdr:col>
      <xdr:colOff>831850</xdr:colOff>
      <xdr:row>110</xdr:row>
      <xdr:rowOff>133349</xdr:rowOff>
    </xdr:from>
    <xdr:to>
      <xdr:col>38</xdr:col>
      <xdr:colOff>756596</xdr:colOff>
      <xdr:row>125</xdr:row>
      <xdr:rowOff>189148</xdr:rowOff>
    </xdr:to>
    <xdr:graphicFrame macro="">
      <xdr:nvGraphicFramePr>
        <xdr:cNvPr id="66" name="Chart 65">
          <a:extLst>
            <a:ext uri="{FF2B5EF4-FFF2-40B4-BE49-F238E27FC236}">
              <a16:creationId xmlns:a16="http://schemas.microsoft.com/office/drawing/2014/main" id="{456F9A3F-12A9-3F41-B384-C030B49D9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16</xdr:col>
      <xdr:colOff>372629</xdr:colOff>
      <xdr:row>92</xdr:row>
      <xdr:rowOff>235526</xdr:rowOff>
    </xdr:from>
    <xdr:ext cx="1488997" cy="778931"/>
    <mc:AlternateContent xmlns:mc="http://schemas.openxmlformats.org/markup-compatibility/2006" xmlns:a14="http://schemas.microsoft.com/office/drawing/2010/main">
      <mc:Choice Requires="a14">
        <xdr:sp macro="" textlink="">
          <xdr:nvSpPr>
            <xdr:cNvPr id="68" name="TextBox 67">
              <a:extLst>
                <a:ext uri="{FF2B5EF4-FFF2-40B4-BE49-F238E27FC236}">
                  <a16:creationId xmlns:a16="http://schemas.microsoft.com/office/drawing/2014/main" id="{EB5CBE11-2433-F5A1-BA99-6F0D3DF756DD}"/>
                </a:ext>
              </a:extLst>
            </xdr:cNvPr>
            <xdr:cNvSpPr txBox="1"/>
          </xdr:nvSpPr>
          <xdr:spPr>
            <a:xfrm>
              <a:off x="20129788" y="24336662"/>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mlns="">
        <xdr:sp macro="" textlink="">
          <xdr:nvSpPr>
            <xdr:cNvPr id="68" name="TextBox 67">
              <a:extLst>
                <a:ext uri="{FF2B5EF4-FFF2-40B4-BE49-F238E27FC236}">
                  <a16:creationId xmlns:a16="http://schemas.microsoft.com/office/drawing/2014/main" id="{EB5CBE11-2433-F5A1-BA99-6F0D3DF756DD}"/>
                </a:ext>
              </a:extLst>
            </xdr:cNvPr>
            <xdr:cNvSpPr txBox="1"/>
          </xdr:nvSpPr>
          <xdr:spPr>
            <a:xfrm>
              <a:off x="20129788" y="24336662"/>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3A28E49D-E221-1A4D-A66D-DE2AE8586BEA}"/>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CCBC072A-C2EC-9245-9393-347A154E9200}"/>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241CA35F-A0D6-BF44-9058-DD4969665624}"/>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mlns="">
        <xdr:sp macro="" textlink="">
          <xdr:nvSpPr>
            <xdr:cNvPr id="4" name="TextBox 3">
              <a:extLst>
                <a:ext uri="{FF2B5EF4-FFF2-40B4-BE49-F238E27FC236}">
                  <a16:creationId xmlns:a16="http://schemas.microsoft.com/office/drawing/2014/main" id="{241CA35F-A0D6-BF44-9058-DD4969665624}"/>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F2928F77-8E18-C343-9984-B845DC56BD4C}"/>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mlns="">
        <xdr:sp macro="" textlink="">
          <xdr:nvSpPr>
            <xdr:cNvPr id="5" name="TextBox 4">
              <a:extLst>
                <a:ext uri="{FF2B5EF4-FFF2-40B4-BE49-F238E27FC236}">
                  <a16:creationId xmlns:a16="http://schemas.microsoft.com/office/drawing/2014/main" id="{F2928F77-8E18-C343-9984-B845DC56BD4C}"/>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12FC412E-E5DE-8242-A175-985387176E02}"/>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E42E6B35-2F3D-E04B-A985-011273B4043E}"/>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mlns="">
        <xdr:sp macro="" textlink="">
          <xdr:nvSpPr>
            <xdr:cNvPr id="7" name="TextBox 6">
              <a:extLst>
                <a:ext uri="{FF2B5EF4-FFF2-40B4-BE49-F238E27FC236}">
                  <a16:creationId xmlns:a16="http://schemas.microsoft.com/office/drawing/2014/main" id="{E42E6B35-2F3D-E04B-A985-011273B4043E}"/>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B6073A7C-0D2D-A146-8441-481D3A6D3CC3}"/>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mlns="">
        <xdr:sp macro="" textlink="">
          <xdr:nvSpPr>
            <xdr:cNvPr id="8" name="TextBox 7">
              <a:extLst>
                <a:ext uri="{FF2B5EF4-FFF2-40B4-BE49-F238E27FC236}">
                  <a16:creationId xmlns:a16="http://schemas.microsoft.com/office/drawing/2014/main" id="{B6073A7C-0D2D-A146-8441-481D3A6D3CC3}"/>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FF3217ED-8EB6-644F-84EB-7EB9DE90A8DE}"/>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xmlns:a14="http://schemas.microsoft.com/office/drawing/2010/main">
      <mc:Choice Requires="a14">
        <xdr:sp macro="" textlink="">
          <xdr:nvSpPr>
            <xdr:cNvPr id="10" name="Rectangle 9">
              <a:extLst>
                <a:ext uri="{FF2B5EF4-FFF2-40B4-BE49-F238E27FC236}">
                  <a16:creationId xmlns:a16="http://schemas.microsoft.com/office/drawing/2014/main" id="{599E7198-9DD8-FE49-8206-20E820E71846}"/>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mlns="">
        <xdr:sp macro="" textlink="">
          <xdr:nvSpPr>
            <xdr:cNvPr id="10" name="Rectangle 9">
              <a:extLst>
                <a:ext uri="{FF2B5EF4-FFF2-40B4-BE49-F238E27FC236}">
                  <a16:creationId xmlns:a16="http://schemas.microsoft.com/office/drawing/2014/main" id="{599E7198-9DD8-FE49-8206-20E820E71846}"/>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A696F3C2-BE57-5140-8140-E15A3057CD53}"/>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FB38D291-B80B-334A-A49F-9B7BC6B91377}"/>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mlns="">
        <xdr:sp macro="" textlink="">
          <xdr:nvSpPr>
            <xdr:cNvPr id="12" name="TextBox 11">
              <a:extLst>
                <a:ext uri="{FF2B5EF4-FFF2-40B4-BE49-F238E27FC236}">
                  <a16:creationId xmlns:a16="http://schemas.microsoft.com/office/drawing/2014/main" id="{FB38D291-B80B-334A-A49F-9B7BC6B91377}"/>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521C9C5D-12DF-F946-A76A-FB3C63E8E54D}"/>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47906DDA-6B20-D246-A774-1E6DB27BD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673100</xdr:colOff>
      <xdr:row>107</xdr:row>
      <xdr:rowOff>50799</xdr:rowOff>
    </xdr:from>
    <xdr:to>
      <xdr:col>14</xdr:col>
      <xdr:colOff>1082675</xdr:colOff>
      <xdr:row>123</xdr:row>
      <xdr:rowOff>127000</xdr:rowOff>
    </xdr:to>
    <xdr:graphicFrame macro="">
      <xdr:nvGraphicFramePr>
        <xdr:cNvPr id="18" name="Chart 17">
          <a:extLst>
            <a:ext uri="{FF2B5EF4-FFF2-40B4-BE49-F238E27FC236}">
              <a16:creationId xmlns:a16="http://schemas.microsoft.com/office/drawing/2014/main" id="{978CC7D3-74EA-D848-AC98-624B3CD37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0E2DA7EE-5AD8-1F49-BCAC-F2A9BC4F35E1}"/>
            </a:ext>
          </a:extLst>
        </xdr:cNvPr>
        <xdr:cNvCxnSpPr/>
      </xdr:nvCxnSpPr>
      <xdr:spPr>
        <a:xfrm>
          <a:off x="6002428" y="33100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88F9CA8A-7AA5-6A4A-A3B9-6CAF049A8D5B}"/>
                </a:ext>
              </a:extLst>
            </xdr:cNvPr>
            <xdr:cNvSpPr txBox="1"/>
          </xdr:nvSpPr>
          <xdr:spPr>
            <a:xfrm>
              <a:off x="9421430" y="327045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20" name="TextBox 19">
              <a:extLst>
                <a:ext uri="{FF2B5EF4-FFF2-40B4-BE49-F238E27FC236}">
                  <a16:creationId xmlns:a16="http://schemas.microsoft.com/office/drawing/2014/main" id="{88F9CA8A-7AA5-6A4A-A3B9-6CAF049A8D5B}"/>
                </a:ext>
              </a:extLst>
            </xdr:cNvPr>
            <xdr:cNvSpPr txBox="1"/>
          </xdr:nvSpPr>
          <xdr:spPr>
            <a:xfrm>
              <a:off x="9421430" y="327045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1603BCED-3C45-F747-9BE5-C55C91371953}"/>
            </a:ext>
          </a:extLst>
        </xdr:cNvPr>
        <xdr:cNvSpPr/>
      </xdr:nvSpPr>
      <xdr:spPr>
        <a:xfrm>
          <a:off x="8764154" y="328000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xmlns:a14="http://schemas.microsoft.com/office/drawing/2010/main">
      <mc:Choice Requires="a14">
        <xdr:sp macro="" textlink="">
          <xdr:nvSpPr>
            <xdr:cNvPr id="22" name="Rectangle 21">
              <a:extLst>
                <a:ext uri="{FF2B5EF4-FFF2-40B4-BE49-F238E27FC236}">
                  <a16:creationId xmlns:a16="http://schemas.microsoft.com/office/drawing/2014/main" id="{82BCF086-FCA3-174E-B538-063FF508C1FA}"/>
                </a:ext>
              </a:extLst>
            </xdr:cNvPr>
            <xdr:cNvSpPr/>
          </xdr:nvSpPr>
          <xdr:spPr>
            <a:xfrm>
              <a:off x="12521680" y="327077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a:t>
              </a:r>
              <a:r>
                <a:rPr lang="en-US" sz="1100" b="0"/>
                <a:t>Furthermore, Gaussian</a:t>
              </a:r>
              <a:r>
                <a:rPr lang="en-US" sz="1100" b="0" baseline="0"/>
                <a:t> internally uses a different formulation for the rotational partition function:</a:t>
              </a:r>
              <a:endParaRPr lang="en-US" sz="1100" b="0"/>
            </a:p>
          </xdr:txBody>
        </xdr:sp>
      </mc:Choice>
      <mc:Fallback xmlns="">
        <xdr:sp macro="" textlink="">
          <xdr:nvSpPr>
            <xdr:cNvPr id="22" name="Rectangle 21">
              <a:extLst>
                <a:ext uri="{FF2B5EF4-FFF2-40B4-BE49-F238E27FC236}">
                  <a16:creationId xmlns:a16="http://schemas.microsoft.com/office/drawing/2014/main" id="{82BCF086-FCA3-174E-B538-063FF508C1FA}"/>
                </a:ext>
              </a:extLst>
            </xdr:cNvPr>
            <xdr:cNvSpPr/>
          </xdr:nvSpPr>
          <xdr:spPr>
            <a:xfrm>
              <a:off x="12521680" y="327077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a:t>
              </a:r>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EDE6E0C3-F90D-B941-A1ED-09B5C3464AD8}"/>
                </a:ext>
              </a:extLst>
            </xdr:cNvPr>
            <xdr:cNvSpPr txBox="1"/>
          </xdr:nvSpPr>
          <xdr:spPr>
            <a:xfrm>
              <a:off x="9358575" y="334075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mlns="">
        <xdr:sp macro="" textlink="">
          <xdr:nvSpPr>
            <xdr:cNvPr id="23" name="TextBox 22">
              <a:extLst>
                <a:ext uri="{FF2B5EF4-FFF2-40B4-BE49-F238E27FC236}">
                  <a16:creationId xmlns:a16="http://schemas.microsoft.com/office/drawing/2014/main" id="{EDE6E0C3-F90D-B941-A1ED-09B5C3464AD8}"/>
                </a:ext>
              </a:extLst>
            </xdr:cNvPr>
            <xdr:cNvSpPr txBox="1"/>
          </xdr:nvSpPr>
          <xdr:spPr>
            <a:xfrm>
              <a:off x="9358575" y="334075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CB3D5001-5802-E44C-A94C-2ADD9F00D19E}"/>
            </a:ext>
          </a:extLst>
        </xdr:cNvPr>
        <xdr:cNvSpPr/>
      </xdr:nvSpPr>
      <xdr:spPr>
        <a:xfrm>
          <a:off x="9334499" y="33375600"/>
          <a:ext cx="31314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D53B33F9-791A-F646-A879-5D14A13ED117}"/>
                </a:ext>
              </a:extLst>
            </xdr:cNvPr>
            <xdr:cNvSpPr txBox="1"/>
          </xdr:nvSpPr>
          <xdr:spPr>
            <a:xfrm>
              <a:off x="13408630" y="341512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mlns="">
        <xdr:sp macro="" textlink="">
          <xdr:nvSpPr>
            <xdr:cNvPr id="25" name="TextBox 24">
              <a:extLst>
                <a:ext uri="{FF2B5EF4-FFF2-40B4-BE49-F238E27FC236}">
                  <a16:creationId xmlns:a16="http://schemas.microsoft.com/office/drawing/2014/main" id="{D53B33F9-791A-F646-A879-5D14A13ED117}"/>
                </a:ext>
              </a:extLst>
            </xdr:cNvPr>
            <xdr:cNvSpPr txBox="1"/>
          </xdr:nvSpPr>
          <xdr:spPr>
            <a:xfrm>
              <a:off x="13408630" y="341512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D8F9CF42-59B2-1B4B-BD6E-8527BD339D69}"/>
            </a:ext>
          </a:extLst>
        </xdr:cNvPr>
        <xdr:cNvCxnSpPr>
          <a:endCxn id="25" idx="1"/>
        </xdr:cNvCxnSpPr>
      </xdr:nvCxnSpPr>
      <xdr:spPr>
        <a:xfrm rot="16200000" flipH="1">
          <a:off x="12871846" y="340111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5B127858-C85D-C444-A8CB-1031CFB73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1863F974-F59C-7C40-A6B1-55D128492F3D}"/>
            </a:ext>
          </a:extLst>
        </xdr:cNvPr>
        <xdr:cNvSpPr txBox="1"/>
      </xdr:nvSpPr>
      <xdr:spPr>
        <a:xfrm>
          <a:off x="11731458" y="402975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F4C50422-51EF-A446-95FA-2251EE743AD6}"/>
            </a:ext>
          </a:extLst>
        </xdr:cNvPr>
        <xdr:cNvCxnSpPr/>
      </xdr:nvCxnSpPr>
      <xdr:spPr>
        <a:xfrm>
          <a:off x="6002428" y="41888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A9A8FE41-9D32-7445-A034-78BA46000163}"/>
                </a:ext>
              </a:extLst>
            </xdr:cNvPr>
            <xdr:cNvSpPr txBox="1"/>
          </xdr:nvSpPr>
          <xdr:spPr>
            <a:xfrm>
              <a:off x="9506096" y="415141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mlns="">
        <xdr:sp macro="" textlink="">
          <xdr:nvSpPr>
            <xdr:cNvPr id="30" name="TextBox 29">
              <a:extLst>
                <a:ext uri="{FF2B5EF4-FFF2-40B4-BE49-F238E27FC236}">
                  <a16:creationId xmlns:a16="http://schemas.microsoft.com/office/drawing/2014/main" id="{A9A8FE41-9D32-7445-A034-78BA46000163}"/>
                </a:ext>
              </a:extLst>
            </xdr:cNvPr>
            <xdr:cNvSpPr txBox="1"/>
          </xdr:nvSpPr>
          <xdr:spPr>
            <a:xfrm>
              <a:off x="9506096" y="415141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3F81B4D3-FF52-E548-9CFE-C0220479F78B}"/>
            </a:ext>
          </a:extLst>
        </xdr:cNvPr>
        <xdr:cNvSpPr/>
      </xdr:nvSpPr>
      <xdr:spPr>
        <a:xfrm>
          <a:off x="12846314" y="415916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0F0A5099-AA33-D746-A74E-C2CFF819C42C}"/>
            </a:ext>
          </a:extLst>
        </xdr:cNvPr>
        <xdr:cNvCxnSpPr/>
      </xdr:nvCxnSpPr>
      <xdr:spPr>
        <a:xfrm flipV="1">
          <a:off x="11697138" y="419135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0BD0DB5E-6C36-1D44-B3C1-7771871C60B6}"/>
                </a:ext>
              </a:extLst>
            </xdr:cNvPr>
            <xdr:cNvSpPr txBox="1"/>
          </xdr:nvSpPr>
          <xdr:spPr>
            <a:xfrm>
              <a:off x="13635567" y="429852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mlns="">
        <xdr:sp macro="" textlink="">
          <xdr:nvSpPr>
            <xdr:cNvPr id="33" name="TextBox 32">
              <a:extLst>
                <a:ext uri="{FF2B5EF4-FFF2-40B4-BE49-F238E27FC236}">
                  <a16:creationId xmlns:a16="http://schemas.microsoft.com/office/drawing/2014/main" id="{0BD0DB5E-6C36-1D44-B3C1-7771871C60B6}"/>
                </a:ext>
              </a:extLst>
            </xdr:cNvPr>
            <xdr:cNvSpPr txBox="1"/>
          </xdr:nvSpPr>
          <xdr:spPr>
            <a:xfrm>
              <a:off x="13635567" y="429852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0D874BCB-BE57-E741-BB7B-AEFB7113B959}"/>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CF4D783D-E5B2-2F4E-8568-7BFE0FBE2E26}"/>
            </a:ext>
          </a:extLst>
        </xdr:cNvPr>
        <xdr:cNvCxnSpPr>
          <a:endCxn id="33" idx="1"/>
        </xdr:cNvCxnSpPr>
      </xdr:nvCxnSpPr>
      <xdr:spPr>
        <a:xfrm rot="16200000" flipH="1">
          <a:off x="13281448" y="428737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469EAEC5-525D-044A-886C-10F335674E31}"/>
                </a:ext>
              </a:extLst>
            </xdr:cNvPr>
            <xdr:cNvSpPr txBox="1"/>
          </xdr:nvSpPr>
          <xdr:spPr>
            <a:xfrm>
              <a:off x="10195473" y="422454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mlns="">
        <xdr:sp macro="" textlink="">
          <xdr:nvSpPr>
            <xdr:cNvPr id="36" name="TextBox 35">
              <a:extLst>
                <a:ext uri="{FF2B5EF4-FFF2-40B4-BE49-F238E27FC236}">
                  <a16:creationId xmlns:a16="http://schemas.microsoft.com/office/drawing/2014/main" id="{469EAEC5-525D-044A-886C-10F335674E31}"/>
                </a:ext>
              </a:extLst>
            </xdr:cNvPr>
            <xdr:cNvSpPr txBox="1"/>
          </xdr:nvSpPr>
          <xdr:spPr>
            <a:xfrm>
              <a:off x="10195473" y="422454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211FEA31-8241-5C4D-88A8-06A3DF827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972B08A1-63F1-614F-8D17-89D79B39F8F0}"/>
            </a:ext>
          </a:extLst>
        </xdr:cNvPr>
        <xdr:cNvCxnSpPr/>
      </xdr:nvCxnSpPr>
      <xdr:spPr>
        <a:xfrm>
          <a:off x="6002428" y="5058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B3098EB8-0684-7346-A7E8-B54AE06C60A2}"/>
                </a:ext>
              </a:extLst>
            </xdr:cNvPr>
            <xdr:cNvSpPr txBox="1"/>
          </xdr:nvSpPr>
          <xdr:spPr>
            <a:xfrm>
              <a:off x="8659887" y="512051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39" name="TextBox 38">
              <a:extLst>
                <a:ext uri="{FF2B5EF4-FFF2-40B4-BE49-F238E27FC236}">
                  <a16:creationId xmlns:a16="http://schemas.microsoft.com/office/drawing/2014/main" id="{B3098EB8-0684-7346-A7E8-B54AE06C60A2}"/>
                </a:ext>
              </a:extLst>
            </xdr:cNvPr>
            <xdr:cNvSpPr txBox="1"/>
          </xdr:nvSpPr>
          <xdr:spPr>
            <a:xfrm>
              <a:off x="8659887" y="512051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5509EB56-F4CA-8E45-B5C2-792FAA62809C}"/>
                </a:ext>
              </a:extLst>
            </xdr:cNvPr>
            <xdr:cNvSpPr txBox="1"/>
          </xdr:nvSpPr>
          <xdr:spPr>
            <a:xfrm>
              <a:off x="9186937" y="517152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mlns="">
        <xdr:sp macro="" textlink="">
          <xdr:nvSpPr>
            <xdr:cNvPr id="40" name="TextBox 39">
              <a:extLst>
                <a:ext uri="{FF2B5EF4-FFF2-40B4-BE49-F238E27FC236}">
                  <a16:creationId xmlns:a16="http://schemas.microsoft.com/office/drawing/2014/main" id="{5509EB56-F4CA-8E45-B5C2-792FAA62809C}"/>
                </a:ext>
              </a:extLst>
            </xdr:cNvPr>
            <xdr:cNvSpPr txBox="1"/>
          </xdr:nvSpPr>
          <xdr:spPr>
            <a:xfrm>
              <a:off x="9186937" y="517152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084D21E8-3A10-B647-BE8D-A4BF1B9D5544}"/>
                </a:ext>
              </a:extLst>
            </xdr:cNvPr>
            <xdr:cNvSpPr txBox="1"/>
          </xdr:nvSpPr>
          <xdr:spPr>
            <a:xfrm>
              <a:off x="12168996" y="516301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41" name="TextBox 40">
              <a:extLst>
                <a:ext uri="{FF2B5EF4-FFF2-40B4-BE49-F238E27FC236}">
                  <a16:creationId xmlns:a16="http://schemas.microsoft.com/office/drawing/2014/main" id="{084D21E8-3A10-B647-BE8D-A4BF1B9D5544}"/>
                </a:ext>
              </a:extLst>
            </xdr:cNvPr>
            <xdr:cNvSpPr txBox="1"/>
          </xdr:nvSpPr>
          <xdr:spPr>
            <a:xfrm>
              <a:off x="12168996" y="516301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59C583FE-7B18-D34D-938A-2BEB3F81FDED}"/>
            </a:ext>
          </a:extLst>
        </xdr:cNvPr>
        <xdr:cNvSpPr txBox="1"/>
      </xdr:nvSpPr>
      <xdr:spPr>
        <a:xfrm>
          <a:off x="13413596" y="511619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392EB106-FFD1-F54F-855F-44FC82A71404}"/>
            </a:ext>
          </a:extLst>
        </xdr:cNvPr>
        <xdr:cNvCxnSpPr/>
      </xdr:nvCxnSpPr>
      <xdr:spPr>
        <a:xfrm flipH="1">
          <a:off x="9039469" y="508737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9B79EF95-3F1C-0045-9B65-4DC8A65227D2}"/>
            </a:ext>
          </a:extLst>
        </xdr:cNvPr>
        <xdr:cNvCxnSpPr/>
      </xdr:nvCxnSpPr>
      <xdr:spPr>
        <a:xfrm flipH="1">
          <a:off x="10337800" y="508551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CA8B261A-A760-AC4F-B7B7-C062EE572A8C}"/>
            </a:ext>
          </a:extLst>
        </xdr:cNvPr>
        <xdr:cNvCxnSpPr/>
      </xdr:nvCxnSpPr>
      <xdr:spPr>
        <a:xfrm>
          <a:off x="11412903" y="508615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F2C4B79C-2BB6-564E-8D52-9E6EFA638755}"/>
            </a:ext>
          </a:extLst>
        </xdr:cNvPr>
        <xdr:cNvCxnSpPr/>
      </xdr:nvCxnSpPr>
      <xdr:spPr>
        <a:xfrm>
          <a:off x="12603774" y="508554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7B6135A1-3DF2-4E4A-B281-AA31EE006192}"/>
            </a:ext>
          </a:extLst>
        </xdr:cNvPr>
        <xdr:cNvSpPr/>
      </xdr:nvSpPr>
      <xdr:spPr>
        <a:xfrm>
          <a:off x="13967461" y="506907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C222F5D8-2835-C043-9571-030E66864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282C6E76-DD48-9D4C-A4D4-4B85A8A260EA}"/>
            </a:ext>
          </a:extLst>
        </xdr:cNvPr>
        <xdr:cNvCxnSpPr/>
      </xdr:nvCxnSpPr>
      <xdr:spPr>
        <a:xfrm>
          <a:off x="6002428" y="607103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41872981-E373-8E45-8216-0E591E180C01}"/>
                </a:ext>
              </a:extLst>
            </xdr:cNvPr>
            <xdr:cNvSpPr txBox="1"/>
          </xdr:nvSpPr>
          <xdr:spPr>
            <a:xfrm>
              <a:off x="7988516" y="614462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mlns="">
        <xdr:sp macro="" textlink="">
          <xdr:nvSpPr>
            <xdr:cNvPr id="50" name="TextBox 49">
              <a:extLst>
                <a:ext uri="{FF2B5EF4-FFF2-40B4-BE49-F238E27FC236}">
                  <a16:creationId xmlns:a16="http://schemas.microsoft.com/office/drawing/2014/main" id="{41872981-E373-8E45-8216-0E591E180C01}"/>
                </a:ext>
              </a:extLst>
            </xdr:cNvPr>
            <xdr:cNvSpPr txBox="1"/>
          </xdr:nvSpPr>
          <xdr:spPr>
            <a:xfrm>
              <a:off x="7988516" y="614462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96AF2ED5-1A6E-F648-93CF-A4C00462C3A6}"/>
                </a:ext>
              </a:extLst>
            </xdr:cNvPr>
            <xdr:cNvSpPr txBox="1"/>
          </xdr:nvSpPr>
          <xdr:spPr>
            <a:xfrm>
              <a:off x="8984037" y="620123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mlns="">
        <xdr:sp macro="" textlink="">
          <xdr:nvSpPr>
            <xdr:cNvPr id="51" name="TextBox 50">
              <a:extLst>
                <a:ext uri="{FF2B5EF4-FFF2-40B4-BE49-F238E27FC236}">
                  <a16:creationId xmlns:a16="http://schemas.microsoft.com/office/drawing/2014/main" id="{96AF2ED5-1A6E-F648-93CF-A4C00462C3A6}"/>
                </a:ext>
              </a:extLst>
            </xdr:cNvPr>
            <xdr:cNvSpPr txBox="1"/>
          </xdr:nvSpPr>
          <xdr:spPr>
            <a:xfrm>
              <a:off x="8984037" y="620123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783E4B6E-D362-DA40-B620-945D43EB9ABF}"/>
                </a:ext>
              </a:extLst>
            </xdr:cNvPr>
            <xdr:cNvSpPr txBox="1"/>
          </xdr:nvSpPr>
          <xdr:spPr>
            <a:xfrm>
              <a:off x="12168995" y="617393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mlns="">
        <xdr:sp macro="" textlink="">
          <xdr:nvSpPr>
            <xdr:cNvPr id="52" name="TextBox 51">
              <a:extLst>
                <a:ext uri="{FF2B5EF4-FFF2-40B4-BE49-F238E27FC236}">
                  <a16:creationId xmlns:a16="http://schemas.microsoft.com/office/drawing/2014/main" id="{783E4B6E-D362-DA40-B620-945D43EB9ABF}"/>
                </a:ext>
              </a:extLst>
            </xdr:cNvPr>
            <xdr:cNvSpPr txBox="1"/>
          </xdr:nvSpPr>
          <xdr:spPr>
            <a:xfrm>
              <a:off x="12168995" y="617393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D271F9DF-08F3-974E-8512-D4F7115C5781}"/>
                </a:ext>
              </a:extLst>
            </xdr:cNvPr>
            <xdr:cNvSpPr txBox="1"/>
          </xdr:nvSpPr>
          <xdr:spPr>
            <a:xfrm>
              <a:off x="13413596" y="612838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mlns="">
        <xdr:sp macro="" textlink="">
          <xdr:nvSpPr>
            <xdr:cNvPr id="53" name="TextBox 52">
              <a:extLst>
                <a:ext uri="{FF2B5EF4-FFF2-40B4-BE49-F238E27FC236}">
                  <a16:creationId xmlns:a16="http://schemas.microsoft.com/office/drawing/2014/main" id="{D271F9DF-08F3-974E-8512-D4F7115C5781}"/>
                </a:ext>
              </a:extLst>
            </xdr:cNvPr>
            <xdr:cNvSpPr txBox="1"/>
          </xdr:nvSpPr>
          <xdr:spPr>
            <a:xfrm>
              <a:off x="13413596" y="612838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A9060028-A58C-3247-BE72-D40FE4105CBD}"/>
            </a:ext>
          </a:extLst>
        </xdr:cNvPr>
        <xdr:cNvCxnSpPr/>
      </xdr:nvCxnSpPr>
      <xdr:spPr>
        <a:xfrm flipH="1">
          <a:off x="9039469" y="609956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812A37E9-56B0-9B43-AF47-5A5D1C436882}"/>
            </a:ext>
          </a:extLst>
        </xdr:cNvPr>
        <xdr:cNvCxnSpPr/>
      </xdr:nvCxnSpPr>
      <xdr:spPr>
        <a:xfrm flipH="1">
          <a:off x="10265207" y="609770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C2263C4F-9702-7845-9B16-9EF4BA4CCFEA}"/>
            </a:ext>
          </a:extLst>
        </xdr:cNvPr>
        <xdr:cNvCxnSpPr/>
      </xdr:nvCxnSpPr>
      <xdr:spPr>
        <a:xfrm>
          <a:off x="11412903" y="609834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19950657-E22B-2045-8280-5CC618D3F320}"/>
            </a:ext>
          </a:extLst>
        </xdr:cNvPr>
        <xdr:cNvCxnSpPr/>
      </xdr:nvCxnSpPr>
      <xdr:spPr>
        <a:xfrm>
          <a:off x="12603774" y="609773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xmlns:a14="http://schemas.microsoft.com/office/drawing/2010/main">
      <mc:Choice Requires="a14">
        <xdr:sp macro="" textlink="">
          <xdr:nvSpPr>
            <xdr:cNvPr id="58" name="CasellaDiTesto 25">
              <a:extLst>
                <a:ext uri="{FF2B5EF4-FFF2-40B4-BE49-F238E27FC236}">
                  <a16:creationId xmlns:a16="http://schemas.microsoft.com/office/drawing/2014/main" id="{68B50715-6F30-0740-833E-E304E28E6C2E}"/>
                </a:ext>
              </a:extLst>
            </xdr:cNvPr>
            <xdr:cNvSpPr txBox="1"/>
          </xdr:nvSpPr>
          <xdr:spPr>
            <a:xfrm>
              <a:off x="7294032" y="610362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mlns="">
        <xdr:sp macro="" textlink="">
          <xdr:nvSpPr>
            <xdr:cNvPr id="58" name="CasellaDiTesto 25">
              <a:extLst>
                <a:ext uri="{FF2B5EF4-FFF2-40B4-BE49-F238E27FC236}">
                  <a16:creationId xmlns:a16="http://schemas.microsoft.com/office/drawing/2014/main" id="{68B50715-6F30-0740-833E-E304E28E6C2E}"/>
                </a:ext>
              </a:extLst>
            </xdr:cNvPr>
            <xdr:cNvSpPr txBox="1"/>
          </xdr:nvSpPr>
          <xdr:spPr>
            <a:xfrm>
              <a:off x="7294032" y="610362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BCBB97CE-05E0-5541-9E3C-0A9E73445DBE}"/>
            </a:ext>
          </a:extLst>
        </xdr:cNvPr>
        <xdr:cNvCxnSpPr>
          <a:endCxn id="50" idx="0"/>
        </xdr:cNvCxnSpPr>
      </xdr:nvCxnSpPr>
      <xdr:spPr>
        <a:xfrm>
          <a:off x="8301567" y="611293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95411892-7B6C-E24F-81A2-4CE1AE415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55151B17-0DDB-1B48-A393-BF86A255C74D}"/>
                </a:ext>
              </a:extLst>
            </xdr:cNvPr>
            <xdr:cNvSpPr txBox="1"/>
          </xdr:nvSpPr>
          <xdr:spPr>
            <a:xfrm>
              <a:off x="12745850" y="618761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mlns="">
        <xdr:sp macro="" textlink="">
          <xdr:nvSpPr>
            <xdr:cNvPr id="61" name="TextBox 60">
              <a:extLst>
                <a:ext uri="{FF2B5EF4-FFF2-40B4-BE49-F238E27FC236}">
                  <a16:creationId xmlns:a16="http://schemas.microsoft.com/office/drawing/2014/main" id="{55151B17-0DDB-1B48-A393-BF86A255C74D}"/>
                </a:ext>
              </a:extLst>
            </xdr:cNvPr>
            <xdr:cNvSpPr txBox="1"/>
          </xdr:nvSpPr>
          <xdr:spPr>
            <a:xfrm>
              <a:off x="12745850" y="618761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5</xdr:col>
      <xdr:colOff>403552</xdr:colOff>
      <xdr:row>95</xdr:row>
      <xdr:rowOff>118692</xdr:rowOff>
    </xdr:from>
    <xdr:to>
      <xdr:col>10</xdr:col>
      <xdr:colOff>652805</xdr:colOff>
      <xdr:row>102</xdr:row>
      <xdr:rowOff>94953</xdr:rowOff>
    </xdr:to>
    <xdr:cxnSp macro="">
      <xdr:nvCxnSpPr>
        <xdr:cNvPr id="62" name="Curved Connector 61">
          <a:extLst>
            <a:ext uri="{FF2B5EF4-FFF2-40B4-BE49-F238E27FC236}">
              <a16:creationId xmlns:a16="http://schemas.microsoft.com/office/drawing/2014/main" id="{80D7A506-4B8F-A84B-B7AA-ED382AE44DC7}"/>
            </a:ext>
          </a:extLst>
        </xdr:cNvPr>
        <xdr:cNvCxnSpPr/>
      </xdr:nvCxnSpPr>
      <xdr:spPr>
        <a:xfrm rot="10800000" flipV="1">
          <a:off x="7325052" y="24858292"/>
          <a:ext cx="5430853" cy="2097161"/>
        </a:xfrm>
        <a:prstGeom prst="curvedConnector3">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832621</xdr:colOff>
      <xdr:row>106</xdr:row>
      <xdr:rowOff>79080</xdr:rowOff>
    </xdr:from>
    <xdr:to>
      <xdr:col>9</xdr:col>
      <xdr:colOff>998938</xdr:colOff>
      <xdr:row>114</xdr:row>
      <xdr:rowOff>162015</xdr:rowOff>
    </xdr:to>
    <mc:AlternateContent xmlns:mc="http://schemas.openxmlformats.org/markup-compatibility/2006" xmlns:a14="http://schemas.microsoft.com/office/drawing/2010/main">
      <mc:Choice Requires="a14">
        <xdr:sp macro="" textlink="">
          <xdr:nvSpPr>
            <xdr:cNvPr id="63" name="TextBox 62">
              <a:extLst>
                <a:ext uri="{FF2B5EF4-FFF2-40B4-BE49-F238E27FC236}">
                  <a16:creationId xmlns:a16="http://schemas.microsoft.com/office/drawing/2014/main" id="{75B8B94B-877D-6948-AB63-ED848CE6DE0B}"/>
                </a:ext>
              </a:extLst>
            </xdr:cNvPr>
            <xdr:cNvSpPr txBox="1"/>
          </xdr:nvSpPr>
          <xdr:spPr>
            <a:xfrm>
              <a:off x="7754121" y="27993680"/>
              <a:ext cx="4230317" cy="2153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In</a:t>
              </a:r>
              <a:r>
                <a:rPr lang="en-US" sz="1600" baseline="0">
                  <a:solidFill>
                    <a:srgbClr val="FF0000"/>
                  </a:solidFill>
                </a:rPr>
                <a:t> this case though, we are considering a single H atom, so no bounds. As such, the vibrational parition function "looses meaning". It is then unequivocally defined as the unity, to apport a null contribute to the total partition function:</a:t>
              </a:r>
            </a:p>
            <a:p>
              <a:endParaRPr lang="en-US" sz="1600" baseline="0">
                <a:solidFill>
                  <a:srgbClr val="FF0000"/>
                </a:solidFill>
              </a:endParaRPr>
            </a:p>
            <a:p>
              <a:pPr/>
              <a14:m>
                <m:oMathPara xmlns:m="http://schemas.openxmlformats.org/officeDocument/2006/math">
                  <m:oMathParaPr>
                    <m:jc m:val="centerGroup"/>
                  </m:oMathParaPr>
                  <m:oMath xmlns:m="http://schemas.openxmlformats.org/officeDocument/2006/math">
                    <m:r>
                      <a:rPr lang="it-IT" sz="1800" b="0" i="1">
                        <a:solidFill>
                          <a:srgbClr val="FF0000"/>
                        </a:solidFill>
                        <a:latin typeface="Cambria Math" panose="02040503050406030204" pitchFamily="18" charset="0"/>
                      </a:rPr>
                      <m:t>𝑄</m:t>
                    </m:r>
                    <m:r>
                      <a:rPr lang="it-IT" sz="1800" b="0" i="1">
                        <a:solidFill>
                          <a:srgbClr val="FF0000"/>
                        </a:solidFill>
                        <a:latin typeface="Cambria Math" panose="02040503050406030204" pitchFamily="18" charset="0"/>
                      </a:rPr>
                      <m:t>=</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𝑡𝑟𝑎𝑛𝑠𝑙</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𝑣𝑖𝑏</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𝑟𝑜𝑡</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𝑒𝑙</m:t>
                        </m:r>
                      </m:sub>
                    </m:sSub>
                    <m:r>
                      <a:rPr lang="it-IT" sz="1800" b="0" i="1">
                        <a:solidFill>
                          <a:srgbClr val="FF0000"/>
                        </a:solidFill>
                        <a:latin typeface="Cambria Math" panose="02040503050406030204" pitchFamily="18" charset="0"/>
                        <a:ea typeface="Cambria Math" panose="02040503050406030204" pitchFamily="18" charset="0"/>
                      </a:rPr>
                      <m:t> </m:t>
                    </m:r>
                  </m:oMath>
                </m:oMathPara>
              </a14:m>
              <a:endParaRPr lang="en-US" sz="1800">
                <a:solidFill>
                  <a:srgbClr val="FF0000"/>
                </a:solidFill>
              </a:endParaRPr>
            </a:p>
          </xdr:txBody>
        </xdr:sp>
      </mc:Choice>
      <mc:Fallback xmlns="">
        <xdr:sp macro="" textlink="">
          <xdr:nvSpPr>
            <xdr:cNvPr id="63" name="TextBox 62">
              <a:extLst>
                <a:ext uri="{FF2B5EF4-FFF2-40B4-BE49-F238E27FC236}">
                  <a16:creationId xmlns:a16="http://schemas.microsoft.com/office/drawing/2014/main" id="{75B8B94B-877D-6948-AB63-ED848CE6DE0B}"/>
                </a:ext>
              </a:extLst>
            </xdr:cNvPr>
            <xdr:cNvSpPr txBox="1"/>
          </xdr:nvSpPr>
          <xdr:spPr>
            <a:xfrm>
              <a:off x="7754121" y="27993680"/>
              <a:ext cx="4230317" cy="2153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In</a:t>
              </a:r>
              <a:r>
                <a:rPr lang="en-US" sz="1600" baseline="0">
                  <a:solidFill>
                    <a:srgbClr val="FF0000"/>
                  </a:solidFill>
                </a:rPr>
                <a:t> this case though, we are considering a single H atom, so no bounds. As such, the vibrational parition function "looses meaning". It is then unequivocally defined as the unity, to apport a null contribute to the total partition function:</a:t>
              </a:r>
            </a:p>
            <a:p>
              <a:endParaRPr lang="en-US" sz="1600" baseline="0">
                <a:solidFill>
                  <a:srgbClr val="FF0000"/>
                </a:solidFill>
              </a:endParaRPr>
            </a:p>
            <a:p>
              <a:pPr/>
              <a:r>
                <a:rPr lang="it-IT" sz="1800" b="0" i="0">
                  <a:solidFill>
                    <a:srgbClr val="FF0000"/>
                  </a:solidFill>
                  <a:latin typeface="Cambria Math" panose="02040503050406030204" pitchFamily="18" charset="0"/>
                </a:rPr>
                <a:t>𝑄=𝑄_𝑡𝑟𝑎𝑛𝑠𝑙</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𝑄_𝑣𝑖𝑏</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𝑄_𝑟𝑜𝑡</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𝑄_𝑒𝑙</a:t>
              </a:r>
              <a:r>
                <a:rPr lang="it-IT" sz="1800" b="0" i="0">
                  <a:solidFill>
                    <a:srgbClr val="FF0000"/>
                  </a:solidFill>
                  <a:latin typeface="Cambria Math" panose="02040503050406030204" pitchFamily="18" charset="0"/>
                  <a:ea typeface="Cambria Math" panose="02040503050406030204" pitchFamily="18" charset="0"/>
                </a:rPr>
                <a:t>  </a:t>
              </a:r>
              <a:endParaRPr lang="en-US" sz="1800">
                <a:solidFill>
                  <a:srgbClr val="FF0000"/>
                </a:solidFill>
              </a:endParaRPr>
            </a:p>
          </xdr:txBody>
        </xdr:sp>
      </mc:Fallback>
    </mc:AlternateContent>
    <xdr:clientData/>
  </xdr:twoCellAnchor>
  <xdr:twoCellAnchor>
    <xdr:from>
      <xdr:col>4</xdr:col>
      <xdr:colOff>276996</xdr:colOff>
      <xdr:row>136</xdr:row>
      <xdr:rowOff>205933</xdr:rowOff>
    </xdr:from>
    <xdr:to>
      <xdr:col>7</xdr:col>
      <xdr:colOff>760813</xdr:colOff>
      <xdr:row>142</xdr:row>
      <xdr:rowOff>127001</xdr:rowOff>
    </xdr:to>
    <mc:AlternateContent xmlns:mc="http://schemas.openxmlformats.org/markup-compatibility/2006" xmlns:a14="http://schemas.microsoft.com/office/drawing/2010/main">
      <mc:Choice Requires="a14">
        <xdr:sp macro="" textlink="">
          <xdr:nvSpPr>
            <xdr:cNvPr id="64" name="TextBox 63">
              <a:extLst>
                <a:ext uri="{FF2B5EF4-FFF2-40B4-BE49-F238E27FC236}">
                  <a16:creationId xmlns:a16="http://schemas.microsoft.com/office/drawing/2014/main" id="{27654215-956B-9740-91AF-D1595A9D80C9}"/>
                </a:ext>
              </a:extLst>
            </xdr:cNvPr>
            <xdr:cNvSpPr txBox="1"/>
          </xdr:nvSpPr>
          <xdr:spPr>
            <a:xfrm>
              <a:off x="5826896" y="35588133"/>
              <a:ext cx="4230317" cy="1445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rgbClr val="FF0000"/>
                  </a:solidFill>
                </a:rPr>
                <a:t>For the same kind of reasoning exposed in the vibrational p.f. section, the rotational partition function value is also considered equal to 1:</a:t>
              </a:r>
            </a:p>
            <a:p>
              <a:endParaRPr lang="en-US" sz="1600" baseline="0">
                <a:solidFill>
                  <a:srgbClr val="FF0000"/>
                </a:solidFill>
              </a:endParaRPr>
            </a:p>
            <a:p>
              <a:pPr/>
              <a14:m>
                <m:oMathPara xmlns:m="http://schemas.openxmlformats.org/officeDocument/2006/math">
                  <m:oMathParaPr>
                    <m:jc m:val="centerGroup"/>
                  </m:oMathParaPr>
                  <m:oMath xmlns:m="http://schemas.openxmlformats.org/officeDocument/2006/math">
                    <m:r>
                      <a:rPr lang="it-IT" sz="1800" b="0" i="1">
                        <a:solidFill>
                          <a:srgbClr val="FF0000"/>
                        </a:solidFill>
                        <a:latin typeface="Cambria Math" panose="02040503050406030204" pitchFamily="18" charset="0"/>
                      </a:rPr>
                      <m:t>𝑄</m:t>
                    </m:r>
                    <m:r>
                      <a:rPr lang="it-IT" sz="1800" b="0" i="1">
                        <a:solidFill>
                          <a:srgbClr val="FF0000"/>
                        </a:solidFill>
                        <a:latin typeface="Cambria Math" panose="02040503050406030204" pitchFamily="18" charset="0"/>
                      </a:rPr>
                      <m:t>=</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𝑡𝑟𝑎𝑛𝑠𝑙</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𝑣𝑖𝑏</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𝑟𝑜𝑡</m:t>
                        </m:r>
                      </m:sub>
                    </m:sSub>
                    <m:r>
                      <a:rPr lang="it-IT" sz="1800" b="0" i="1">
                        <a:solidFill>
                          <a:srgbClr val="FF0000"/>
                        </a:solidFill>
                        <a:latin typeface="Cambria Math" panose="02040503050406030204" pitchFamily="18" charset="0"/>
                        <a:ea typeface="Cambria Math" panose="02040503050406030204" pitchFamily="18" charset="0"/>
                      </a:rPr>
                      <m:t>× </m:t>
                    </m:r>
                    <m:sSub>
                      <m:sSubPr>
                        <m:ctrlPr>
                          <a:rPr lang="it-IT" sz="1800" b="0" i="1">
                            <a:solidFill>
                              <a:srgbClr val="FF0000"/>
                            </a:solidFill>
                            <a:latin typeface="Cambria Math" panose="02040503050406030204" pitchFamily="18" charset="0"/>
                          </a:rPr>
                        </m:ctrlPr>
                      </m:sSubPr>
                      <m:e>
                        <m:r>
                          <a:rPr lang="it-IT" sz="1800" b="0" i="1">
                            <a:solidFill>
                              <a:srgbClr val="FF0000"/>
                            </a:solidFill>
                            <a:latin typeface="Cambria Math" panose="02040503050406030204" pitchFamily="18" charset="0"/>
                          </a:rPr>
                          <m:t>𝑄</m:t>
                        </m:r>
                      </m:e>
                      <m:sub>
                        <m:r>
                          <a:rPr lang="it-IT" sz="1800" b="0" i="1">
                            <a:solidFill>
                              <a:srgbClr val="FF0000"/>
                            </a:solidFill>
                            <a:latin typeface="Cambria Math" panose="02040503050406030204" pitchFamily="18" charset="0"/>
                          </a:rPr>
                          <m:t>𝑒𝑙</m:t>
                        </m:r>
                      </m:sub>
                    </m:sSub>
                    <m:r>
                      <a:rPr lang="it-IT" sz="1800" b="0" i="1">
                        <a:solidFill>
                          <a:srgbClr val="FF0000"/>
                        </a:solidFill>
                        <a:latin typeface="Cambria Math" panose="02040503050406030204" pitchFamily="18" charset="0"/>
                        <a:ea typeface="Cambria Math" panose="02040503050406030204" pitchFamily="18" charset="0"/>
                      </a:rPr>
                      <m:t> </m:t>
                    </m:r>
                  </m:oMath>
                </m:oMathPara>
              </a14:m>
              <a:endParaRPr lang="en-US" sz="1800">
                <a:solidFill>
                  <a:srgbClr val="FF0000"/>
                </a:solidFill>
              </a:endParaRPr>
            </a:p>
          </xdr:txBody>
        </xdr:sp>
      </mc:Choice>
      <mc:Fallback xmlns="">
        <xdr:sp macro="" textlink="">
          <xdr:nvSpPr>
            <xdr:cNvPr id="64" name="TextBox 63">
              <a:extLst>
                <a:ext uri="{FF2B5EF4-FFF2-40B4-BE49-F238E27FC236}">
                  <a16:creationId xmlns:a16="http://schemas.microsoft.com/office/drawing/2014/main" id="{27654215-956B-9740-91AF-D1595A9D80C9}"/>
                </a:ext>
              </a:extLst>
            </xdr:cNvPr>
            <xdr:cNvSpPr txBox="1"/>
          </xdr:nvSpPr>
          <xdr:spPr>
            <a:xfrm>
              <a:off x="5826896" y="35588133"/>
              <a:ext cx="4230317" cy="1445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rgbClr val="FF0000"/>
                  </a:solidFill>
                </a:rPr>
                <a:t>For the same kind of reasoning exposed in the vibrational p.f. section, the rotational partition function value is also considered equal to 1:</a:t>
              </a:r>
            </a:p>
            <a:p>
              <a:endParaRPr lang="en-US" sz="1600" baseline="0">
                <a:solidFill>
                  <a:srgbClr val="FF0000"/>
                </a:solidFill>
              </a:endParaRPr>
            </a:p>
            <a:p>
              <a:pPr/>
              <a:r>
                <a:rPr lang="it-IT" sz="1800" b="0" i="0">
                  <a:solidFill>
                    <a:srgbClr val="FF0000"/>
                  </a:solidFill>
                  <a:latin typeface="Cambria Math" panose="02040503050406030204" pitchFamily="18" charset="0"/>
                </a:rPr>
                <a:t>𝑄=𝑄_𝑡𝑟𝑎𝑛𝑠𝑙</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𝑄_𝑣𝑖𝑏</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𝑄_𝑟𝑜𝑡</a:t>
              </a:r>
              <a:r>
                <a:rPr lang="it-IT" sz="1800" b="0" i="0">
                  <a:solidFill>
                    <a:srgbClr val="FF0000"/>
                  </a:solidFill>
                  <a:latin typeface="Cambria Math" panose="02040503050406030204" pitchFamily="18" charset="0"/>
                  <a:ea typeface="Cambria Math" panose="02040503050406030204" pitchFamily="18" charset="0"/>
                </a:rPr>
                <a:t>× </a:t>
              </a:r>
              <a:r>
                <a:rPr lang="it-IT" sz="1800" b="0" i="0">
                  <a:solidFill>
                    <a:srgbClr val="FF0000"/>
                  </a:solidFill>
                  <a:latin typeface="Cambria Math" panose="02040503050406030204" pitchFamily="18" charset="0"/>
                </a:rPr>
                <a:t>𝑄_𝑒𝑙</a:t>
              </a:r>
              <a:r>
                <a:rPr lang="it-IT" sz="1800" b="0" i="0">
                  <a:solidFill>
                    <a:srgbClr val="FF0000"/>
                  </a:solidFill>
                  <a:latin typeface="Cambria Math" panose="02040503050406030204" pitchFamily="18" charset="0"/>
                  <a:ea typeface="Cambria Math" panose="02040503050406030204" pitchFamily="18" charset="0"/>
                </a:rPr>
                <a:t>  </a:t>
              </a:r>
              <a:endParaRPr lang="en-US" sz="1800">
                <a:solidFill>
                  <a:srgbClr val="FF0000"/>
                </a:solidFill>
              </a:endParaRPr>
            </a:p>
          </xdr:txBody>
        </xdr:sp>
      </mc:Fallback>
    </mc:AlternateContent>
    <xdr:clientData/>
  </xdr:twoCellAnchor>
  <xdr:twoCellAnchor>
    <xdr:from>
      <xdr:col>4</xdr:col>
      <xdr:colOff>460375</xdr:colOff>
      <xdr:row>174</xdr:row>
      <xdr:rowOff>31750</xdr:rowOff>
    </xdr:from>
    <xdr:to>
      <xdr:col>8</xdr:col>
      <xdr:colOff>86942</xdr:colOff>
      <xdr:row>176</xdr:row>
      <xdr:rowOff>254000</xdr:rowOff>
    </xdr:to>
    <xdr:sp macro="" textlink="">
      <xdr:nvSpPr>
        <xdr:cNvPr id="65" name="TextBox 64">
          <a:extLst>
            <a:ext uri="{FF2B5EF4-FFF2-40B4-BE49-F238E27FC236}">
              <a16:creationId xmlns:a16="http://schemas.microsoft.com/office/drawing/2014/main" id="{45FC011F-28CF-CD4C-BAB5-05DCC6B44498}"/>
            </a:ext>
          </a:extLst>
        </xdr:cNvPr>
        <xdr:cNvSpPr txBox="1"/>
      </xdr:nvSpPr>
      <xdr:spPr>
        <a:xfrm>
          <a:off x="6010275" y="44748450"/>
          <a:ext cx="4236667" cy="730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rgbClr val="FF0000"/>
              </a:solidFill>
            </a:rPr>
            <a:t>Single H atom is a radical. As such, the spin multiplicity is =2 (one upaired electron)</a:t>
          </a:r>
          <a:endParaRPr lang="en-US" sz="1800">
            <a:solidFill>
              <a:srgbClr val="FF0000"/>
            </a:solidFill>
          </a:endParaRPr>
        </a:p>
      </xdr:txBody>
    </xdr:sp>
    <xdr:clientData/>
  </xdr:twoCellAnchor>
  <xdr:twoCellAnchor>
    <xdr:from>
      <xdr:col>16</xdr:col>
      <xdr:colOff>1577878</xdr:colOff>
      <xdr:row>55</xdr:row>
      <xdr:rowOff>0</xdr:rowOff>
    </xdr:from>
    <xdr:to>
      <xdr:col>17</xdr:col>
      <xdr:colOff>1039091</xdr:colOff>
      <xdr:row>195</xdr:row>
      <xdr:rowOff>153939</xdr:rowOff>
    </xdr:to>
    <xdr:sp macro="" textlink="">
      <xdr:nvSpPr>
        <xdr:cNvPr id="66" name="Right Brace 65">
          <a:extLst>
            <a:ext uri="{FF2B5EF4-FFF2-40B4-BE49-F238E27FC236}">
              <a16:creationId xmlns:a16="http://schemas.microsoft.com/office/drawing/2014/main" id="{92F4B825-2C73-2940-A715-1847C2210F03}"/>
            </a:ext>
          </a:extLst>
        </xdr:cNvPr>
        <xdr:cNvSpPr/>
      </xdr:nvSpPr>
      <xdr:spPr>
        <a:xfrm>
          <a:off x="21542278" y="14897100"/>
          <a:ext cx="1061413" cy="350408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23</xdr:col>
      <xdr:colOff>359975</xdr:colOff>
      <xdr:row>92</xdr:row>
      <xdr:rowOff>168476</xdr:rowOff>
    </xdr:from>
    <xdr:to>
      <xdr:col>25</xdr:col>
      <xdr:colOff>520551</xdr:colOff>
      <xdr:row>92</xdr:row>
      <xdr:rowOff>183073</xdr:rowOff>
    </xdr:to>
    <xdr:cxnSp macro="">
      <xdr:nvCxnSpPr>
        <xdr:cNvPr id="67" name="Straight Arrow Connector 66">
          <a:extLst>
            <a:ext uri="{FF2B5EF4-FFF2-40B4-BE49-F238E27FC236}">
              <a16:creationId xmlns:a16="http://schemas.microsoft.com/office/drawing/2014/main" id="{065336E1-2A09-664C-92C8-11F7CE12B42C}"/>
            </a:ext>
          </a:extLst>
        </xdr:cNvPr>
        <xdr:cNvCxnSpPr/>
      </xdr:nvCxnSpPr>
      <xdr:spPr>
        <a:xfrm>
          <a:off x="29354075" y="24069876"/>
          <a:ext cx="25989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25</xdr:col>
      <xdr:colOff>708890</xdr:colOff>
      <xdr:row>91</xdr:row>
      <xdr:rowOff>229753</xdr:rowOff>
    </xdr:from>
    <xdr:ext cx="3999878" cy="315856"/>
    <mc:AlternateContent xmlns:mc="http://schemas.openxmlformats.org/markup-compatibility/2006" xmlns:a14="http://schemas.microsoft.com/office/drawing/2010/main">
      <mc:Choice Requires="a14">
        <xdr:sp macro="" textlink="">
          <xdr:nvSpPr>
            <xdr:cNvPr id="68" name="TextBox 67">
              <a:extLst>
                <a:ext uri="{FF2B5EF4-FFF2-40B4-BE49-F238E27FC236}">
                  <a16:creationId xmlns:a16="http://schemas.microsoft.com/office/drawing/2014/main" id="{125B0877-3DE5-1C48-B9E8-F34ED7A5573B}"/>
                </a:ext>
              </a:extLst>
            </xdr:cNvPr>
            <xdr:cNvSpPr txBox="1"/>
          </xdr:nvSpPr>
          <xdr:spPr>
            <a:xfrm>
              <a:off x="321413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mlns="">
        <xdr:sp macro="" textlink="">
          <xdr:nvSpPr>
            <xdr:cNvPr id="68" name="TextBox 67">
              <a:extLst>
                <a:ext uri="{FF2B5EF4-FFF2-40B4-BE49-F238E27FC236}">
                  <a16:creationId xmlns:a16="http://schemas.microsoft.com/office/drawing/2014/main" id="{125B0877-3DE5-1C48-B9E8-F34ED7A5573B}"/>
                </a:ext>
              </a:extLst>
            </xdr:cNvPr>
            <xdr:cNvSpPr txBox="1"/>
          </xdr:nvSpPr>
          <xdr:spPr>
            <a:xfrm>
              <a:off x="321413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20</xdr:col>
      <xdr:colOff>856511</xdr:colOff>
      <xdr:row>96</xdr:row>
      <xdr:rowOff>14766</xdr:rowOff>
    </xdr:from>
    <xdr:to>
      <xdr:col>25</xdr:col>
      <xdr:colOff>782674</xdr:colOff>
      <xdr:row>99</xdr:row>
      <xdr:rowOff>132906</xdr:rowOff>
    </xdr:to>
    <xdr:sp macro="" textlink="">
      <xdr:nvSpPr>
        <xdr:cNvPr id="69" name="TextBox 68">
          <a:extLst>
            <a:ext uri="{FF2B5EF4-FFF2-40B4-BE49-F238E27FC236}">
              <a16:creationId xmlns:a16="http://schemas.microsoft.com/office/drawing/2014/main" id="{CB01253B-0075-6E4C-B682-59535BB50A9A}"/>
            </a:ext>
          </a:extLst>
        </xdr:cNvPr>
        <xdr:cNvSpPr txBox="1"/>
      </xdr:nvSpPr>
      <xdr:spPr>
        <a:xfrm>
          <a:off x="25596111" y="25008366"/>
          <a:ext cx="66190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27</xdr:col>
      <xdr:colOff>810845</xdr:colOff>
      <xdr:row>109</xdr:row>
      <xdr:rowOff>156307</xdr:rowOff>
    </xdr:from>
    <xdr:to>
      <xdr:col>33</xdr:col>
      <xdr:colOff>371230</xdr:colOff>
      <xdr:row>122</xdr:row>
      <xdr:rowOff>72292</xdr:rowOff>
    </xdr:to>
    <xdr:graphicFrame macro="">
      <xdr:nvGraphicFramePr>
        <xdr:cNvPr id="70" name="Chart 69">
          <a:extLst>
            <a:ext uri="{FF2B5EF4-FFF2-40B4-BE49-F238E27FC236}">
              <a16:creationId xmlns:a16="http://schemas.microsoft.com/office/drawing/2014/main" id="{E876DC9C-1B76-6D44-903C-53CDF6B94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74" name="Straight Arrow Connector 73">
          <a:extLst>
            <a:ext uri="{FF2B5EF4-FFF2-40B4-BE49-F238E27FC236}">
              <a16:creationId xmlns:a16="http://schemas.microsoft.com/office/drawing/2014/main" id="{A392A1E4-DD54-DD4A-A0BD-48DFA0975829}"/>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xmlns:a14="http://schemas.microsoft.com/office/drawing/2010/main">
      <mc:Choice Requires="a14">
        <xdr:sp macro="" textlink="">
          <xdr:nvSpPr>
            <xdr:cNvPr id="75" name="TextBox 74">
              <a:extLst>
                <a:ext uri="{FF2B5EF4-FFF2-40B4-BE49-F238E27FC236}">
                  <a16:creationId xmlns:a16="http://schemas.microsoft.com/office/drawing/2014/main" id="{CD49EDAA-BF08-DB45-A2FB-2432DF509E08}"/>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mlns="">
        <xdr:sp macro="" textlink="">
          <xdr:nvSpPr>
            <xdr:cNvPr id="75" name="TextBox 74">
              <a:extLst>
                <a:ext uri="{FF2B5EF4-FFF2-40B4-BE49-F238E27FC236}">
                  <a16:creationId xmlns:a16="http://schemas.microsoft.com/office/drawing/2014/main" id="{CD49EDAA-BF08-DB45-A2FB-2432DF509E08}"/>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76" name="Rectangle 75">
          <a:extLst>
            <a:ext uri="{FF2B5EF4-FFF2-40B4-BE49-F238E27FC236}">
              <a16:creationId xmlns:a16="http://schemas.microsoft.com/office/drawing/2014/main" id="{DCEE6F0A-4E12-A244-A991-76904B36D3AD}"/>
            </a:ext>
          </a:extLst>
        </xdr:cNvPr>
        <xdr:cNvSpPr/>
      </xdr:nvSpPr>
      <xdr:spPr>
        <a:xfrm>
          <a:off x="114310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oneCellAnchor>
    <xdr:from>
      <xdr:col>12</xdr:col>
      <xdr:colOff>779029</xdr:colOff>
      <xdr:row>95</xdr:row>
      <xdr:rowOff>45026</xdr:rowOff>
    </xdr:from>
    <xdr:ext cx="1488997" cy="778931"/>
    <mc:AlternateContent xmlns:mc="http://schemas.openxmlformats.org/markup-compatibility/2006" xmlns:a14="http://schemas.microsoft.com/office/drawing/2010/main">
      <mc:Choice Requires="a14">
        <xdr:sp macro="" textlink="">
          <xdr:nvSpPr>
            <xdr:cNvPr id="78" name="TextBox 77">
              <a:extLst>
                <a:ext uri="{FF2B5EF4-FFF2-40B4-BE49-F238E27FC236}">
                  <a16:creationId xmlns:a16="http://schemas.microsoft.com/office/drawing/2014/main" id="{CF9038F1-2A4B-CE49-9BAE-A845DD51C968}"/>
                </a:ext>
              </a:extLst>
            </xdr:cNvPr>
            <xdr:cNvSpPr txBox="1"/>
          </xdr:nvSpPr>
          <xdr:spPr>
            <a:xfrm>
              <a:off x="15053829" y="246830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mlns="">
        <xdr:sp macro="" textlink="">
          <xdr:nvSpPr>
            <xdr:cNvPr id="78" name="TextBox 77">
              <a:extLst>
                <a:ext uri="{FF2B5EF4-FFF2-40B4-BE49-F238E27FC236}">
                  <a16:creationId xmlns:a16="http://schemas.microsoft.com/office/drawing/2014/main" id="{CF9038F1-2A4B-CE49-9BAE-A845DD51C968}"/>
                </a:ext>
              </a:extLst>
            </xdr:cNvPr>
            <xdr:cNvSpPr txBox="1"/>
          </xdr:nvSpPr>
          <xdr:spPr>
            <a:xfrm>
              <a:off x="15053829" y="246830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DBB0089D-0264-3547-A226-606DF86D5632}"/>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9468F206-5079-FC43-98E1-92FC365DE785}"/>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1E762401-6EE5-E344-8FF8-986FB1894C59}"/>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mlns="">
        <xdr:sp macro="" textlink="">
          <xdr:nvSpPr>
            <xdr:cNvPr id="4" name="TextBox 3">
              <a:extLst>
                <a:ext uri="{FF2B5EF4-FFF2-40B4-BE49-F238E27FC236}">
                  <a16:creationId xmlns:a16="http://schemas.microsoft.com/office/drawing/2014/main" id="{1E762401-6EE5-E344-8FF8-986FB1894C59}"/>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36B0F9E6-C379-F64D-BF14-AFDBA051BB80}"/>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mlns="">
        <xdr:sp macro="" textlink="">
          <xdr:nvSpPr>
            <xdr:cNvPr id="5" name="TextBox 4">
              <a:extLst>
                <a:ext uri="{FF2B5EF4-FFF2-40B4-BE49-F238E27FC236}">
                  <a16:creationId xmlns:a16="http://schemas.microsoft.com/office/drawing/2014/main" id="{36B0F9E6-C379-F64D-BF14-AFDBA051BB80}"/>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E656A5AF-D5C2-5243-9D6F-CA767C1A48E7}"/>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F3BF1667-F04E-FF4A-8BC5-38EE1FED5B91}"/>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mlns="">
        <xdr:sp macro="" textlink="">
          <xdr:nvSpPr>
            <xdr:cNvPr id="7" name="TextBox 6">
              <a:extLst>
                <a:ext uri="{FF2B5EF4-FFF2-40B4-BE49-F238E27FC236}">
                  <a16:creationId xmlns:a16="http://schemas.microsoft.com/office/drawing/2014/main" id="{F3BF1667-F04E-FF4A-8BC5-38EE1FED5B91}"/>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F8F977A-1911-AF44-8A89-64877D724B9E}"/>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mlns="">
        <xdr:sp macro="" textlink="">
          <xdr:nvSpPr>
            <xdr:cNvPr id="8" name="TextBox 7">
              <a:extLst>
                <a:ext uri="{FF2B5EF4-FFF2-40B4-BE49-F238E27FC236}">
                  <a16:creationId xmlns:a16="http://schemas.microsoft.com/office/drawing/2014/main" id="{0F8F977A-1911-AF44-8A89-64877D724B9E}"/>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A41E1626-F34D-E74D-85B4-6ACFB36230BC}"/>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xmlns:a14="http://schemas.microsoft.com/office/drawing/2010/main">
      <mc:Choice Requires="a14">
        <xdr:sp macro="" textlink="">
          <xdr:nvSpPr>
            <xdr:cNvPr id="10" name="Rectangle 9">
              <a:extLst>
                <a:ext uri="{FF2B5EF4-FFF2-40B4-BE49-F238E27FC236}">
                  <a16:creationId xmlns:a16="http://schemas.microsoft.com/office/drawing/2014/main" id="{15CAA3CA-A2A8-F743-8A25-760821B549FA}"/>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mlns="">
        <xdr:sp macro="" textlink="">
          <xdr:nvSpPr>
            <xdr:cNvPr id="10" name="Rectangle 9">
              <a:extLst>
                <a:ext uri="{FF2B5EF4-FFF2-40B4-BE49-F238E27FC236}">
                  <a16:creationId xmlns:a16="http://schemas.microsoft.com/office/drawing/2014/main" id="{15CAA3CA-A2A8-F743-8A25-760821B549FA}"/>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6F0F5541-9217-F342-9952-49793B63A7B1}"/>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FE36093C-99C9-AC45-94D9-8C66F3B219BB}"/>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mlns="">
        <xdr:sp macro="" textlink="">
          <xdr:nvSpPr>
            <xdr:cNvPr id="12" name="TextBox 11">
              <a:extLst>
                <a:ext uri="{FF2B5EF4-FFF2-40B4-BE49-F238E27FC236}">
                  <a16:creationId xmlns:a16="http://schemas.microsoft.com/office/drawing/2014/main" id="{FE36093C-99C9-AC45-94D9-8C66F3B219BB}"/>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81E42BBC-96DD-CA44-BA10-984F5179F441}"/>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0D24A78B-7101-3149-A8C3-570278F07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990600</xdr:colOff>
      <xdr:row>107</xdr:row>
      <xdr:rowOff>228599</xdr:rowOff>
    </xdr:from>
    <xdr:to>
      <xdr:col>15</xdr:col>
      <xdr:colOff>804333</xdr:colOff>
      <xdr:row>124</xdr:row>
      <xdr:rowOff>50800</xdr:rowOff>
    </xdr:to>
    <xdr:graphicFrame macro="">
      <xdr:nvGraphicFramePr>
        <xdr:cNvPr id="18" name="Chart 17">
          <a:extLst>
            <a:ext uri="{FF2B5EF4-FFF2-40B4-BE49-F238E27FC236}">
              <a16:creationId xmlns:a16="http://schemas.microsoft.com/office/drawing/2014/main" id="{F58E9205-ACAA-7041-A853-5DAA6582E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3DE37AEF-2BE7-7D45-AB64-70EF2EBA6436}"/>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922153EA-77E2-DB47-A401-4C7865452D71}"/>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20" name="TextBox 19">
              <a:extLst>
                <a:ext uri="{FF2B5EF4-FFF2-40B4-BE49-F238E27FC236}">
                  <a16:creationId xmlns:a16="http://schemas.microsoft.com/office/drawing/2014/main" id="{922153EA-77E2-DB47-A401-4C7865452D71}"/>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F5CD81B3-6E02-764A-ADD7-123D80F5A10F}"/>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xmlns:a14="http://schemas.microsoft.com/office/drawing/2010/main">
      <mc:Choice Requires="a14">
        <xdr:sp macro="" textlink="">
          <xdr:nvSpPr>
            <xdr:cNvPr id="22" name="Rectangle 21">
              <a:extLst>
                <a:ext uri="{FF2B5EF4-FFF2-40B4-BE49-F238E27FC236}">
                  <a16:creationId xmlns:a16="http://schemas.microsoft.com/office/drawing/2014/main" id="{DAFD5F64-79D6-CE4E-8214-06AFA7DB9B90}"/>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Choice>
      <mc:Fallback xmlns="">
        <xdr:sp macro="" textlink="">
          <xdr:nvSpPr>
            <xdr:cNvPr id="22" name="Rectangle 21">
              <a:extLst>
                <a:ext uri="{FF2B5EF4-FFF2-40B4-BE49-F238E27FC236}">
                  <a16:creationId xmlns:a16="http://schemas.microsoft.com/office/drawing/2014/main" id="{DAFD5F64-79D6-CE4E-8214-06AFA7DB9B90}"/>
                </a:ext>
              </a:extLst>
            </xdr:cNvPr>
            <xdr:cNvSpPr/>
          </xdr:nvSpPr>
          <xdr:spPr>
            <a:xfrm>
              <a:off x="125216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1C50D9FF-61F8-FD45-BBAE-AC525C50F03B}"/>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mlns="">
        <xdr:sp macro="" textlink="">
          <xdr:nvSpPr>
            <xdr:cNvPr id="23" name="TextBox 22">
              <a:extLst>
                <a:ext uri="{FF2B5EF4-FFF2-40B4-BE49-F238E27FC236}">
                  <a16:creationId xmlns:a16="http://schemas.microsoft.com/office/drawing/2014/main" id="{1C50D9FF-61F8-FD45-BBAE-AC525C50F03B}"/>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35B0C8F1-7A06-F348-BBF5-8E89E7EE6BB3}"/>
            </a:ext>
          </a:extLst>
        </xdr:cNvPr>
        <xdr:cNvSpPr/>
      </xdr:nvSpPr>
      <xdr:spPr>
        <a:xfrm>
          <a:off x="9334499" y="33210500"/>
          <a:ext cx="31314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DE6F36BF-57E5-B343-B39C-4F31F44B3A5C}"/>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mlns="">
        <xdr:sp macro="" textlink="">
          <xdr:nvSpPr>
            <xdr:cNvPr id="25" name="TextBox 24">
              <a:extLst>
                <a:ext uri="{FF2B5EF4-FFF2-40B4-BE49-F238E27FC236}">
                  <a16:creationId xmlns:a16="http://schemas.microsoft.com/office/drawing/2014/main" id="{DE6F36BF-57E5-B343-B39C-4F31F44B3A5C}"/>
                </a:ext>
              </a:extLst>
            </xdr:cNvPr>
            <xdr:cNvSpPr txBox="1"/>
          </xdr:nvSpPr>
          <xdr:spPr>
            <a:xfrm>
              <a:off x="134086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14F84593-DA1C-C24C-A536-CAA6A9A82EAF}"/>
            </a:ext>
          </a:extLst>
        </xdr:cNvPr>
        <xdr:cNvCxnSpPr>
          <a:endCxn id="25" idx="1"/>
        </xdr:cNvCxnSpPr>
      </xdr:nvCxnSpPr>
      <xdr:spPr>
        <a:xfrm rot="16200000" flipH="1">
          <a:off x="12871846" y="338460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3596B0D1-7B19-194D-A94C-2E244DC95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206A7162-3277-A747-B904-466C611F280C}"/>
            </a:ext>
          </a:extLst>
        </xdr:cNvPr>
        <xdr:cNvSpPr txBox="1"/>
      </xdr:nvSpPr>
      <xdr:spPr>
        <a:xfrm>
          <a:off x="117314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A8BD36E8-4629-5E46-A31E-D2FA693AADB8}"/>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4BBC9B0A-1676-5642-9CFD-79469BCEBE6E}"/>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mlns="">
        <xdr:sp macro="" textlink="">
          <xdr:nvSpPr>
            <xdr:cNvPr id="30" name="TextBox 29">
              <a:extLst>
                <a:ext uri="{FF2B5EF4-FFF2-40B4-BE49-F238E27FC236}">
                  <a16:creationId xmlns:a16="http://schemas.microsoft.com/office/drawing/2014/main" id="{4BBC9B0A-1676-5642-9CFD-79469BCEBE6E}"/>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79BC3AD0-C54B-2344-A27D-5AFBAB610712}"/>
            </a:ext>
          </a:extLst>
        </xdr:cNvPr>
        <xdr:cNvSpPr/>
      </xdr:nvSpPr>
      <xdr:spPr>
        <a:xfrm>
          <a:off x="128463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F46EE077-E31B-7441-8D4D-6E8A0699F971}"/>
            </a:ext>
          </a:extLst>
        </xdr:cNvPr>
        <xdr:cNvCxnSpPr/>
      </xdr:nvCxnSpPr>
      <xdr:spPr>
        <a:xfrm flipV="1">
          <a:off x="116971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354044D0-338C-9541-8676-F57E68652508}"/>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mlns="">
        <xdr:sp macro="" textlink="">
          <xdr:nvSpPr>
            <xdr:cNvPr id="33" name="TextBox 32">
              <a:extLst>
                <a:ext uri="{FF2B5EF4-FFF2-40B4-BE49-F238E27FC236}">
                  <a16:creationId xmlns:a16="http://schemas.microsoft.com/office/drawing/2014/main" id="{354044D0-338C-9541-8676-F57E68652508}"/>
                </a:ext>
              </a:extLst>
            </xdr:cNvPr>
            <xdr:cNvSpPr txBox="1"/>
          </xdr:nvSpPr>
          <xdr:spPr>
            <a:xfrm>
              <a:off x="136355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34" name="Curved Connector 33">
          <a:extLst>
            <a:ext uri="{FF2B5EF4-FFF2-40B4-BE49-F238E27FC236}">
              <a16:creationId xmlns:a16="http://schemas.microsoft.com/office/drawing/2014/main" id="{B39CC8D4-CEE7-6941-A3DF-1DCB9C3AC9A7}"/>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5A4C48A1-39C1-6042-BC02-CF6C216F64FC}"/>
            </a:ext>
          </a:extLst>
        </xdr:cNvPr>
        <xdr:cNvCxnSpPr>
          <a:endCxn id="33" idx="1"/>
        </xdr:cNvCxnSpPr>
      </xdr:nvCxnSpPr>
      <xdr:spPr>
        <a:xfrm rot="16200000" flipH="1">
          <a:off x="132814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5415E198-D989-CE47-A8DA-C7EEECDC257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mlns="">
        <xdr:sp macro="" textlink="">
          <xdr:nvSpPr>
            <xdr:cNvPr id="36" name="TextBox 35">
              <a:extLst>
                <a:ext uri="{FF2B5EF4-FFF2-40B4-BE49-F238E27FC236}">
                  <a16:creationId xmlns:a16="http://schemas.microsoft.com/office/drawing/2014/main" id="{5415E198-D989-CE47-A8DA-C7EEECDC2574}"/>
                </a:ext>
              </a:extLst>
            </xdr:cNvPr>
            <xdr:cNvSpPr txBox="1"/>
          </xdr:nvSpPr>
          <xdr:spPr>
            <a:xfrm>
              <a:off x="101954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88E844EC-3759-AD4B-99A4-41C261C4F6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1BB9F15D-F63A-8945-BF89-5487AFC5C090}"/>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E28843B8-9E23-5E4C-8E2E-AEB94A617525}"/>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39" name="TextBox 38">
              <a:extLst>
                <a:ext uri="{FF2B5EF4-FFF2-40B4-BE49-F238E27FC236}">
                  <a16:creationId xmlns:a16="http://schemas.microsoft.com/office/drawing/2014/main" id="{E28843B8-9E23-5E4C-8E2E-AEB94A617525}"/>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82A5A67D-44B1-844C-B885-E1DF7FE4192C}"/>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mlns="">
        <xdr:sp macro="" textlink="">
          <xdr:nvSpPr>
            <xdr:cNvPr id="40" name="TextBox 39">
              <a:extLst>
                <a:ext uri="{FF2B5EF4-FFF2-40B4-BE49-F238E27FC236}">
                  <a16:creationId xmlns:a16="http://schemas.microsoft.com/office/drawing/2014/main" id="{82A5A67D-44B1-844C-B885-E1DF7FE4192C}"/>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C29779FD-E24B-724A-9F25-6A4C4DD81FD1}"/>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41" name="TextBox 40">
              <a:extLst>
                <a:ext uri="{FF2B5EF4-FFF2-40B4-BE49-F238E27FC236}">
                  <a16:creationId xmlns:a16="http://schemas.microsoft.com/office/drawing/2014/main" id="{C29779FD-E24B-724A-9F25-6A4C4DD81FD1}"/>
                </a:ext>
              </a:extLst>
            </xdr:cNvPr>
            <xdr:cNvSpPr txBox="1"/>
          </xdr:nvSpPr>
          <xdr:spPr>
            <a:xfrm>
              <a:off x="121689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88995A8C-0297-B44B-9595-601741AC4FF1}"/>
            </a:ext>
          </a:extLst>
        </xdr:cNvPr>
        <xdr:cNvSpPr txBox="1"/>
      </xdr:nvSpPr>
      <xdr:spPr>
        <a:xfrm>
          <a:off x="134135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48D7EFD8-0F3D-FB4A-ADAF-2B2C6E0A3E2B}"/>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65898A98-D01D-DC47-A47A-AFB8D7FA3C02}"/>
            </a:ext>
          </a:extLst>
        </xdr:cNvPr>
        <xdr:cNvCxnSpPr/>
      </xdr:nvCxnSpPr>
      <xdr:spPr>
        <a:xfrm flipH="1">
          <a:off x="103378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6219E029-5877-CD4C-B5E4-2E0BAB7980A4}"/>
            </a:ext>
          </a:extLst>
        </xdr:cNvPr>
        <xdr:cNvCxnSpPr/>
      </xdr:nvCxnSpPr>
      <xdr:spPr>
        <a:xfrm>
          <a:off x="114129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F880D9CB-5173-7040-B9D3-8F7EC4BE08E7}"/>
            </a:ext>
          </a:extLst>
        </xdr:cNvPr>
        <xdr:cNvCxnSpPr/>
      </xdr:nvCxnSpPr>
      <xdr:spPr>
        <a:xfrm>
          <a:off x="126037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38A91FB3-1617-AC42-BFCC-A6168479E57A}"/>
            </a:ext>
          </a:extLst>
        </xdr:cNvPr>
        <xdr:cNvSpPr/>
      </xdr:nvSpPr>
      <xdr:spPr>
        <a:xfrm>
          <a:off x="139674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A10B0007-84F4-F649-844E-A0D073F5A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5FB94574-896B-3B40-96BC-CC81FDA0A16A}"/>
            </a:ext>
          </a:extLst>
        </xdr:cNvPr>
        <xdr:cNvCxnSpPr/>
      </xdr:nvCxnSpPr>
      <xdr:spPr>
        <a:xfrm>
          <a:off x="6002428" y="605579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9300545E-FFEB-DA46-9355-4866FA674690}"/>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mlns="">
        <xdr:sp macro="" textlink="">
          <xdr:nvSpPr>
            <xdr:cNvPr id="50" name="TextBox 49">
              <a:extLst>
                <a:ext uri="{FF2B5EF4-FFF2-40B4-BE49-F238E27FC236}">
                  <a16:creationId xmlns:a16="http://schemas.microsoft.com/office/drawing/2014/main" id="{9300545E-FFEB-DA46-9355-4866FA674690}"/>
                </a:ext>
              </a:extLst>
            </xdr:cNvPr>
            <xdr:cNvSpPr txBox="1"/>
          </xdr:nvSpPr>
          <xdr:spPr>
            <a:xfrm>
              <a:off x="7988516" y="612938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FD209ECA-35E5-E041-BFA3-7C6285B01CA5}"/>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mlns="">
        <xdr:sp macro="" textlink="">
          <xdr:nvSpPr>
            <xdr:cNvPr id="51" name="TextBox 50">
              <a:extLst>
                <a:ext uri="{FF2B5EF4-FFF2-40B4-BE49-F238E27FC236}">
                  <a16:creationId xmlns:a16="http://schemas.microsoft.com/office/drawing/2014/main" id="{FD209ECA-35E5-E041-BFA3-7C6285B01CA5}"/>
                </a:ext>
              </a:extLst>
            </xdr:cNvPr>
            <xdr:cNvSpPr txBox="1"/>
          </xdr:nvSpPr>
          <xdr:spPr>
            <a:xfrm>
              <a:off x="8984037" y="618599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DACA0EA6-49A6-8449-98AF-09B24844C282}"/>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mlns="">
        <xdr:sp macro="" textlink="">
          <xdr:nvSpPr>
            <xdr:cNvPr id="52" name="TextBox 51">
              <a:extLst>
                <a:ext uri="{FF2B5EF4-FFF2-40B4-BE49-F238E27FC236}">
                  <a16:creationId xmlns:a16="http://schemas.microsoft.com/office/drawing/2014/main" id="{DACA0EA6-49A6-8449-98AF-09B24844C282}"/>
                </a:ext>
              </a:extLst>
            </xdr:cNvPr>
            <xdr:cNvSpPr txBox="1"/>
          </xdr:nvSpPr>
          <xdr:spPr>
            <a:xfrm>
              <a:off x="12168995" y="615869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70D67329-A6BA-E84C-8118-513E139BBC68}"/>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mlns="">
        <xdr:sp macro="" textlink="">
          <xdr:nvSpPr>
            <xdr:cNvPr id="53" name="TextBox 52">
              <a:extLst>
                <a:ext uri="{FF2B5EF4-FFF2-40B4-BE49-F238E27FC236}">
                  <a16:creationId xmlns:a16="http://schemas.microsoft.com/office/drawing/2014/main" id="{70D67329-A6BA-E84C-8118-513E139BBC68}"/>
                </a:ext>
              </a:extLst>
            </xdr:cNvPr>
            <xdr:cNvSpPr txBox="1"/>
          </xdr:nvSpPr>
          <xdr:spPr>
            <a:xfrm>
              <a:off x="13413596" y="611314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3A8C3EE1-08BA-AD4E-B30E-710969407E9E}"/>
            </a:ext>
          </a:extLst>
        </xdr:cNvPr>
        <xdr:cNvCxnSpPr/>
      </xdr:nvCxnSpPr>
      <xdr:spPr>
        <a:xfrm flipH="1">
          <a:off x="9039469" y="608432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0DEBFBC2-8872-F844-A714-927DD2620E84}"/>
            </a:ext>
          </a:extLst>
        </xdr:cNvPr>
        <xdr:cNvCxnSpPr/>
      </xdr:nvCxnSpPr>
      <xdr:spPr>
        <a:xfrm flipH="1">
          <a:off x="10265207" y="608246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DDCB4A44-0A76-D34F-8139-1408CA046281}"/>
            </a:ext>
          </a:extLst>
        </xdr:cNvPr>
        <xdr:cNvCxnSpPr/>
      </xdr:nvCxnSpPr>
      <xdr:spPr>
        <a:xfrm>
          <a:off x="11412903" y="608310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165FDB0C-E2B7-DB4F-9E10-7CB69ADBDE5E}"/>
            </a:ext>
          </a:extLst>
        </xdr:cNvPr>
        <xdr:cNvCxnSpPr/>
      </xdr:nvCxnSpPr>
      <xdr:spPr>
        <a:xfrm>
          <a:off x="12603774" y="608249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xmlns:a14="http://schemas.microsoft.com/office/drawing/2010/main">
      <mc:Choice Requires="a14">
        <xdr:sp macro="" textlink="">
          <xdr:nvSpPr>
            <xdr:cNvPr id="58" name="CasellaDiTesto 25">
              <a:extLst>
                <a:ext uri="{FF2B5EF4-FFF2-40B4-BE49-F238E27FC236}">
                  <a16:creationId xmlns:a16="http://schemas.microsoft.com/office/drawing/2014/main" id="{55C79204-6DEA-424B-8BC0-5F0D6E46895D}"/>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mlns="">
        <xdr:sp macro="" textlink="">
          <xdr:nvSpPr>
            <xdr:cNvPr id="58" name="CasellaDiTesto 25">
              <a:extLst>
                <a:ext uri="{FF2B5EF4-FFF2-40B4-BE49-F238E27FC236}">
                  <a16:creationId xmlns:a16="http://schemas.microsoft.com/office/drawing/2014/main" id="{55C79204-6DEA-424B-8BC0-5F0D6E46895D}"/>
                </a:ext>
              </a:extLst>
            </xdr:cNvPr>
            <xdr:cNvSpPr txBox="1"/>
          </xdr:nvSpPr>
          <xdr:spPr>
            <a:xfrm>
              <a:off x="7294032" y="608838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2EED667C-CB49-2D4D-B7E6-C1E2199A92DD}"/>
            </a:ext>
          </a:extLst>
        </xdr:cNvPr>
        <xdr:cNvCxnSpPr>
          <a:endCxn id="50" idx="0"/>
        </xdr:cNvCxnSpPr>
      </xdr:nvCxnSpPr>
      <xdr:spPr>
        <a:xfrm>
          <a:off x="8301567" y="609769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FC53BE02-74DE-9040-8711-9BF127DD4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93F95FAB-E2F2-F14D-8932-FC9991580C23}"/>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mlns="">
        <xdr:sp macro="" textlink="">
          <xdr:nvSpPr>
            <xdr:cNvPr id="61" name="TextBox 60">
              <a:extLst>
                <a:ext uri="{FF2B5EF4-FFF2-40B4-BE49-F238E27FC236}">
                  <a16:creationId xmlns:a16="http://schemas.microsoft.com/office/drawing/2014/main" id="{93F95FAB-E2F2-F14D-8932-FC9991580C23}"/>
                </a:ext>
              </a:extLst>
            </xdr:cNvPr>
            <xdr:cNvSpPr txBox="1"/>
          </xdr:nvSpPr>
          <xdr:spPr>
            <a:xfrm>
              <a:off x="12745850" y="617237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4</xdr:col>
      <xdr:colOff>628586</xdr:colOff>
      <xdr:row>173</xdr:row>
      <xdr:rowOff>89798</xdr:rowOff>
    </xdr:from>
    <xdr:to>
      <xdr:col>7</xdr:col>
      <xdr:colOff>141111</xdr:colOff>
      <xdr:row>179</xdr:row>
      <xdr:rowOff>179595</xdr:rowOff>
    </xdr:to>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8B56A2E1-EF41-5F4C-8054-C61BCD3F14DC}"/>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i="1" baseline="0">
                        <a:solidFill>
                          <a:srgbClr val="FF0000"/>
                        </a:solidFill>
                        <a:latin typeface="Cambria Math" panose="02040503050406030204" pitchFamily="18" charset="0"/>
                      </a:rPr>
                      <m:t>2</m:t>
                    </m:r>
                    <m:r>
                      <m:rPr>
                        <m:sty m:val="p"/>
                      </m:rPr>
                      <a:rPr lang="en-US" sz="1600" i="1" baseline="0">
                        <a:solidFill>
                          <a:srgbClr val="FF0000"/>
                        </a:solidFill>
                        <a:latin typeface="Cambria Math" panose="02040503050406030204" pitchFamily="18" charset="0"/>
                      </a:rPr>
                      <m:t>S</m:t>
                    </m:r>
                    <m:r>
                      <a:rPr lang="en-US" sz="1600" i="1" baseline="0">
                        <a:solidFill>
                          <a:srgbClr val="FF0000"/>
                        </a:solidFill>
                        <a:latin typeface="Cambria Math" panose="02040503050406030204" pitchFamily="18" charset="0"/>
                      </a:rPr>
                      <m:t> + 1 = 1 +1 =2</m:t>
                    </m:r>
                  </m:oMath>
                </m:oMathPara>
              </a14:m>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Choice>
      <mc:Fallback xmlns="">
        <xdr:sp macro="" textlink="">
          <xdr:nvSpPr>
            <xdr:cNvPr id="62" name="TextBox 61">
              <a:extLst>
                <a:ext uri="{FF2B5EF4-FFF2-40B4-BE49-F238E27FC236}">
                  <a16:creationId xmlns:a16="http://schemas.microsoft.com/office/drawing/2014/main" id="{8B56A2E1-EF41-5F4C-8054-C61BCD3F14DC}"/>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r>
                <a:rPr lang="en-US" sz="1600" i="0" baseline="0">
                  <a:solidFill>
                    <a:srgbClr val="FF0000"/>
                  </a:solidFill>
                  <a:latin typeface="Cambria Math" panose="02040503050406030204" pitchFamily="18" charset="0"/>
                </a:rPr>
                <a:t>2S + 1 = 1 +1 =2</a:t>
              </a:r>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Fallback>
    </mc:AlternateContent>
    <xdr:clientData/>
  </xdr:twoCellAnchor>
  <xdr:twoCellAnchor>
    <xdr:from>
      <xdr:col>16</xdr:col>
      <xdr:colOff>1577878</xdr:colOff>
      <xdr:row>55</xdr:row>
      <xdr:rowOff>0</xdr:rowOff>
    </xdr:from>
    <xdr:to>
      <xdr:col>17</xdr:col>
      <xdr:colOff>1039091</xdr:colOff>
      <xdr:row>195</xdr:row>
      <xdr:rowOff>153939</xdr:rowOff>
    </xdr:to>
    <xdr:sp macro="" textlink="">
      <xdr:nvSpPr>
        <xdr:cNvPr id="63" name="Right Brace 62">
          <a:extLst>
            <a:ext uri="{FF2B5EF4-FFF2-40B4-BE49-F238E27FC236}">
              <a16:creationId xmlns:a16="http://schemas.microsoft.com/office/drawing/2014/main" id="{2904139F-B97D-AF40-B899-7B97DA1CFF48}"/>
            </a:ext>
          </a:extLst>
        </xdr:cNvPr>
        <xdr:cNvSpPr/>
      </xdr:nvSpPr>
      <xdr:spPr>
        <a:xfrm>
          <a:off x="20996178" y="14897100"/>
          <a:ext cx="1061413" cy="348884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23</xdr:col>
      <xdr:colOff>359975</xdr:colOff>
      <xdr:row>92</xdr:row>
      <xdr:rowOff>168476</xdr:rowOff>
    </xdr:from>
    <xdr:to>
      <xdr:col>25</xdr:col>
      <xdr:colOff>520551</xdr:colOff>
      <xdr:row>92</xdr:row>
      <xdr:rowOff>183073</xdr:rowOff>
    </xdr:to>
    <xdr:cxnSp macro="">
      <xdr:nvCxnSpPr>
        <xdr:cNvPr id="64" name="Straight Arrow Connector 63">
          <a:extLst>
            <a:ext uri="{FF2B5EF4-FFF2-40B4-BE49-F238E27FC236}">
              <a16:creationId xmlns:a16="http://schemas.microsoft.com/office/drawing/2014/main" id="{21659DBF-72F7-794A-A129-71BEB8302D10}"/>
            </a:ext>
          </a:extLst>
        </xdr:cNvPr>
        <xdr:cNvCxnSpPr/>
      </xdr:nvCxnSpPr>
      <xdr:spPr>
        <a:xfrm>
          <a:off x="28084075" y="24069876"/>
          <a:ext cx="22814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25</xdr:col>
      <xdr:colOff>708890</xdr:colOff>
      <xdr:row>91</xdr:row>
      <xdr:rowOff>229753</xdr:rowOff>
    </xdr:from>
    <xdr:ext cx="3999878" cy="315856"/>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61765B37-27C2-4740-9812-20A55EDF9417}"/>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mlns="">
        <xdr:sp macro="" textlink="">
          <xdr:nvSpPr>
            <xdr:cNvPr id="65" name="TextBox 64">
              <a:extLst>
                <a:ext uri="{FF2B5EF4-FFF2-40B4-BE49-F238E27FC236}">
                  <a16:creationId xmlns:a16="http://schemas.microsoft.com/office/drawing/2014/main" id="{61765B37-27C2-4740-9812-20A55EDF9417}"/>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20</xdr:col>
      <xdr:colOff>856511</xdr:colOff>
      <xdr:row>96</xdr:row>
      <xdr:rowOff>14766</xdr:rowOff>
    </xdr:from>
    <xdr:to>
      <xdr:col>25</xdr:col>
      <xdr:colOff>782674</xdr:colOff>
      <xdr:row>99</xdr:row>
      <xdr:rowOff>132906</xdr:rowOff>
    </xdr:to>
    <xdr:sp macro="" textlink="">
      <xdr:nvSpPr>
        <xdr:cNvPr id="66" name="TextBox 65">
          <a:extLst>
            <a:ext uri="{FF2B5EF4-FFF2-40B4-BE49-F238E27FC236}">
              <a16:creationId xmlns:a16="http://schemas.microsoft.com/office/drawing/2014/main" id="{CD2939B5-2B62-1F47-8C7A-EE3EC69FF0C3}"/>
            </a:ext>
          </a:extLst>
        </xdr:cNvPr>
        <xdr:cNvSpPr txBox="1"/>
      </xdr:nvSpPr>
      <xdr:spPr>
        <a:xfrm>
          <a:off x="25050011" y="25008366"/>
          <a:ext cx="55776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27</xdr:col>
      <xdr:colOff>831850</xdr:colOff>
      <xdr:row>110</xdr:row>
      <xdr:rowOff>133349</xdr:rowOff>
    </xdr:from>
    <xdr:to>
      <xdr:col>33</xdr:col>
      <xdr:colOff>756596</xdr:colOff>
      <xdr:row>125</xdr:row>
      <xdr:rowOff>189148</xdr:rowOff>
    </xdr:to>
    <xdr:graphicFrame macro="">
      <xdr:nvGraphicFramePr>
        <xdr:cNvPr id="67" name="Chart 66">
          <a:extLst>
            <a:ext uri="{FF2B5EF4-FFF2-40B4-BE49-F238E27FC236}">
              <a16:creationId xmlns:a16="http://schemas.microsoft.com/office/drawing/2014/main" id="{B44710DD-7B47-BE44-A7D3-9A96917DA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68" name="Straight Arrow Connector 67">
          <a:extLst>
            <a:ext uri="{FF2B5EF4-FFF2-40B4-BE49-F238E27FC236}">
              <a16:creationId xmlns:a16="http://schemas.microsoft.com/office/drawing/2014/main" id="{4FF3D7B8-D2FF-A844-9DD2-31AA7537F2DE}"/>
            </a:ext>
          </a:extLst>
        </xdr:cNvPr>
        <xdr:cNvCxnSpPr/>
      </xdr:nvCxnSpPr>
      <xdr:spPr>
        <a:xfrm>
          <a:off x="5909875" y="239682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xmlns:a14="http://schemas.microsoft.com/office/drawing/2010/main">
      <mc:Choice Requires="a14">
        <xdr:sp macro="" textlink="">
          <xdr:nvSpPr>
            <xdr:cNvPr id="69" name="TextBox 68">
              <a:extLst>
                <a:ext uri="{FF2B5EF4-FFF2-40B4-BE49-F238E27FC236}">
                  <a16:creationId xmlns:a16="http://schemas.microsoft.com/office/drawing/2014/main" id="{037081F8-0771-5846-9E4F-C97E30CA8AC4}"/>
                </a:ext>
              </a:extLst>
            </xdr:cNvPr>
            <xdr:cNvSpPr txBox="1"/>
          </xdr:nvSpPr>
          <xdr:spPr>
            <a:xfrm>
              <a:off x="8900938" y="235116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mlns="">
        <xdr:sp macro="" textlink="">
          <xdr:nvSpPr>
            <xdr:cNvPr id="69" name="TextBox 68">
              <a:extLst>
                <a:ext uri="{FF2B5EF4-FFF2-40B4-BE49-F238E27FC236}">
                  <a16:creationId xmlns:a16="http://schemas.microsoft.com/office/drawing/2014/main" id="{037081F8-0771-5846-9E4F-C97E30CA8AC4}"/>
                </a:ext>
              </a:extLst>
            </xdr:cNvPr>
            <xdr:cNvSpPr txBox="1"/>
          </xdr:nvSpPr>
          <xdr:spPr>
            <a:xfrm>
              <a:off x="8900938" y="235116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70" name="Rectangle 69">
          <a:extLst>
            <a:ext uri="{FF2B5EF4-FFF2-40B4-BE49-F238E27FC236}">
              <a16:creationId xmlns:a16="http://schemas.microsoft.com/office/drawing/2014/main" id="{72BEE691-0323-574D-86E5-9C4E437E3E7C}"/>
            </a:ext>
          </a:extLst>
        </xdr:cNvPr>
        <xdr:cNvSpPr/>
      </xdr:nvSpPr>
      <xdr:spPr>
        <a:xfrm>
          <a:off x="11431081" y="233803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oneCellAnchor>
    <xdr:from>
      <xdr:col>13</xdr:col>
      <xdr:colOff>372629</xdr:colOff>
      <xdr:row>92</xdr:row>
      <xdr:rowOff>95826</xdr:rowOff>
    </xdr:from>
    <xdr:ext cx="1488997" cy="778931"/>
    <mc:AlternateContent xmlns:mc="http://schemas.openxmlformats.org/markup-compatibility/2006" xmlns:a14="http://schemas.microsoft.com/office/drawing/2010/main">
      <mc:Choice Requires="a14">
        <xdr:sp macro="" textlink="">
          <xdr:nvSpPr>
            <xdr:cNvPr id="72" name="TextBox 71">
              <a:extLst>
                <a:ext uri="{FF2B5EF4-FFF2-40B4-BE49-F238E27FC236}">
                  <a16:creationId xmlns:a16="http://schemas.microsoft.com/office/drawing/2014/main" id="{9CE72F9B-6C9A-7C4A-AB43-14BEF795614B}"/>
                </a:ext>
              </a:extLst>
            </xdr:cNvPr>
            <xdr:cNvSpPr txBox="1"/>
          </xdr:nvSpPr>
          <xdr:spPr>
            <a:xfrm>
              <a:off x="165778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mlns="">
        <xdr:sp macro="" textlink="">
          <xdr:nvSpPr>
            <xdr:cNvPr id="72" name="TextBox 71">
              <a:extLst>
                <a:ext uri="{FF2B5EF4-FFF2-40B4-BE49-F238E27FC236}">
                  <a16:creationId xmlns:a16="http://schemas.microsoft.com/office/drawing/2014/main" id="{9CE72F9B-6C9A-7C4A-AB43-14BEF795614B}"/>
                </a:ext>
              </a:extLst>
            </xdr:cNvPr>
            <xdr:cNvSpPr txBox="1"/>
          </xdr:nvSpPr>
          <xdr:spPr>
            <a:xfrm>
              <a:off x="165778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933B8586-C55A-3D4A-836C-752D9319F897}"/>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DA5DD1EF-99C2-334C-BFC2-990B170627F2}"/>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783802A-C2C5-A945-B1FC-0D8533005485}"/>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mlns="">
        <xdr:sp macro="" textlink="">
          <xdr:nvSpPr>
            <xdr:cNvPr id="4" name="TextBox 3">
              <a:extLst>
                <a:ext uri="{FF2B5EF4-FFF2-40B4-BE49-F238E27FC236}">
                  <a16:creationId xmlns:a16="http://schemas.microsoft.com/office/drawing/2014/main" id="{0783802A-C2C5-A945-B1FC-0D8533005485}"/>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7306B357-55E7-6B41-8128-3118CCDEC905}"/>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mlns="">
        <xdr:sp macro="" textlink="">
          <xdr:nvSpPr>
            <xdr:cNvPr id="5" name="TextBox 4">
              <a:extLst>
                <a:ext uri="{FF2B5EF4-FFF2-40B4-BE49-F238E27FC236}">
                  <a16:creationId xmlns:a16="http://schemas.microsoft.com/office/drawing/2014/main" id="{7306B357-55E7-6B41-8128-3118CCDEC905}"/>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EAFC1B6E-1533-9246-8E5F-2E5F095B75A7}"/>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53</xdr:row>
      <xdr:rowOff>179868</xdr:rowOff>
    </xdr:from>
    <xdr:ext cx="2143857" cy="608821"/>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221416F1-654D-9F44-801B-456066AF3674}"/>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mlns="">
        <xdr:sp macro="" textlink="">
          <xdr:nvSpPr>
            <xdr:cNvPr id="7" name="TextBox 6">
              <a:extLst>
                <a:ext uri="{FF2B5EF4-FFF2-40B4-BE49-F238E27FC236}">
                  <a16:creationId xmlns:a16="http://schemas.microsoft.com/office/drawing/2014/main" id="{221416F1-654D-9F44-801B-456066AF3674}"/>
                </a:ext>
              </a:extLst>
            </xdr:cNvPr>
            <xdr:cNvSpPr txBox="1"/>
          </xdr:nvSpPr>
          <xdr:spPr>
            <a:xfrm>
              <a:off x="9421430" y="145816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104790</xdr:colOff>
      <xdr:row>56</xdr:row>
      <xdr:rowOff>61497</xdr:rowOff>
    </xdr:from>
    <xdr:ext cx="2729209" cy="608821"/>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4CE3C383-9677-094A-9EB2-29CBA2B5C5BE}"/>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mlns="">
        <xdr:sp macro="" textlink="">
          <xdr:nvSpPr>
            <xdr:cNvPr id="8" name="TextBox 7">
              <a:extLst>
                <a:ext uri="{FF2B5EF4-FFF2-40B4-BE49-F238E27FC236}">
                  <a16:creationId xmlns:a16="http://schemas.microsoft.com/office/drawing/2014/main" id="{4CE3C383-9677-094A-9EB2-29CBA2B5C5BE}"/>
                </a:ext>
              </a:extLst>
            </xdr:cNvPr>
            <xdr:cNvSpPr txBox="1"/>
          </xdr:nvSpPr>
          <xdr:spPr>
            <a:xfrm>
              <a:off x="9401190" y="153014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58</xdr:row>
      <xdr:rowOff>202046</xdr:rowOff>
    </xdr:to>
    <xdr:sp macro="" textlink="">
      <xdr:nvSpPr>
        <xdr:cNvPr id="9" name="Left Brace 8">
          <a:extLst>
            <a:ext uri="{FF2B5EF4-FFF2-40B4-BE49-F238E27FC236}">
              <a16:creationId xmlns:a16="http://schemas.microsoft.com/office/drawing/2014/main" id="{F910DC76-3935-1345-9E55-63BA16E69E81}"/>
            </a:ext>
          </a:extLst>
        </xdr:cNvPr>
        <xdr:cNvSpPr/>
      </xdr:nvSpPr>
      <xdr:spPr>
        <a:xfrm>
          <a:off x="8764154" y="14727959"/>
          <a:ext cx="669348" cy="11966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760147</xdr:colOff>
      <xdr:row>54</xdr:row>
      <xdr:rowOff>185401</xdr:rowOff>
    </xdr:from>
    <xdr:to>
      <xdr:col>14</xdr:col>
      <xdr:colOff>1079500</xdr:colOff>
      <xdr:row>59</xdr:row>
      <xdr:rowOff>83431</xdr:rowOff>
    </xdr:to>
    <mc:AlternateContent xmlns:mc="http://schemas.openxmlformats.org/markup-compatibility/2006" xmlns:a14="http://schemas.microsoft.com/office/drawing/2010/main">
      <mc:Choice Requires="a14">
        <xdr:sp macro="" textlink="">
          <xdr:nvSpPr>
            <xdr:cNvPr id="10" name="Rectangle 9">
              <a:extLst>
                <a:ext uri="{FF2B5EF4-FFF2-40B4-BE49-F238E27FC236}">
                  <a16:creationId xmlns:a16="http://schemas.microsoft.com/office/drawing/2014/main" id="{2E043920-9DAA-A548-BF24-EB3C2D35FC49}"/>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mlns="">
        <xdr:sp macro="" textlink="">
          <xdr:nvSpPr>
            <xdr:cNvPr id="10" name="Rectangle 9">
              <a:extLst>
                <a:ext uri="{FF2B5EF4-FFF2-40B4-BE49-F238E27FC236}">
                  <a16:creationId xmlns:a16="http://schemas.microsoft.com/office/drawing/2014/main" id="{2E043920-9DAA-A548-BF24-EB3C2D35FC49}"/>
                </a:ext>
              </a:extLst>
            </xdr:cNvPr>
            <xdr:cNvSpPr/>
          </xdr:nvSpPr>
          <xdr:spPr>
            <a:xfrm>
              <a:off x="12863247" y="14841201"/>
              <a:ext cx="4726253" cy="12061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AE47E92A-9205-D04B-9F07-1200AE2345AB}"/>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1C323541-B8AC-694D-94ED-28A5685FAEE4}"/>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mlns="">
        <xdr:sp macro="" textlink="">
          <xdr:nvSpPr>
            <xdr:cNvPr id="12" name="TextBox 11">
              <a:extLst>
                <a:ext uri="{FF2B5EF4-FFF2-40B4-BE49-F238E27FC236}">
                  <a16:creationId xmlns:a16="http://schemas.microsoft.com/office/drawing/2014/main" id="{1C323541-B8AC-694D-94ED-28A5685FAEE4}"/>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EB89EFF5-AB4F-664F-A84F-D41DA3F22330}"/>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685934DC-6A8A-BF4F-9DA3-08C3F4507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558800</xdr:colOff>
      <xdr:row>107</xdr:row>
      <xdr:rowOff>228599</xdr:rowOff>
    </xdr:from>
    <xdr:to>
      <xdr:col>16</xdr:col>
      <xdr:colOff>30976</xdr:colOff>
      <xdr:row>124</xdr:row>
      <xdr:rowOff>50800</xdr:rowOff>
    </xdr:to>
    <xdr:graphicFrame macro="">
      <xdr:nvGraphicFramePr>
        <xdr:cNvPr id="15" name="Chart 14">
          <a:extLst>
            <a:ext uri="{FF2B5EF4-FFF2-40B4-BE49-F238E27FC236}">
              <a16:creationId xmlns:a16="http://schemas.microsoft.com/office/drawing/2014/main" id="{570A40A1-A4D3-3F41-89B1-48C7CFCD5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6" name="Straight Arrow Connector 15">
          <a:extLst>
            <a:ext uri="{FF2B5EF4-FFF2-40B4-BE49-F238E27FC236}">
              <a16:creationId xmlns:a16="http://schemas.microsoft.com/office/drawing/2014/main" id="{97762DC2-53CC-2A44-AB5A-D056F6E2B1E3}"/>
            </a:ext>
          </a:extLst>
        </xdr:cNvPr>
        <xdr:cNvCxnSpPr/>
      </xdr:nvCxnSpPr>
      <xdr:spPr>
        <a:xfrm>
          <a:off x="6002428" y="332783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xmlns:a14="http://schemas.microsoft.com/office/drawing/2010/main">
      <mc:Choice Requires="a14">
        <xdr:sp macro="" textlink="">
          <xdr:nvSpPr>
            <xdr:cNvPr id="17" name="TextBox 16">
              <a:extLst>
                <a:ext uri="{FF2B5EF4-FFF2-40B4-BE49-F238E27FC236}">
                  <a16:creationId xmlns:a16="http://schemas.microsoft.com/office/drawing/2014/main" id="{FCF5663F-EE2F-7F4C-921E-EAE9EB8FC259}"/>
                </a:ext>
              </a:extLst>
            </xdr:cNvPr>
            <xdr:cNvSpPr txBox="1"/>
          </xdr:nvSpPr>
          <xdr:spPr>
            <a:xfrm>
              <a:off x="9421430" y="328823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17" name="TextBox 16">
              <a:extLst>
                <a:ext uri="{FF2B5EF4-FFF2-40B4-BE49-F238E27FC236}">
                  <a16:creationId xmlns:a16="http://schemas.microsoft.com/office/drawing/2014/main" id="{FCF5663F-EE2F-7F4C-921E-EAE9EB8FC259}"/>
                </a:ext>
              </a:extLst>
            </xdr:cNvPr>
            <xdr:cNvSpPr txBox="1"/>
          </xdr:nvSpPr>
          <xdr:spPr>
            <a:xfrm>
              <a:off x="9421430" y="328823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18" name="Left Brace 17">
          <a:extLst>
            <a:ext uri="{FF2B5EF4-FFF2-40B4-BE49-F238E27FC236}">
              <a16:creationId xmlns:a16="http://schemas.microsoft.com/office/drawing/2014/main" id="{A65F88E5-BEE8-4442-97CE-DC76680E06C0}"/>
            </a:ext>
          </a:extLst>
        </xdr:cNvPr>
        <xdr:cNvSpPr/>
      </xdr:nvSpPr>
      <xdr:spPr>
        <a:xfrm>
          <a:off x="8764154" y="32977859"/>
          <a:ext cx="669348" cy="12347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128</xdr:row>
      <xdr:rowOff>228600</xdr:rowOff>
    </xdr:to>
    <mc:AlternateContent xmlns:mc="http://schemas.openxmlformats.org/markup-compatibility/2006" xmlns:a14="http://schemas.microsoft.com/office/drawing/2010/main">
      <mc:Choice Requires="a14">
        <xdr:sp macro="" textlink="">
          <xdr:nvSpPr>
            <xdr:cNvPr id="19" name="Rectangle 18">
              <a:extLst>
                <a:ext uri="{FF2B5EF4-FFF2-40B4-BE49-F238E27FC236}">
                  <a16:creationId xmlns:a16="http://schemas.microsoft.com/office/drawing/2014/main" id="{834E9B5A-3390-F143-A824-A2172AF7EB6E}"/>
                </a:ext>
              </a:extLst>
            </xdr:cNvPr>
            <xdr:cNvSpPr/>
          </xdr:nvSpPr>
          <xdr:spPr>
            <a:xfrm>
              <a:off x="12521680" y="32885535"/>
              <a:ext cx="4726253" cy="8329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a:t>
              </a:r>
              <a:endParaRPr lang="en-US" sz="1100" b="0"/>
            </a:p>
          </xdr:txBody>
        </xdr:sp>
      </mc:Choice>
      <mc:Fallback xmlns="">
        <xdr:sp macro="" textlink="">
          <xdr:nvSpPr>
            <xdr:cNvPr id="19" name="Rectangle 18">
              <a:extLst>
                <a:ext uri="{FF2B5EF4-FFF2-40B4-BE49-F238E27FC236}">
                  <a16:creationId xmlns:a16="http://schemas.microsoft.com/office/drawing/2014/main" id="{834E9B5A-3390-F143-A824-A2172AF7EB6E}"/>
                </a:ext>
              </a:extLst>
            </xdr:cNvPr>
            <xdr:cNvSpPr/>
          </xdr:nvSpPr>
          <xdr:spPr>
            <a:xfrm>
              <a:off x="12521680" y="32885535"/>
              <a:ext cx="4726253" cy="8329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10575966-0417-8B46-8D3F-EC1ED2918669}"/>
                </a:ext>
              </a:extLst>
            </xdr:cNvPr>
            <xdr:cNvSpPr txBox="1"/>
          </xdr:nvSpPr>
          <xdr:spPr>
            <a:xfrm>
              <a:off x="9358575" y="335853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mlns="">
        <xdr:sp macro="" textlink="">
          <xdr:nvSpPr>
            <xdr:cNvPr id="20" name="TextBox 19">
              <a:extLst>
                <a:ext uri="{FF2B5EF4-FFF2-40B4-BE49-F238E27FC236}">
                  <a16:creationId xmlns:a16="http://schemas.microsoft.com/office/drawing/2014/main" id="{10575966-0417-8B46-8D3F-EC1ED2918669}"/>
                </a:ext>
              </a:extLst>
            </xdr:cNvPr>
            <xdr:cNvSpPr txBox="1"/>
          </xdr:nvSpPr>
          <xdr:spPr>
            <a:xfrm>
              <a:off x="9358575" y="335853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6</xdr:col>
      <xdr:colOff>1168399</xdr:colOff>
      <xdr:row>125</xdr:row>
      <xdr:rowOff>50800</xdr:rowOff>
    </xdr:from>
    <xdr:to>
      <xdr:col>9</xdr:col>
      <xdr:colOff>266700</xdr:colOff>
      <xdr:row>128</xdr:row>
      <xdr:rowOff>50800</xdr:rowOff>
    </xdr:to>
    <xdr:sp macro="" textlink="">
      <xdr:nvSpPr>
        <xdr:cNvPr id="21" name="Rounded Rectangle 20">
          <a:extLst>
            <a:ext uri="{FF2B5EF4-FFF2-40B4-BE49-F238E27FC236}">
              <a16:creationId xmlns:a16="http://schemas.microsoft.com/office/drawing/2014/main" id="{DC0B56C8-A830-294F-9EF4-E155C5441D66}"/>
            </a:ext>
          </a:extLst>
        </xdr:cNvPr>
        <xdr:cNvSpPr/>
      </xdr:nvSpPr>
      <xdr:spPr>
        <a:xfrm>
          <a:off x="9182099" y="32753300"/>
          <a:ext cx="2070101"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2" name="Chart 21">
          <a:extLst>
            <a:ext uri="{FF2B5EF4-FFF2-40B4-BE49-F238E27FC236}">
              <a16:creationId xmlns:a16="http://schemas.microsoft.com/office/drawing/2014/main" id="{D0A74A1A-0A70-E246-9BED-611132177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3" name="TextBox 22">
          <a:extLst>
            <a:ext uri="{FF2B5EF4-FFF2-40B4-BE49-F238E27FC236}">
              <a16:creationId xmlns:a16="http://schemas.microsoft.com/office/drawing/2014/main" id="{7E69ADA7-4F0A-9243-9EFF-C56470029A48}"/>
            </a:ext>
          </a:extLst>
        </xdr:cNvPr>
        <xdr:cNvSpPr txBox="1"/>
      </xdr:nvSpPr>
      <xdr:spPr>
        <a:xfrm>
          <a:off x="11731458" y="405769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4" name="Straight Arrow Connector 23">
          <a:extLst>
            <a:ext uri="{FF2B5EF4-FFF2-40B4-BE49-F238E27FC236}">
              <a16:creationId xmlns:a16="http://schemas.microsoft.com/office/drawing/2014/main" id="{CAF26618-BA6A-9849-BAFD-8208A95FB3D3}"/>
            </a:ext>
          </a:extLst>
        </xdr:cNvPr>
        <xdr:cNvCxnSpPr/>
      </xdr:nvCxnSpPr>
      <xdr:spPr>
        <a:xfrm>
          <a:off x="6002428" y="421683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E951485A-B691-FD4E-930B-4F5F1BF6BC1E}"/>
                </a:ext>
              </a:extLst>
            </xdr:cNvPr>
            <xdr:cNvSpPr txBox="1"/>
          </xdr:nvSpPr>
          <xdr:spPr>
            <a:xfrm>
              <a:off x="9506096" y="417935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mlns="">
        <xdr:sp macro="" textlink="">
          <xdr:nvSpPr>
            <xdr:cNvPr id="25" name="TextBox 24">
              <a:extLst>
                <a:ext uri="{FF2B5EF4-FFF2-40B4-BE49-F238E27FC236}">
                  <a16:creationId xmlns:a16="http://schemas.microsoft.com/office/drawing/2014/main" id="{E951485A-B691-FD4E-930B-4F5F1BF6BC1E}"/>
                </a:ext>
              </a:extLst>
            </xdr:cNvPr>
            <xdr:cNvSpPr txBox="1"/>
          </xdr:nvSpPr>
          <xdr:spPr>
            <a:xfrm>
              <a:off x="9506096" y="417935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26" name="Rectangle 25">
          <a:extLst>
            <a:ext uri="{FF2B5EF4-FFF2-40B4-BE49-F238E27FC236}">
              <a16:creationId xmlns:a16="http://schemas.microsoft.com/office/drawing/2014/main" id="{3AEB6480-9D72-2141-AA98-3B218410B9B3}"/>
            </a:ext>
          </a:extLst>
        </xdr:cNvPr>
        <xdr:cNvSpPr/>
      </xdr:nvSpPr>
      <xdr:spPr>
        <a:xfrm>
          <a:off x="12846314" y="418710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27" name="Curved Connector 26">
          <a:extLst>
            <a:ext uri="{FF2B5EF4-FFF2-40B4-BE49-F238E27FC236}">
              <a16:creationId xmlns:a16="http://schemas.microsoft.com/office/drawing/2014/main" id="{22D6EF58-F6EA-0841-910D-9794C5EFD237}"/>
            </a:ext>
          </a:extLst>
        </xdr:cNvPr>
        <xdr:cNvCxnSpPr/>
      </xdr:nvCxnSpPr>
      <xdr:spPr>
        <a:xfrm flipV="1">
          <a:off x="11697138" y="421929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xmlns:a14="http://schemas.microsoft.com/office/drawing/2010/main">
      <mc:Choice Requires="a14">
        <xdr:sp macro="" textlink="">
          <xdr:nvSpPr>
            <xdr:cNvPr id="28" name="TextBox 27">
              <a:extLst>
                <a:ext uri="{FF2B5EF4-FFF2-40B4-BE49-F238E27FC236}">
                  <a16:creationId xmlns:a16="http://schemas.microsoft.com/office/drawing/2014/main" id="{E672E334-0D65-6444-827B-155A6CCE361D}"/>
                </a:ext>
              </a:extLst>
            </xdr:cNvPr>
            <xdr:cNvSpPr txBox="1"/>
          </xdr:nvSpPr>
          <xdr:spPr>
            <a:xfrm>
              <a:off x="13635567" y="432646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mlns="">
        <xdr:sp macro="" textlink="">
          <xdr:nvSpPr>
            <xdr:cNvPr id="28" name="TextBox 27">
              <a:extLst>
                <a:ext uri="{FF2B5EF4-FFF2-40B4-BE49-F238E27FC236}">
                  <a16:creationId xmlns:a16="http://schemas.microsoft.com/office/drawing/2014/main" id="{E672E334-0D65-6444-827B-155A6CCE361D}"/>
                </a:ext>
              </a:extLst>
            </xdr:cNvPr>
            <xdr:cNvSpPr txBox="1"/>
          </xdr:nvSpPr>
          <xdr:spPr>
            <a:xfrm>
              <a:off x="13635567" y="432646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810879</xdr:colOff>
      <xdr:row>54</xdr:row>
      <xdr:rowOff>177230</xdr:rowOff>
    </xdr:from>
    <xdr:to>
      <xdr:col>10</xdr:col>
      <xdr:colOff>813725</xdr:colOff>
      <xdr:row>55</xdr:row>
      <xdr:rowOff>101443</xdr:rowOff>
    </xdr:to>
    <xdr:cxnSp macro="">
      <xdr:nvCxnSpPr>
        <xdr:cNvPr id="29" name="Curved Connector 28">
          <a:extLst>
            <a:ext uri="{FF2B5EF4-FFF2-40B4-BE49-F238E27FC236}">
              <a16:creationId xmlns:a16="http://schemas.microsoft.com/office/drawing/2014/main" id="{7F839A12-C359-1845-B813-0D2FF1D18D18}"/>
            </a:ext>
          </a:extLst>
        </xdr:cNvPr>
        <xdr:cNvCxnSpPr/>
      </xdr:nvCxnSpPr>
      <xdr:spPr>
        <a:xfrm>
          <a:off x="11796379" y="14833030"/>
          <a:ext cx="1120446" cy="165513"/>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0" name="Curved Connector 29">
          <a:extLst>
            <a:ext uri="{FF2B5EF4-FFF2-40B4-BE49-F238E27FC236}">
              <a16:creationId xmlns:a16="http://schemas.microsoft.com/office/drawing/2014/main" id="{911DF74F-3335-C24A-82F3-C0D20FF21577}"/>
            </a:ext>
          </a:extLst>
        </xdr:cNvPr>
        <xdr:cNvCxnSpPr>
          <a:endCxn id="28" idx="1"/>
        </xdr:cNvCxnSpPr>
      </xdr:nvCxnSpPr>
      <xdr:spPr>
        <a:xfrm rot="16200000" flipH="1">
          <a:off x="13281448" y="431531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xmlns:a14="http://schemas.microsoft.com/office/drawing/2010/main">
      <mc:Choice Requires="a14">
        <xdr:sp macro="" textlink="">
          <xdr:nvSpPr>
            <xdr:cNvPr id="31" name="TextBox 30">
              <a:extLst>
                <a:ext uri="{FF2B5EF4-FFF2-40B4-BE49-F238E27FC236}">
                  <a16:creationId xmlns:a16="http://schemas.microsoft.com/office/drawing/2014/main" id="{77FF37C3-ACA3-8245-A6F4-4D3D1CA6AF64}"/>
                </a:ext>
              </a:extLst>
            </xdr:cNvPr>
            <xdr:cNvSpPr txBox="1"/>
          </xdr:nvSpPr>
          <xdr:spPr>
            <a:xfrm>
              <a:off x="10195473" y="425248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mlns="">
        <xdr:sp macro="" textlink="">
          <xdr:nvSpPr>
            <xdr:cNvPr id="31" name="TextBox 30">
              <a:extLst>
                <a:ext uri="{FF2B5EF4-FFF2-40B4-BE49-F238E27FC236}">
                  <a16:creationId xmlns:a16="http://schemas.microsoft.com/office/drawing/2014/main" id="{77FF37C3-ACA3-8245-A6F4-4D3D1CA6AF64}"/>
                </a:ext>
              </a:extLst>
            </xdr:cNvPr>
            <xdr:cNvSpPr txBox="1"/>
          </xdr:nvSpPr>
          <xdr:spPr>
            <a:xfrm>
              <a:off x="10195473" y="425248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2" name="Chart 31">
          <a:extLst>
            <a:ext uri="{FF2B5EF4-FFF2-40B4-BE49-F238E27FC236}">
              <a16:creationId xmlns:a16="http://schemas.microsoft.com/office/drawing/2014/main" id="{27091025-A08C-124F-A901-94DDAE13F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3" name="Straight Arrow Connector 32">
          <a:extLst>
            <a:ext uri="{FF2B5EF4-FFF2-40B4-BE49-F238E27FC236}">
              <a16:creationId xmlns:a16="http://schemas.microsoft.com/office/drawing/2014/main" id="{2DFE423A-124D-374E-B553-3D352FA638B5}"/>
            </a:ext>
          </a:extLst>
        </xdr:cNvPr>
        <xdr:cNvCxnSpPr/>
      </xdr:nvCxnSpPr>
      <xdr:spPr>
        <a:xfrm>
          <a:off x="6002428" y="508678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id="{FEC82B2A-B715-F840-8D44-5B4BC162F99D}"/>
                </a:ext>
              </a:extLst>
            </xdr:cNvPr>
            <xdr:cNvSpPr txBox="1"/>
          </xdr:nvSpPr>
          <xdr:spPr>
            <a:xfrm>
              <a:off x="8659887" y="514845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34" name="TextBox 33">
              <a:extLst>
                <a:ext uri="{FF2B5EF4-FFF2-40B4-BE49-F238E27FC236}">
                  <a16:creationId xmlns:a16="http://schemas.microsoft.com/office/drawing/2014/main" id="{FEC82B2A-B715-F840-8D44-5B4BC162F99D}"/>
                </a:ext>
              </a:extLst>
            </xdr:cNvPr>
            <xdr:cNvSpPr txBox="1"/>
          </xdr:nvSpPr>
          <xdr:spPr>
            <a:xfrm>
              <a:off x="8659887" y="514845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id="{80A7A46B-5B1E-C74B-A71B-2BBCCA5A6499}"/>
                </a:ext>
              </a:extLst>
            </xdr:cNvPr>
            <xdr:cNvSpPr txBox="1"/>
          </xdr:nvSpPr>
          <xdr:spPr>
            <a:xfrm>
              <a:off x="9186937" y="519946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mlns="">
        <xdr:sp macro="" textlink="">
          <xdr:nvSpPr>
            <xdr:cNvPr id="35" name="TextBox 34">
              <a:extLst>
                <a:ext uri="{FF2B5EF4-FFF2-40B4-BE49-F238E27FC236}">
                  <a16:creationId xmlns:a16="http://schemas.microsoft.com/office/drawing/2014/main" id="{80A7A46B-5B1E-C74B-A71B-2BBCCA5A6499}"/>
                </a:ext>
              </a:extLst>
            </xdr:cNvPr>
            <xdr:cNvSpPr txBox="1"/>
          </xdr:nvSpPr>
          <xdr:spPr>
            <a:xfrm>
              <a:off x="9186937" y="519946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36" name="TextBox 35">
          <a:extLst>
            <a:ext uri="{FF2B5EF4-FFF2-40B4-BE49-F238E27FC236}">
              <a16:creationId xmlns:a16="http://schemas.microsoft.com/office/drawing/2014/main" id="{46443A5E-2BA0-E94E-A687-914C90939ABC}"/>
            </a:ext>
          </a:extLst>
        </xdr:cNvPr>
        <xdr:cNvSpPr txBox="1"/>
      </xdr:nvSpPr>
      <xdr:spPr>
        <a:xfrm>
          <a:off x="13413596" y="514413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37" name="Straight Arrow Connector 36">
          <a:extLst>
            <a:ext uri="{FF2B5EF4-FFF2-40B4-BE49-F238E27FC236}">
              <a16:creationId xmlns:a16="http://schemas.microsoft.com/office/drawing/2014/main" id="{3E87FCB6-16BA-7542-A7E4-8BDD9805A86A}"/>
            </a:ext>
          </a:extLst>
        </xdr:cNvPr>
        <xdr:cNvCxnSpPr/>
      </xdr:nvCxnSpPr>
      <xdr:spPr>
        <a:xfrm flipH="1">
          <a:off x="9039469" y="511531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38" name="Straight Arrow Connector 37">
          <a:extLst>
            <a:ext uri="{FF2B5EF4-FFF2-40B4-BE49-F238E27FC236}">
              <a16:creationId xmlns:a16="http://schemas.microsoft.com/office/drawing/2014/main" id="{43555C8A-1610-D64C-852C-4D111C66CC7A}"/>
            </a:ext>
          </a:extLst>
        </xdr:cNvPr>
        <xdr:cNvCxnSpPr/>
      </xdr:nvCxnSpPr>
      <xdr:spPr>
        <a:xfrm flipH="1">
          <a:off x="10337800" y="511345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39" name="Straight Arrow Connector 38">
          <a:extLst>
            <a:ext uri="{FF2B5EF4-FFF2-40B4-BE49-F238E27FC236}">
              <a16:creationId xmlns:a16="http://schemas.microsoft.com/office/drawing/2014/main" id="{E7A93B3E-B8AC-5D47-A958-0EC96F8FD6C8}"/>
            </a:ext>
          </a:extLst>
        </xdr:cNvPr>
        <xdr:cNvCxnSpPr/>
      </xdr:nvCxnSpPr>
      <xdr:spPr>
        <a:xfrm>
          <a:off x="11412903" y="511409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0" name="Straight Arrow Connector 39">
          <a:extLst>
            <a:ext uri="{FF2B5EF4-FFF2-40B4-BE49-F238E27FC236}">
              <a16:creationId xmlns:a16="http://schemas.microsoft.com/office/drawing/2014/main" id="{0C18286A-0C27-554D-BBA7-402B1B03AF4D}"/>
            </a:ext>
          </a:extLst>
        </xdr:cNvPr>
        <xdr:cNvCxnSpPr/>
      </xdr:nvCxnSpPr>
      <xdr:spPr>
        <a:xfrm>
          <a:off x="12603774" y="511348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1" name="Rectangle 40">
          <a:extLst>
            <a:ext uri="{FF2B5EF4-FFF2-40B4-BE49-F238E27FC236}">
              <a16:creationId xmlns:a16="http://schemas.microsoft.com/office/drawing/2014/main" id="{66429787-44B0-F84C-9505-3D26B337ABA6}"/>
            </a:ext>
          </a:extLst>
        </xdr:cNvPr>
        <xdr:cNvSpPr/>
      </xdr:nvSpPr>
      <xdr:spPr>
        <a:xfrm>
          <a:off x="13967461" y="509701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2" name="Chart 41">
          <a:extLst>
            <a:ext uri="{FF2B5EF4-FFF2-40B4-BE49-F238E27FC236}">
              <a16:creationId xmlns:a16="http://schemas.microsoft.com/office/drawing/2014/main" id="{13142443-F5FF-4044-ABE2-0A5D16F87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3" name="Straight Arrow Connector 42">
          <a:extLst>
            <a:ext uri="{FF2B5EF4-FFF2-40B4-BE49-F238E27FC236}">
              <a16:creationId xmlns:a16="http://schemas.microsoft.com/office/drawing/2014/main" id="{940B0C40-9498-6043-9D4B-05ED34D2CDE6}"/>
            </a:ext>
          </a:extLst>
        </xdr:cNvPr>
        <xdr:cNvCxnSpPr/>
      </xdr:nvCxnSpPr>
      <xdr:spPr>
        <a:xfrm>
          <a:off x="6002428" y="6078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xmlns:a14="http://schemas.microsoft.com/office/drawing/2010/main">
      <mc:Choice Requires="a14">
        <xdr:sp macro="" textlink="">
          <xdr:nvSpPr>
            <xdr:cNvPr id="44" name="TextBox 43">
              <a:extLst>
                <a:ext uri="{FF2B5EF4-FFF2-40B4-BE49-F238E27FC236}">
                  <a16:creationId xmlns:a16="http://schemas.microsoft.com/office/drawing/2014/main" id="{E4BADDD0-EC27-C742-8C42-E350054F540F}"/>
                </a:ext>
              </a:extLst>
            </xdr:cNvPr>
            <xdr:cNvSpPr txBox="1"/>
          </xdr:nvSpPr>
          <xdr:spPr>
            <a:xfrm>
              <a:off x="7988516" y="615224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mlns="">
        <xdr:sp macro="" textlink="">
          <xdr:nvSpPr>
            <xdr:cNvPr id="44" name="TextBox 43">
              <a:extLst>
                <a:ext uri="{FF2B5EF4-FFF2-40B4-BE49-F238E27FC236}">
                  <a16:creationId xmlns:a16="http://schemas.microsoft.com/office/drawing/2014/main" id="{E4BADDD0-EC27-C742-8C42-E350054F540F}"/>
                </a:ext>
              </a:extLst>
            </xdr:cNvPr>
            <xdr:cNvSpPr txBox="1"/>
          </xdr:nvSpPr>
          <xdr:spPr>
            <a:xfrm>
              <a:off x="7988516" y="615224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xmlns:a14="http://schemas.microsoft.com/office/drawing/2010/main">
      <mc:Choice Requires="a14">
        <xdr:sp macro="" textlink="">
          <xdr:nvSpPr>
            <xdr:cNvPr id="45" name="TextBox 44">
              <a:extLst>
                <a:ext uri="{FF2B5EF4-FFF2-40B4-BE49-F238E27FC236}">
                  <a16:creationId xmlns:a16="http://schemas.microsoft.com/office/drawing/2014/main" id="{3944431F-DDAA-8B4D-9AF3-31C0F46CA7DB}"/>
                </a:ext>
              </a:extLst>
            </xdr:cNvPr>
            <xdr:cNvSpPr txBox="1"/>
          </xdr:nvSpPr>
          <xdr:spPr>
            <a:xfrm>
              <a:off x="8984037" y="620885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mlns="">
        <xdr:sp macro="" textlink="">
          <xdr:nvSpPr>
            <xdr:cNvPr id="45" name="TextBox 44">
              <a:extLst>
                <a:ext uri="{FF2B5EF4-FFF2-40B4-BE49-F238E27FC236}">
                  <a16:creationId xmlns:a16="http://schemas.microsoft.com/office/drawing/2014/main" id="{3944431F-DDAA-8B4D-9AF3-31C0F46CA7DB}"/>
                </a:ext>
              </a:extLst>
            </xdr:cNvPr>
            <xdr:cNvSpPr txBox="1"/>
          </xdr:nvSpPr>
          <xdr:spPr>
            <a:xfrm>
              <a:off x="8984037" y="620885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id="{A9CD5411-7226-5644-92B7-5198340492DF}"/>
                </a:ext>
              </a:extLst>
            </xdr:cNvPr>
            <xdr:cNvSpPr txBox="1"/>
          </xdr:nvSpPr>
          <xdr:spPr>
            <a:xfrm>
              <a:off x="12168995" y="618155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mlns="">
        <xdr:sp macro="" textlink="">
          <xdr:nvSpPr>
            <xdr:cNvPr id="46" name="TextBox 45">
              <a:extLst>
                <a:ext uri="{FF2B5EF4-FFF2-40B4-BE49-F238E27FC236}">
                  <a16:creationId xmlns:a16="http://schemas.microsoft.com/office/drawing/2014/main" id="{A9CD5411-7226-5644-92B7-5198340492DF}"/>
                </a:ext>
              </a:extLst>
            </xdr:cNvPr>
            <xdr:cNvSpPr txBox="1"/>
          </xdr:nvSpPr>
          <xdr:spPr>
            <a:xfrm>
              <a:off x="12168995" y="618155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id="{28D9B852-5208-044D-A625-E1377CFC3E2C}"/>
                </a:ext>
              </a:extLst>
            </xdr:cNvPr>
            <xdr:cNvSpPr txBox="1"/>
          </xdr:nvSpPr>
          <xdr:spPr>
            <a:xfrm>
              <a:off x="13413596" y="613600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mlns="">
        <xdr:sp macro="" textlink="">
          <xdr:nvSpPr>
            <xdr:cNvPr id="47" name="TextBox 46">
              <a:extLst>
                <a:ext uri="{FF2B5EF4-FFF2-40B4-BE49-F238E27FC236}">
                  <a16:creationId xmlns:a16="http://schemas.microsoft.com/office/drawing/2014/main" id="{28D9B852-5208-044D-A625-E1377CFC3E2C}"/>
                </a:ext>
              </a:extLst>
            </xdr:cNvPr>
            <xdr:cNvSpPr txBox="1"/>
          </xdr:nvSpPr>
          <xdr:spPr>
            <a:xfrm>
              <a:off x="13413596" y="613600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48" name="Straight Arrow Connector 47">
          <a:extLst>
            <a:ext uri="{FF2B5EF4-FFF2-40B4-BE49-F238E27FC236}">
              <a16:creationId xmlns:a16="http://schemas.microsoft.com/office/drawing/2014/main" id="{0B2B2920-2727-4C45-BFC4-DB374C74A5E8}"/>
            </a:ext>
          </a:extLst>
        </xdr:cNvPr>
        <xdr:cNvCxnSpPr/>
      </xdr:nvCxnSpPr>
      <xdr:spPr>
        <a:xfrm flipH="1">
          <a:off x="9039469" y="610718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49" name="Straight Arrow Connector 48">
          <a:extLst>
            <a:ext uri="{FF2B5EF4-FFF2-40B4-BE49-F238E27FC236}">
              <a16:creationId xmlns:a16="http://schemas.microsoft.com/office/drawing/2014/main" id="{9EB80AD7-60A3-4E48-953D-8C17E8094446}"/>
            </a:ext>
          </a:extLst>
        </xdr:cNvPr>
        <xdr:cNvCxnSpPr/>
      </xdr:nvCxnSpPr>
      <xdr:spPr>
        <a:xfrm flipH="1">
          <a:off x="10265207" y="610532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0" name="Straight Arrow Connector 49">
          <a:extLst>
            <a:ext uri="{FF2B5EF4-FFF2-40B4-BE49-F238E27FC236}">
              <a16:creationId xmlns:a16="http://schemas.microsoft.com/office/drawing/2014/main" id="{903C71A9-F0B7-2846-8177-068A84977779}"/>
            </a:ext>
          </a:extLst>
        </xdr:cNvPr>
        <xdr:cNvCxnSpPr/>
      </xdr:nvCxnSpPr>
      <xdr:spPr>
        <a:xfrm>
          <a:off x="11412903" y="610596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1" name="Straight Arrow Connector 50">
          <a:extLst>
            <a:ext uri="{FF2B5EF4-FFF2-40B4-BE49-F238E27FC236}">
              <a16:creationId xmlns:a16="http://schemas.microsoft.com/office/drawing/2014/main" id="{7AAB1F25-41DD-114C-92BE-2048A5F99432}"/>
            </a:ext>
          </a:extLst>
        </xdr:cNvPr>
        <xdr:cNvCxnSpPr/>
      </xdr:nvCxnSpPr>
      <xdr:spPr>
        <a:xfrm>
          <a:off x="12603774" y="610535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xmlns:a14="http://schemas.microsoft.com/office/drawing/2010/main">
      <mc:Choice Requires="a14">
        <xdr:sp macro="" textlink="">
          <xdr:nvSpPr>
            <xdr:cNvPr id="52" name="CasellaDiTesto 25">
              <a:extLst>
                <a:ext uri="{FF2B5EF4-FFF2-40B4-BE49-F238E27FC236}">
                  <a16:creationId xmlns:a16="http://schemas.microsoft.com/office/drawing/2014/main" id="{FBF1A972-08C7-554F-85E9-C5BB6BBA26C9}"/>
                </a:ext>
              </a:extLst>
            </xdr:cNvPr>
            <xdr:cNvSpPr txBox="1"/>
          </xdr:nvSpPr>
          <xdr:spPr>
            <a:xfrm>
              <a:off x="7294032" y="611124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mlns="">
        <xdr:sp macro="" textlink="">
          <xdr:nvSpPr>
            <xdr:cNvPr id="52" name="CasellaDiTesto 25">
              <a:extLst>
                <a:ext uri="{FF2B5EF4-FFF2-40B4-BE49-F238E27FC236}">
                  <a16:creationId xmlns:a16="http://schemas.microsoft.com/office/drawing/2014/main" id="{FBF1A972-08C7-554F-85E9-C5BB6BBA26C9}"/>
                </a:ext>
              </a:extLst>
            </xdr:cNvPr>
            <xdr:cNvSpPr txBox="1"/>
          </xdr:nvSpPr>
          <xdr:spPr>
            <a:xfrm>
              <a:off x="7294032" y="611124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3" name="Curved Connector 52">
          <a:extLst>
            <a:ext uri="{FF2B5EF4-FFF2-40B4-BE49-F238E27FC236}">
              <a16:creationId xmlns:a16="http://schemas.microsoft.com/office/drawing/2014/main" id="{08CCCDBD-32F2-B54B-AC89-0F9DBC5DFC94}"/>
            </a:ext>
          </a:extLst>
        </xdr:cNvPr>
        <xdr:cNvCxnSpPr>
          <a:endCxn id="44" idx="0"/>
        </xdr:cNvCxnSpPr>
      </xdr:nvCxnSpPr>
      <xdr:spPr>
        <a:xfrm>
          <a:off x="8301567" y="612055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54" name="Chart 53">
          <a:extLst>
            <a:ext uri="{FF2B5EF4-FFF2-40B4-BE49-F238E27FC236}">
              <a16:creationId xmlns:a16="http://schemas.microsoft.com/office/drawing/2014/main" id="{5683EA96-5177-0847-A292-3FC1C0D7E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11</xdr:col>
      <xdr:colOff>147450</xdr:colOff>
      <xdr:row>244</xdr:row>
      <xdr:rowOff>90622</xdr:rowOff>
    </xdr:from>
    <xdr:ext cx="4580678" cy="776366"/>
    <mc:AlternateContent xmlns:mc="http://schemas.openxmlformats.org/markup-compatibility/2006" xmlns:a14="http://schemas.microsoft.com/office/drawing/2010/main">
      <mc:Choice Requires="a14">
        <xdr:sp macro="" textlink="">
          <xdr:nvSpPr>
            <xdr:cNvPr id="55" name="TextBox 54">
              <a:extLst>
                <a:ext uri="{FF2B5EF4-FFF2-40B4-BE49-F238E27FC236}">
                  <a16:creationId xmlns:a16="http://schemas.microsoft.com/office/drawing/2014/main" id="{04002CEE-3B34-A940-9087-D2FEBB682AFA}"/>
                </a:ext>
              </a:extLst>
            </xdr:cNvPr>
            <xdr:cNvSpPr txBox="1"/>
          </xdr:nvSpPr>
          <xdr:spPr>
            <a:xfrm>
              <a:off x="13342750" y="61965022"/>
              <a:ext cx="4580678" cy="776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400" b="0">
                  <a:solidFill>
                    <a:srgbClr val="FF0000"/>
                  </a:solidFill>
                </a:rPr>
                <a:t>and</a:t>
              </a:r>
              <a14:m>
                <m:oMath xmlns:m="http://schemas.openxmlformats.org/officeDocument/2006/math">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a14:m>
              <a:endParaRPr lang="it-IT" sz="1400" b="0">
                <a:solidFill>
                  <a:srgbClr val="FF0000"/>
                </a:solidFill>
              </a:endParaRPr>
            </a:p>
            <a:p>
              <a:endParaRPr lang="en-US" sz="1400">
                <a:solidFill>
                  <a:srgbClr val="FF0000"/>
                </a:solidFill>
              </a:endParaRPr>
            </a:p>
            <a:p>
              <a:pPr marL="0" marR="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+1</m:t>
                          </m:r>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8</m:t>
                      </m:r>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ea typeface="Cambria Math" panose="02040503050406030204" pitchFamily="18" charset="0"/>
                            </a:rPr>
                            <m:t>𝜋</m:t>
                          </m:r>
                        </m:e>
                        <m:sup>
                          <m:r>
                            <a:rPr lang="it-IT" sz="1400" b="0" i="1">
                              <a:solidFill>
                                <a:srgbClr val="FF0000"/>
                              </a:solidFill>
                              <a:latin typeface="Cambria Math" panose="02040503050406030204" pitchFamily="18" charset="0"/>
                            </a:rPr>
                            <m:t>2</m:t>
                          </m:r>
                        </m:sup>
                      </m:sSup>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𝑘</m:t>
                          </m:r>
                        </m:e>
                        <m:sub>
                          <m:r>
                            <a:rPr lang="it-IT" sz="1400" b="0" i="1">
                              <a:solidFill>
                                <a:srgbClr val="FF0000"/>
                              </a:solidFill>
                              <a:latin typeface="Cambria Math" panose="02040503050406030204" pitchFamily="18" charset="0"/>
                            </a:rPr>
                            <m:t>𝑏</m:t>
                          </m:r>
                        </m:sub>
                      </m:sSub>
                      <m:r>
                        <a:rPr lang="it-IT" sz="1400" b="0" i="1">
                          <a:solidFill>
                            <a:srgbClr val="FF0000"/>
                          </a:solidFill>
                          <a:latin typeface="Cambria Math" panose="02040503050406030204" pitchFamily="18" charset="0"/>
                        </a:rPr>
                        <m:t>𝑇𝐼</m:t>
                      </m:r>
                    </m:num>
                    <m:den>
                      <m:r>
                        <a:rPr lang="it-IT" sz="1400" b="0" i="1">
                          <a:solidFill>
                            <a:srgbClr val="FF0000"/>
                          </a:solidFill>
                          <a:latin typeface="Cambria Math" panose="02040503050406030204" pitchFamily="18" charset="0"/>
                          <a:ea typeface="Cambria Math" panose="02040503050406030204" pitchFamily="18" charset="0"/>
                        </a:rPr>
                        <m:t>𝜎</m:t>
                      </m:r>
                      <m:sSup>
                        <m:sSupPr>
                          <m:ctrlPr>
                            <a:rPr lang="it-IT" sz="1400" b="0" i="1">
                              <a:solidFill>
                                <a:srgbClr val="FF0000"/>
                              </a:solidFill>
                              <a:latin typeface="Cambria Math" panose="02040503050406030204" pitchFamily="18" charset="0"/>
                              <a:ea typeface="Cambria Math" panose="02040503050406030204" pitchFamily="18" charset="0"/>
                            </a:rPr>
                          </m:ctrlPr>
                        </m:sSupPr>
                        <m:e>
                          <m:r>
                            <a:rPr lang="it-IT" sz="1400" b="0" i="1">
                              <a:solidFill>
                                <a:srgbClr val="FF0000"/>
                              </a:solidFill>
                              <a:latin typeface="Cambria Math" panose="02040503050406030204" pitchFamily="18" charset="0"/>
                              <a:ea typeface="Cambria Math" panose="02040503050406030204" pitchFamily="18" charset="0"/>
                            </a:rPr>
                            <m:t>h</m:t>
                          </m:r>
                        </m:e>
                        <m:sup>
                          <m:r>
                            <a:rPr lang="it-IT" sz="1400" b="0" i="1">
                              <a:solidFill>
                                <a:srgbClr val="FF0000"/>
                              </a:solidFill>
                              <a:latin typeface="Cambria Math" panose="02040503050406030204" pitchFamily="18" charset="0"/>
                              <a:ea typeface="Cambria Math" panose="02040503050406030204" pitchFamily="18" charset="0"/>
                            </a:rPr>
                            <m:t>2</m:t>
                          </m:r>
                        </m:sup>
                      </m:sSup>
                    </m:den>
                  </m:f>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xdr:txBody>
        </xdr:sp>
      </mc:Choice>
      <mc:Fallback xmlns="">
        <xdr:sp macro="" textlink="">
          <xdr:nvSpPr>
            <xdr:cNvPr id="55" name="TextBox 54">
              <a:extLst>
                <a:ext uri="{FF2B5EF4-FFF2-40B4-BE49-F238E27FC236}">
                  <a16:creationId xmlns:a16="http://schemas.microsoft.com/office/drawing/2014/main" id="{04002CEE-3B34-A940-9087-D2FEBB682AFA}"/>
                </a:ext>
              </a:extLst>
            </xdr:cNvPr>
            <xdr:cNvSpPr txBox="1"/>
          </xdr:nvSpPr>
          <xdr:spPr>
            <a:xfrm>
              <a:off x="13342750" y="61965022"/>
              <a:ext cx="4580678" cy="7763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a:solidFill>
                    <a:srgbClr val="FF0000"/>
                  </a:solidFill>
                </a:rPr>
                <a:t>and</a:t>
              </a:r>
              <a:r>
                <a:rPr lang="it-IT" sz="1400" b="0" i="0">
                  <a:solidFill>
                    <a:srgbClr val="FF0000"/>
                  </a:solidFill>
                  <a:latin typeface="Cambria Math" panose="02040503050406030204" pitchFamily="18" charset="0"/>
                </a:rPr>
                <a:t>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it-IT" sz="1400" b="0" i="0">
                  <a:solidFill>
                    <a:srgbClr val="FF0000"/>
                  </a:solidFill>
                  <a:latin typeface="Cambria Math" panose="02040503050406030204" pitchFamily="18" charset="0"/>
                </a:rPr>
                <a:t>𝑅⁡(ln(𝑞_𝑟 )+1)</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𝑟=(8</a:t>
              </a:r>
              <a:r>
                <a:rPr lang="it-IT" sz="1400" b="0" i="0">
                  <a:solidFill>
                    <a:srgbClr val="FF0000"/>
                  </a:solidFill>
                  <a:latin typeface="Cambria Math" panose="02040503050406030204" pitchFamily="18" charset="0"/>
                  <a:ea typeface="Cambria Math" panose="02040503050406030204" pitchFamily="18" charset="0"/>
                </a:rPr>
                <a:t>𝜋^</a:t>
              </a:r>
              <a:r>
                <a:rPr lang="it-IT" sz="1400" b="0" i="0">
                  <a:solidFill>
                    <a:srgbClr val="FF0000"/>
                  </a:solidFill>
                  <a:latin typeface="Cambria Math" panose="02040503050406030204" pitchFamily="18" charset="0"/>
                </a:rPr>
                <a:t>2 𝑘_𝑏 𝑇𝐼)/(</a:t>
              </a:r>
              <a:r>
                <a:rPr lang="it-IT" sz="1400" b="0" i="0">
                  <a:solidFill>
                    <a:srgbClr val="FF0000"/>
                  </a:solidFill>
                  <a:latin typeface="Cambria Math" panose="02040503050406030204" pitchFamily="18" charset="0"/>
                  <a:ea typeface="Cambria Math" panose="02040503050406030204" pitchFamily="18" charset="0"/>
                </a:rPr>
                <a:t>𝜎ℎ^2 )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xdr:txBody>
        </xdr:sp>
      </mc:Fallback>
    </mc:AlternateContent>
    <xdr:clientData/>
  </xdr:oneCellAnchor>
  <xdr:twoCellAnchor>
    <xdr:from>
      <xdr:col>16</xdr:col>
      <xdr:colOff>1577878</xdr:colOff>
      <xdr:row>55</xdr:row>
      <xdr:rowOff>0</xdr:rowOff>
    </xdr:from>
    <xdr:to>
      <xdr:col>17</xdr:col>
      <xdr:colOff>1039091</xdr:colOff>
      <xdr:row>195</xdr:row>
      <xdr:rowOff>153939</xdr:rowOff>
    </xdr:to>
    <xdr:sp macro="" textlink="">
      <xdr:nvSpPr>
        <xdr:cNvPr id="56" name="Right Brace 55">
          <a:extLst>
            <a:ext uri="{FF2B5EF4-FFF2-40B4-BE49-F238E27FC236}">
              <a16:creationId xmlns:a16="http://schemas.microsoft.com/office/drawing/2014/main" id="{C079CBD1-53B4-C04B-B652-A8BC71BE8525}"/>
            </a:ext>
          </a:extLst>
        </xdr:cNvPr>
        <xdr:cNvSpPr/>
      </xdr:nvSpPr>
      <xdr:spPr>
        <a:xfrm>
          <a:off x="20996178" y="14897100"/>
          <a:ext cx="1061413" cy="353202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23</xdr:col>
      <xdr:colOff>359975</xdr:colOff>
      <xdr:row>92</xdr:row>
      <xdr:rowOff>168476</xdr:rowOff>
    </xdr:from>
    <xdr:to>
      <xdr:col>25</xdr:col>
      <xdr:colOff>520551</xdr:colOff>
      <xdr:row>92</xdr:row>
      <xdr:rowOff>183073</xdr:rowOff>
    </xdr:to>
    <xdr:cxnSp macro="">
      <xdr:nvCxnSpPr>
        <xdr:cNvPr id="57" name="Straight Arrow Connector 56">
          <a:extLst>
            <a:ext uri="{FF2B5EF4-FFF2-40B4-BE49-F238E27FC236}">
              <a16:creationId xmlns:a16="http://schemas.microsoft.com/office/drawing/2014/main" id="{73077741-FFC1-BB46-8253-7A6198965C0E}"/>
            </a:ext>
          </a:extLst>
        </xdr:cNvPr>
        <xdr:cNvCxnSpPr/>
      </xdr:nvCxnSpPr>
      <xdr:spPr>
        <a:xfrm>
          <a:off x="28084075" y="24069876"/>
          <a:ext cx="22814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25</xdr:col>
      <xdr:colOff>708890</xdr:colOff>
      <xdr:row>91</xdr:row>
      <xdr:rowOff>229753</xdr:rowOff>
    </xdr:from>
    <xdr:ext cx="3999878" cy="315856"/>
    <mc:AlternateContent xmlns:mc="http://schemas.openxmlformats.org/markup-compatibility/2006" xmlns:a14="http://schemas.microsoft.com/office/drawing/2010/main">
      <mc:Choice Requires="a14">
        <xdr:sp macro="" textlink="">
          <xdr:nvSpPr>
            <xdr:cNvPr id="58" name="TextBox 57">
              <a:extLst>
                <a:ext uri="{FF2B5EF4-FFF2-40B4-BE49-F238E27FC236}">
                  <a16:creationId xmlns:a16="http://schemas.microsoft.com/office/drawing/2014/main" id="{3E998941-B017-7945-AEEE-2B32A967563C}"/>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mlns="">
        <xdr:sp macro="" textlink="">
          <xdr:nvSpPr>
            <xdr:cNvPr id="58" name="TextBox 57">
              <a:extLst>
                <a:ext uri="{FF2B5EF4-FFF2-40B4-BE49-F238E27FC236}">
                  <a16:creationId xmlns:a16="http://schemas.microsoft.com/office/drawing/2014/main" id="{3E998941-B017-7945-AEEE-2B32A967563C}"/>
                </a:ext>
              </a:extLst>
            </xdr:cNvPr>
            <xdr:cNvSpPr txBox="1"/>
          </xdr:nvSpPr>
          <xdr:spPr>
            <a:xfrm>
              <a:off x="305538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20</xdr:col>
      <xdr:colOff>856511</xdr:colOff>
      <xdr:row>96</xdr:row>
      <xdr:rowOff>14766</xdr:rowOff>
    </xdr:from>
    <xdr:to>
      <xdr:col>25</xdr:col>
      <xdr:colOff>782674</xdr:colOff>
      <xdr:row>99</xdr:row>
      <xdr:rowOff>132906</xdr:rowOff>
    </xdr:to>
    <xdr:sp macro="" textlink="">
      <xdr:nvSpPr>
        <xdr:cNvPr id="59" name="TextBox 58">
          <a:extLst>
            <a:ext uri="{FF2B5EF4-FFF2-40B4-BE49-F238E27FC236}">
              <a16:creationId xmlns:a16="http://schemas.microsoft.com/office/drawing/2014/main" id="{13D9D1A9-28FF-A54A-91E7-D72DB8701651}"/>
            </a:ext>
          </a:extLst>
        </xdr:cNvPr>
        <xdr:cNvSpPr txBox="1"/>
      </xdr:nvSpPr>
      <xdr:spPr>
        <a:xfrm>
          <a:off x="25050011" y="25008366"/>
          <a:ext cx="55776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 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27</xdr:col>
      <xdr:colOff>831850</xdr:colOff>
      <xdr:row>110</xdr:row>
      <xdr:rowOff>133349</xdr:rowOff>
    </xdr:from>
    <xdr:to>
      <xdr:col>33</xdr:col>
      <xdr:colOff>756596</xdr:colOff>
      <xdr:row>125</xdr:row>
      <xdr:rowOff>189148</xdr:rowOff>
    </xdr:to>
    <xdr:graphicFrame macro="">
      <xdr:nvGraphicFramePr>
        <xdr:cNvPr id="60" name="Chart 59">
          <a:extLst>
            <a:ext uri="{FF2B5EF4-FFF2-40B4-BE49-F238E27FC236}">
              <a16:creationId xmlns:a16="http://schemas.microsoft.com/office/drawing/2014/main" id="{6DBCD67E-282C-B149-A868-AD7743E22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4</xdr:col>
      <xdr:colOff>320040</xdr:colOff>
      <xdr:row>129</xdr:row>
      <xdr:rowOff>30480</xdr:rowOff>
    </xdr:from>
    <xdr:ext cx="1394549" cy="407163"/>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A7A2B4E5-268D-D442-8AC9-2BDFB05746C5}"/>
                </a:ext>
              </a:extLst>
            </xdr:cNvPr>
            <xdr:cNvSpPr txBox="1"/>
          </xdr:nvSpPr>
          <xdr:spPr>
            <a:xfrm>
              <a:off x="5869940" y="33774380"/>
              <a:ext cx="1394549" cy="4071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𝐼</m:t>
                    </m:r>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𝑎</m:t>
                            </m:r>
                          </m:sub>
                        </m:sSub>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𝑏</m:t>
                            </m:r>
                          </m:sub>
                        </m:sSub>
                      </m:num>
                      <m:den>
                        <m:r>
                          <a:rPr lang="it-IT" sz="1400" b="0" i="1">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𝑎</m:t>
                            </m:r>
                          </m:sub>
                        </m:sSub>
                        <m:r>
                          <a:rPr lang="it-IT" sz="1400" b="0" i="1">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𝑚</m:t>
                            </m:r>
                          </m:e>
                          <m:sub>
                            <m:r>
                              <a:rPr lang="it-IT" sz="1400" b="0" i="1">
                                <a:latin typeface="Cambria Math" panose="02040503050406030204" pitchFamily="18" charset="0"/>
                              </a:rPr>
                              <m:t>𝑏</m:t>
                            </m:r>
                          </m:sub>
                        </m:sSub>
                        <m:r>
                          <a:rPr lang="it-IT" sz="1400" b="0" i="1">
                            <a:latin typeface="Cambria Math" panose="02040503050406030204" pitchFamily="18" charset="0"/>
                          </a:rPr>
                          <m:t>)</m:t>
                        </m:r>
                      </m:den>
                    </m:f>
                    <m:sSubSup>
                      <m:sSubSupPr>
                        <m:ctrlPr>
                          <a:rPr lang="it-IT" sz="1400" b="0" i="1">
                            <a:latin typeface="Cambria Math" panose="02040503050406030204" pitchFamily="18" charset="0"/>
                          </a:rPr>
                        </m:ctrlPr>
                      </m:sSubSupPr>
                      <m:e>
                        <m:r>
                          <a:rPr lang="it-IT" sz="1400" b="0" i="1">
                            <a:latin typeface="Cambria Math" panose="02040503050406030204" pitchFamily="18" charset="0"/>
                          </a:rPr>
                          <m:t>𝑟</m:t>
                        </m:r>
                      </m:e>
                      <m:sub>
                        <m:r>
                          <a:rPr lang="it-IT" sz="1400" b="0" i="1">
                            <a:latin typeface="Cambria Math" panose="02040503050406030204" pitchFamily="18" charset="0"/>
                          </a:rPr>
                          <m:t>𝑒</m:t>
                        </m:r>
                      </m:sub>
                      <m:sup>
                        <m:r>
                          <a:rPr lang="it-IT" sz="1400" b="0" i="1">
                            <a:latin typeface="Cambria Math" panose="02040503050406030204" pitchFamily="18" charset="0"/>
                          </a:rPr>
                          <m:t>2</m:t>
                        </m:r>
                      </m:sup>
                    </m:sSubSup>
                  </m:oMath>
                </m:oMathPara>
              </a14:m>
              <a:endParaRPr lang="en-US" sz="1400"/>
            </a:p>
          </xdr:txBody>
        </xdr:sp>
      </mc:Choice>
      <mc:Fallback xmlns="">
        <xdr:sp macro="" textlink="">
          <xdr:nvSpPr>
            <xdr:cNvPr id="61" name="TextBox 60">
              <a:extLst>
                <a:ext uri="{FF2B5EF4-FFF2-40B4-BE49-F238E27FC236}">
                  <a16:creationId xmlns:a16="http://schemas.microsoft.com/office/drawing/2014/main" id="{A7A2B4E5-268D-D442-8AC9-2BDFB05746C5}"/>
                </a:ext>
              </a:extLst>
            </xdr:cNvPr>
            <xdr:cNvSpPr txBox="1"/>
          </xdr:nvSpPr>
          <xdr:spPr>
            <a:xfrm>
              <a:off x="5869940" y="33774380"/>
              <a:ext cx="1394549" cy="4071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𝐼=(𝑚_𝑎 𝑚_𝑏)/((𝑚_𝑎+𝑚_𝑏)) 𝑟_𝑒^2</a:t>
              </a:r>
              <a:endParaRPr lang="en-US" sz="1400"/>
            </a:p>
          </xdr:txBody>
        </xdr:sp>
      </mc:Fallback>
    </mc:AlternateContent>
    <xdr:clientData/>
  </xdr:oneCellAnchor>
  <xdr:oneCellAnchor>
    <xdr:from>
      <xdr:col>9</xdr:col>
      <xdr:colOff>850474</xdr:colOff>
      <xdr:row>204</xdr:row>
      <xdr:rowOff>31451</xdr:rowOff>
    </xdr:from>
    <xdr:ext cx="282578" cy="278224"/>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24845072-451B-564E-8C27-F9C8464FC9F5}"/>
                </a:ext>
              </a:extLst>
            </xdr:cNvPr>
            <xdr:cNvSpPr txBox="1"/>
          </xdr:nvSpPr>
          <xdr:spPr>
            <a:xfrm>
              <a:off x="11835974" y="52253851"/>
              <a:ext cx="282578" cy="278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oMath>
                </m:oMathPara>
              </a14:m>
              <a:endParaRPr lang="en-US" sz="1400"/>
            </a:p>
          </xdr:txBody>
        </xdr:sp>
      </mc:Choice>
      <mc:Fallback xmlns="">
        <xdr:sp macro="" textlink="">
          <xdr:nvSpPr>
            <xdr:cNvPr id="62" name="TextBox 61">
              <a:extLst>
                <a:ext uri="{FF2B5EF4-FFF2-40B4-BE49-F238E27FC236}">
                  <a16:creationId xmlns:a16="http://schemas.microsoft.com/office/drawing/2014/main" id="{24845072-451B-564E-8C27-F9C8464FC9F5}"/>
                </a:ext>
              </a:extLst>
            </xdr:cNvPr>
            <xdr:cNvSpPr txBox="1"/>
          </xdr:nvSpPr>
          <xdr:spPr>
            <a:xfrm>
              <a:off x="11835974" y="52253851"/>
              <a:ext cx="282578" cy="278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a:t>
              </a:r>
              <a:endParaRPr lang="en-US" sz="1400"/>
            </a:p>
          </xdr:txBody>
        </xdr:sp>
      </mc:Fallback>
    </mc:AlternateContent>
    <xdr:clientData/>
  </xdr:oneCellAnchor>
  <xdr:twoCellAnchor>
    <xdr:from>
      <xdr:col>9</xdr:col>
      <xdr:colOff>745067</xdr:colOff>
      <xdr:row>203</xdr:row>
      <xdr:rowOff>95955</xdr:rowOff>
    </xdr:from>
    <xdr:to>
      <xdr:col>10</xdr:col>
      <xdr:colOff>118534</xdr:colOff>
      <xdr:row>205</xdr:row>
      <xdr:rowOff>141111</xdr:rowOff>
    </xdr:to>
    <xdr:sp macro="" textlink="">
      <xdr:nvSpPr>
        <xdr:cNvPr id="63" name="Oval 62">
          <a:extLst>
            <a:ext uri="{FF2B5EF4-FFF2-40B4-BE49-F238E27FC236}">
              <a16:creationId xmlns:a16="http://schemas.microsoft.com/office/drawing/2014/main" id="{286F5470-6A83-3C44-A160-EB1E59E07E6F}"/>
            </a:ext>
          </a:extLst>
        </xdr:cNvPr>
        <xdr:cNvSpPr/>
      </xdr:nvSpPr>
      <xdr:spPr>
        <a:xfrm>
          <a:off x="11730567" y="52064355"/>
          <a:ext cx="491067" cy="540456"/>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304803</xdr:colOff>
      <xdr:row>205</xdr:row>
      <xdr:rowOff>33868</xdr:rowOff>
    </xdr:from>
    <xdr:to>
      <xdr:col>12</xdr:col>
      <xdr:colOff>536224</xdr:colOff>
      <xdr:row>207</xdr:row>
      <xdr:rowOff>16933</xdr:rowOff>
    </xdr:to>
    <xdr:sp macro="" textlink="">
      <xdr:nvSpPr>
        <xdr:cNvPr id="64" name="Rectangle 63">
          <a:extLst>
            <a:ext uri="{FF2B5EF4-FFF2-40B4-BE49-F238E27FC236}">
              <a16:creationId xmlns:a16="http://schemas.microsoft.com/office/drawing/2014/main" id="{2A07A834-38AE-E345-8452-09A2437F1F8F}"/>
            </a:ext>
          </a:extLst>
        </xdr:cNvPr>
        <xdr:cNvSpPr/>
      </xdr:nvSpPr>
      <xdr:spPr>
        <a:xfrm>
          <a:off x="12407903" y="52497568"/>
          <a:ext cx="2403121" cy="46566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a:t>
          </a:r>
          <a:r>
            <a:rPr lang="en-US" sz="1100" b="1" baseline="0"/>
            <a:t> linear molecules, the rotational contribution to Cv ir just R</a:t>
          </a:r>
          <a:endParaRPr lang="en-US" sz="1100" b="1"/>
        </a:p>
      </xdr:txBody>
    </xdr:sp>
    <xdr:clientData/>
  </xdr:twoCellAnchor>
  <xdr:oneCellAnchor>
    <xdr:from>
      <xdr:col>10</xdr:col>
      <xdr:colOff>11545</xdr:colOff>
      <xdr:row>252</xdr:row>
      <xdr:rowOff>115455</xdr:rowOff>
    </xdr:from>
    <xdr:ext cx="1638370" cy="434158"/>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19812C37-A7A6-1E4F-B516-38FFD8146D8D}"/>
                </a:ext>
              </a:extLst>
            </xdr:cNvPr>
            <xdr:cNvSpPr txBox="1"/>
          </xdr:nvSpPr>
          <xdr:spPr>
            <a:xfrm>
              <a:off x="12114645" y="63920255"/>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mlns="">
        <xdr:sp macro="" textlink="">
          <xdr:nvSpPr>
            <xdr:cNvPr id="65" name="TextBox 64">
              <a:extLst>
                <a:ext uri="{FF2B5EF4-FFF2-40B4-BE49-F238E27FC236}">
                  <a16:creationId xmlns:a16="http://schemas.microsoft.com/office/drawing/2014/main" id="{19812C37-A7A6-1E4F-B516-38FFD8146D8D}"/>
                </a:ext>
              </a:extLst>
            </xdr:cNvPr>
            <xdr:cNvSpPr txBox="1"/>
          </xdr:nvSpPr>
          <xdr:spPr>
            <a:xfrm>
              <a:off x="12114645" y="63920255"/>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359975</xdr:colOff>
      <xdr:row>92</xdr:row>
      <xdr:rowOff>168476</xdr:rowOff>
    </xdr:from>
    <xdr:to>
      <xdr:col>6</xdr:col>
      <xdr:colOff>520551</xdr:colOff>
      <xdr:row>92</xdr:row>
      <xdr:rowOff>183073</xdr:rowOff>
    </xdr:to>
    <xdr:cxnSp macro="">
      <xdr:nvCxnSpPr>
        <xdr:cNvPr id="66" name="Straight Arrow Connector 65">
          <a:extLst>
            <a:ext uri="{FF2B5EF4-FFF2-40B4-BE49-F238E27FC236}">
              <a16:creationId xmlns:a16="http://schemas.microsoft.com/office/drawing/2014/main" id="{DCC0DDE2-DF96-8B45-9A7D-357C1489C358}"/>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146100" cy="727379"/>
    <mc:AlternateContent xmlns:mc="http://schemas.openxmlformats.org/markup-compatibility/2006" xmlns:a14="http://schemas.microsoft.com/office/drawing/2010/main">
      <mc:Choice Requires="a14">
        <xdr:sp macro="" textlink="">
          <xdr:nvSpPr>
            <xdr:cNvPr id="67" name="TextBox 66">
              <a:extLst>
                <a:ext uri="{FF2B5EF4-FFF2-40B4-BE49-F238E27FC236}">
                  <a16:creationId xmlns:a16="http://schemas.microsoft.com/office/drawing/2014/main" id="{F7F01BD6-69FC-DF4E-8B2B-09A7FBB7A586}"/>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𝑣𝑖𝑏</m:t>
                        </m:r>
                      </m:sub>
                      <m:sup>
                        <m:r>
                          <a:rPr lang="it-IT" sz="1600" b="0" i="1">
                            <a:latin typeface="Cambria Math" panose="02040503050406030204" pitchFamily="18" charset="0"/>
                            <a:ea typeface="Cambria Math" panose="02040503050406030204" pitchFamily="18" charset="0"/>
                          </a:rPr>
                          <m:t>𝜐</m:t>
                        </m:r>
                        <m:r>
                          <a:rPr lang="it-IT" sz="1600" b="0" i="1">
                            <a:latin typeface="Cambria Math" panose="02040503050406030204" pitchFamily="18" charset="0"/>
                            <a:ea typeface="Cambria Math" panose="02040503050406030204" pitchFamily="18" charset="0"/>
                          </a:rPr>
                          <m:t>=0</m:t>
                        </m:r>
                      </m:sup>
                    </m:sSubSup>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r>
                              <a:rPr lang="it-IT" sz="1600" b="0" i="1">
                                <a:latin typeface="Cambria Math" panose="02040503050406030204" pitchFamily="18" charset="0"/>
                              </a:rPr>
                              <m:t>1</m:t>
                            </m:r>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mlns="">
        <xdr:sp macro="" textlink="">
          <xdr:nvSpPr>
            <xdr:cNvPr id="67" name="TextBox 66">
              <a:extLst>
                <a:ext uri="{FF2B5EF4-FFF2-40B4-BE49-F238E27FC236}">
                  <a16:creationId xmlns:a16="http://schemas.microsoft.com/office/drawing/2014/main" id="{F7F01BD6-69FC-DF4E-8B2B-09A7FBB7A586}"/>
                </a:ext>
              </a:extLst>
            </xdr:cNvPr>
            <xdr:cNvSpPr txBox="1"/>
          </xdr:nvSpPr>
          <xdr:spPr>
            <a:xfrm>
              <a:off x="8900938" y="23613210"/>
              <a:ext cx="2146100" cy="727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𝑄_𝑣𝑖𝑏^(</a:t>
              </a:r>
              <a:r>
                <a:rPr lang="it-IT" sz="1600" b="0" i="0">
                  <a:latin typeface="Cambria Math" panose="02040503050406030204" pitchFamily="18" charset="0"/>
                  <a:ea typeface="Cambria Math" panose="02040503050406030204" pitchFamily="18" charset="0"/>
                </a:rPr>
                <a:t>𝜐=0)</a:t>
              </a:r>
              <a:r>
                <a:rPr lang="it-IT" sz="1600" b="0" i="0">
                  <a:latin typeface="Cambria Math" panose="02040503050406030204" pitchFamily="18" charset="0"/>
                </a:rPr>
                <a:t>=∏_(𝑖=1)^(𝑁_𝑣𝑖𝑏)▒1/(1−𝑒^((−(ℎ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68" name="Rectangle 67">
          <a:extLst>
            <a:ext uri="{FF2B5EF4-FFF2-40B4-BE49-F238E27FC236}">
              <a16:creationId xmlns:a16="http://schemas.microsoft.com/office/drawing/2014/main" id="{CD74222A-4974-224A-9F56-47CF45757D85}"/>
            </a:ext>
          </a:extLst>
        </xdr:cNvPr>
        <xdr:cNvSpPr/>
      </xdr:nvSpPr>
      <xdr:spPr>
        <a:xfrm>
          <a:off x="114310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oneCellAnchor>
    <xdr:from>
      <xdr:col>13</xdr:col>
      <xdr:colOff>372629</xdr:colOff>
      <xdr:row>92</xdr:row>
      <xdr:rowOff>95826</xdr:rowOff>
    </xdr:from>
    <xdr:ext cx="1488997" cy="778931"/>
    <mc:AlternateContent xmlns:mc="http://schemas.openxmlformats.org/markup-compatibility/2006" xmlns:a14="http://schemas.microsoft.com/office/drawing/2010/main">
      <mc:Choice Requires="a14">
        <xdr:sp macro="" textlink="">
          <xdr:nvSpPr>
            <xdr:cNvPr id="69" name="TextBox 68">
              <a:extLst>
                <a:ext uri="{FF2B5EF4-FFF2-40B4-BE49-F238E27FC236}">
                  <a16:creationId xmlns:a16="http://schemas.microsoft.com/office/drawing/2014/main" id="{07085164-71AF-A448-8D83-9E0147796386}"/>
                </a:ext>
              </a:extLst>
            </xdr:cNvPr>
            <xdr:cNvSpPr txBox="1"/>
          </xdr:nvSpPr>
          <xdr:spPr>
            <a:xfrm>
              <a:off x="158666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mlns="">
        <xdr:sp macro="" textlink="">
          <xdr:nvSpPr>
            <xdr:cNvPr id="69" name="TextBox 68">
              <a:extLst>
                <a:ext uri="{FF2B5EF4-FFF2-40B4-BE49-F238E27FC236}">
                  <a16:creationId xmlns:a16="http://schemas.microsoft.com/office/drawing/2014/main" id="{07085164-71AF-A448-8D83-9E0147796386}"/>
                </a:ext>
              </a:extLst>
            </xdr:cNvPr>
            <xdr:cNvSpPr txBox="1"/>
          </xdr:nvSpPr>
          <xdr:spPr>
            <a:xfrm>
              <a:off x="15866629" y="239972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xdr:from>
      <xdr:col>4</xdr:col>
      <xdr:colOff>334945</xdr:colOff>
      <xdr:row>26</xdr:row>
      <xdr:rowOff>139561</xdr:rowOff>
    </xdr:from>
    <xdr:to>
      <xdr:col>5</xdr:col>
      <xdr:colOff>181429</xdr:colOff>
      <xdr:row>26</xdr:row>
      <xdr:rowOff>139561</xdr:rowOff>
    </xdr:to>
    <xdr:cxnSp macro="">
      <xdr:nvCxnSpPr>
        <xdr:cNvPr id="2" name="Straight Arrow Connector 1">
          <a:extLst>
            <a:ext uri="{FF2B5EF4-FFF2-40B4-BE49-F238E27FC236}">
              <a16:creationId xmlns:a16="http://schemas.microsoft.com/office/drawing/2014/main" id="{819EA010-5B92-854C-9F0B-C56C51619467}"/>
            </a:ext>
          </a:extLst>
        </xdr:cNvPr>
        <xdr:cNvCxnSpPr/>
      </xdr:nvCxnSpPr>
      <xdr:spPr>
        <a:xfrm>
          <a:off x="5884845" y="7073761"/>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291961</xdr:colOff>
      <xdr:row>30</xdr:row>
      <xdr:rowOff>138445</xdr:rowOff>
    </xdr:from>
    <xdr:to>
      <xdr:col>5</xdr:col>
      <xdr:colOff>138445</xdr:colOff>
      <xdr:row>30</xdr:row>
      <xdr:rowOff>138445</xdr:rowOff>
    </xdr:to>
    <xdr:cxnSp macro="">
      <xdr:nvCxnSpPr>
        <xdr:cNvPr id="3" name="Straight Arrow Connector 2">
          <a:extLst>
            <a:ext uri="{FF2B5EF4-FFF2-40B4-BE49-F238E27FC236}">
              <a16:creationId xmlns:a16="http://schemas.microsoft.com/office/drawing/2014/main" id="{3E535394-D267-0941-9AD8-36C74CC087CF}"/>
            </a:ext>
          </a:extLst>
        </xdr:cNvPr>
        <xdr:cNvCxnSpPr/>
      </xdr:nvCxnSpPr>
      <xdr:spPr>
        <a:xfrm>
          <a:off x="5841861" y="8088645"/>
          <a:ext cx="1218084"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63430</xdr:colOff>
      <xdr:row>29</xdr:row>
      <xdr:rowOff>165101</xdr:rowOff>
    </xdr:from>
    <xdr:ext cx="1638370" cy="40145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A84B76C1-F5E0-2B49-86D5-65234D66885C}"/>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rPr>
                          <m:t>𝐵</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den>
                    </m:f>
                    <m:r>
                      <a:rPr lang="it-IT" sz="1300" b="0" i="1">
                        <a:latin typeface="Cambria Math" panose="02040503050406030204" pitchFamily="18" charset="0"/>
                      </a:rPr>
                      <m:t>=</m:t>
                    </m:r>
                    <m:f>
                      <m:fPr>
                        <m:ctrlPr>
                          <a:rPr lang="it-IT" sz="1300" b="0" i="1">
                            <a:latin typeface="Cambria Math" panose="02040503050406030204" pitchFamily="18" charset="0"/>
                          </a:rPr>
                        </m:ctrlPr>
                      </m:fPr>
                      <m:num>
                        <m:sSup>
                          <m:sSupPr>
                            <m:ctrlPr>
                              <a:rPr lang="it-IT" sz="1300" b="0" i="1">
                                <a:latin typeface="Cambria Math" panose="02040503050406030204" pitchFamily="18" charset="0"/>
                                <a:ea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ℏ</m:t>
                            </m:r>
                          </m:e>
                          <m:sup>
                            <m:r>
                              <a:rPr lang="it-IT" sz="1300" b="0" i="1">
                                <a:latin typeface="Cambria Math" panose="02040503050406030204" pitchFamily="18" charset="0"/>
                                <a:ea typeface="Cambria Math" panose="02040503050406030204" pitchFamily="18" charset="0"/>
                              </a:rPr>
                              <m:t>2</m:t>
                            </m:r>
                          </m:sup>
                        </m:sSup>
                      </m:num>
                      <m:den>
                        <m:r>
                          <a:rPr lang="it-IT" sz="1300" b="0" i="1">
                            <a:latin typeface="Cambria Math" panose="02040503050406030204" pitchFamily="18" charset="0"/>
                          </a:rPr>
                          <m:t>2</m:t>
                        </m:r>
                        <m:r>
                          <a:rPr lang="it-IT" sz="1300" b="0" i="1">
                            <a:latin typeface="Cambria Math" panose="02040503050406030204" pitchFamily="18" charset="0"/>
                          </a:rPr>
                          <m:t>𝐼</m:t>
                        </m:r>
                      </m:den>
                    </m:f>
                  </m:oMath>
                </m:oMathPara>
              </a14:m>
              <a:endParaRPr lang="en-US" sz="1300"/>
            </a:p>
          </xdr:txBody>
        </xdr:sp>
      </mc:Choice>
      <mc:Fallback xmlns="">
        <xdr:sp macro="" textlink="">
          <xdr:nvSpPr>
            <xdr:cNvPr id="4" name="TextBox 3">
              <a:extLst>
                <a:ext uri="{FF2B5EF4-FFF2-40B4-BE49-F238E27FC236}">
                  <a16:creationId xmlns:a16="http://schemas.microsoft.com/office/drawing/2014/main" id="{A84B76C1-F5E0-2B49-86D5-65234D66885C}"/>
                </a:ext>
              </a:extLst>
            </xdr:cNvPr>
            <xdr:cNvSpPr txBox="1"/>
          </xdr:nvSpPr>
          <xdr:spPr>
            <a:xfrm>
              <a:off x="6984930" y="7861301"/>
              <a:ext cx="1638370" cy="40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rPr>
                <a:t>𝐵_𝑟𝑜𝑡=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a:t>
              </a:r>
              <a:r>
                <a:rPr lang="it-IT" sz="1300" b="0" i="0">
                  <a:latin typeface="Cambria Math" panose="02040503050406030204" pitchFamily="18" charset="0"/>
                </a:rPr>
                <a:t>=</a:t>
              </a:r>
              <a:r>
                <a:rPr lang="it-IT" sz="1300" b="0" i="0">
                  <a:latin typeface="Cambria Math" panose="02040503050406030204" pitchFamily="18" charset="0"/>
                  <a:ea typeface="Cambria Math" panose="02040503050406030204" pitchFamily="18" charset="0"/>
                </a:rPr>
                <a:t>ℏ^2/</a:t>
              </a:r>
              <a:r>
                <a:rPr lang="it-IT" sz="1300" b="0" i="0">
                  <a:latin typeface="Cambria Math" panose="02040503050406030204" pitchFamily="18" charset="0"/>
                </a:rPr>
                <a:t>2𝐼</a:t>
              </a:r>
              <a:endParaRPr lang="en-US" sz="1300"/>
            </a:p>
          </xdr:txBody>
        </xdr:sp>
      </mc:Fallback>
    </mc:AlternateContent>
    <xdr:clientData/>
  </xdr:oneCellAnchor>
  <xdr:oneCellAnchor>
    <xdr:from>
      <xdr:col>5</xdr:col>
      <xdr:colOff>102893</xdr:colOff>
      <xdr:row>25</xdr:row>
      <xdr:rowOff>141854</xdr:rowOff>
    </xdr:from>
    <xdr:ext cx="1638370" cy="434158"/>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71C5E081-1E41-CE46-9523-B770365160FB}"/>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t-IT" sz="1300" b="0" i="1">
                            <a:latin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𝜃</m:t>
                        </m:r>
                      </m:e>
                      <m:sub>
                        <m:r>
                          <a:rPr lang="it-IT" sz="1300" b="0" i="1">
                            <a:latin typeface="Cambria Math" panose="02040503050406030204" pitchFamily="18" charset="0"/>
                          </a:rPr>
                          <m:t>𝑟𝑜𝑡</m:t>
                        </m:r>
                      </m:sub>
                    </m:sSub>
                    <m:r>
                      <a:rPr lang="it-IT" sz="1300" b="0" i="1">
                        <a:latin typeface="Cambria Math" panose="02040503050406030204" pitchFamily="18" charset="0"/>
                      </a:rPr>
                      <m:t>= </m:t>
                    </m:r>
                    <m:f>
                      <m:fPr>
                        <m:ctrlPr>
                          <a:rPr lang="it-IT" sz="1300" b="0" i="1">
                            <a:latin typeface="Cambria Math" panose="02040503050406030204" pitchFamily="18" charset="0"/>
                          </a:rPr>
                        </m:ctrlPr>
                      </m:fPr>
                      <m:num>
                        <m:sSup>
                          <m:sSupPr>
                            <m:ctrlPr>
                              <a:rPr lang="it-IT" sz="1300" b="0" i="1">
                                <a:latin typeface="Cambria Math" panose="02040503050406030204" pitchFamily="18" charset="0"/>
                              </a:rPr>
                            </m:ctrlPr>
                          </m:sSupPr>
                          <m:e>
                            <m:r>
                              <a:rPr lang="it-IT" sz="1300" b="0" i="1">
                                <a:latin typeface="Cambria Math" panose="02040503050406030204" pitchFamily="18" charset="0"/>
                              </a:rPr>
                              <m:t>h</m:t>
                            </m:r>
                          </m:e>
                          <m:sup>
                            <m:r>
                              <a:rPr lang="it-IT" sz="1300" b="0" i="1">
                                <a:latin typeface="Cambria Math" panose="02040503050406030204" pitchFamily="18" charset="0"/>
                              </a:rPr>
                              <m:t>2</m:t>
                            </m:r>
                          </m:sup>
                        </m:sSup>
                      </m:num>
                      <m:den>
                        <m:r>
                          <a:rPr lang="it-IT" sz="1300" b="0" i="1">
                            <a:latin typeface="Cambria Math" panose="02040503050406030204" pitchFamily="18" charset="0"/>
                          </a:rPr>
                          <m:t>8</m:t>
                        </m:r>
                        <m:sSup>
                          <m:sSupPr>
                            <m:ctrlPr>
                              <a:rPr lang="it-IT" sz="1300" b="0" i="1">
                                <a:latin typeface="Cambria Math" panose="02040503050406030204" pitchFamily="18" charset="0"/>
                              </a:rPr>
                            </m:ctrlPr>
                          </m:sSupPr>
                          <m:e>
                            <m:r>
                              <a:rPr lang="it-IT" sz="1300" b="0" i="1">
                                <a:latin typeface="Cambria Math" panose="02040503050406030204" pitchFamily="18" charset="0"/>
                                <a:ea typeface="Cambria Math" panose="02040503050406030204" pitchFamily="18" charset="0"/>
                              </a:rPr>
                              <m:t>𝜋</m:t>
                            </m:r>
                          </m:e>
                          <m:sup>
                            <m:r>
                              <a:rPr lang="it-IT" sz="1300" b="0" i="1">
                                <a:latin typeface="Cambria Math" panose="02040503050406030204" pitchFamily="18" charset="0"/>
                              </a:rPr>
                              <m:t>2</m:t>
                            </m:r>
                          </m:sup>
                        </m:sSup>
                        <m:r>
                          <a:rPr lang="it-IT" sz="1300" b="0" i="1">
                            <a:latin typeface="Cambria Math" panose="02040503050406030204" pitchFamily="18" charset="0"/>
                            <a:ea typeface="Cambria Math" panose="02040503050406030204" pitchFamily="18" charset="0"/>
                          </a:rPr>
                          <m:t>𝐼</m:t>
                        </m:r>
                        <m:r>
                          <a:rPr lang="it-IT" sz="1300" b="0" i="1">
                            <a:latin typeface="Cambria Math" panose="02040503050406030204" pitchFamily="18" charset="0"/>
                            <a:ea typeface="Cambria Math" panose="02040503050406030204" pitchFamily="18" charset="0"/>
                          </a:rPr>
                          <m:t> </m:t>
                        </m:r>
                        <m:sSub>
                          <m:sSubPr>
                            <m:ctrlPr>
                              <a:rPr lang="it-IT" sz="1300" b="0" i="1">
                                <a:latin typeface="Cambria Math" panose="02040503050406030204" pitchFamily="18" charset="0"/>
                                <a:ea typeface="Cambria Math" panose="02040503050406030204" pitchFamily="18" charset="0"/>
                              </a:rPr>
                            </m:ctrlPr>
                          </m:sSubPr>
                          <m:e>
                            <m:r>
                              <a:rPr lang="it-IT" sz="1300" b="0" i="1">
                                <a:latin typeface="Cambria Math" panose="02040503050406030204" pitchFamily="18" charset="0"/>
                                <a:ea typeface="Cambria Math" panose="02040503050406030204" pitchFamily="18" charset="0"/>
                              </a:rPr>
                              <m:t>𝑘</m:t>
                            </m:r>
                          </m:e>
                          <m:sub>
                            <m:r>
                              <a:rPr lang="it-IT" sz="1300" b="0" i="1">
                                <a:latin typeface="Cambria Math" panose="02040503050406030204" pitchFamily="18" charset="0"/>
                                <a:ea typeface="Cambria Math" panose="02040503050406030204" pitchFamily="18" charset="0"/>
                              </a:rPr>
                              <m:t>𝑏</m:t>
                            </m:r>
                          </m:sub>
                        </m:sSub>
                      </m:den>
                    </m:f>
                  </m:oMath>
                </m:oMathPara>
              </a14:m>
              <a:endParaRPr lang="en-US" sz="1300"/>
            </a:p>
          </xdr:txBody>
        </xdr:sp>
      </mc:Choice>
      <mc:Fallback xmlns="">
        <xdr:sp macro="" textlink="">
          <xdr:nvSpPr>
            <xdr:cNvPr id="5" name="TextBox 4">
              <a:extLst>
                <a:ext uri="{FF2B5EF4-FFF2-40B4-BE49-F238E27FC236}">
                  <a16:creationId xmlns:a16="http://schemas.microsoft.com/office/drawing/2014/main" id="{71C5E081-1E41-CE46-9523-B770365160FB}"/>
                </a:ext>
              </a:extLst>
            </xdr:cNvPr>
            <xdr:cNvSpPr txBox="1"/>
          </xdr:nvSpPr>
          <xdr:spPr>
            <a:xfrm>
              <a:off x="7024393" y="6822054"/>
              <a:ext cx="1638370" cy="4341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300" b="0" i="0">
                  <a:latin typeface="Cambria Math" panose="02040503050406030204" pitchFamily="18" charset="0"/>
                  <a:ea typeface="Cambria Math" panose="02040503050406030204" pitchFamily="18" charset="0"/>
                </a:rPr>
                <a:t>𝜃_</a:t>
              </a:r>
              <a:r>
                <a:rPr lang="it-IT" sz="1300" b="0" i="0">
                  <a:latin typeface="Cambria Math" panose="02040503050406030204" pitchFamily="18" charset="0"/>
                </a:rPr>
                <a:t>𝑟𝑜𝑡=  ℎ^2/(8</a:t>
              </a:r>
              <a:r>
                <a:rPr lang="it-IT" sz="1300" b="0" i="0">
                  <a:latin typeface="Cambria Math" panose="02040503050406030204" pitchFamily="18" charset="0"/>
                  <a:ea typeface="Cambria Math" panose="02040503050406030204" pitchFamily="18" charset="0"/>
                </a:rPr>
                <a:t>𝜋^</a:t>
              </a:r>
              <a:r>
                <a:rPr lang="it-IT" sz="1300" b="0" i="0">
                  <a:latin typeface="Cambria Math" panose="02040503050406030204" pitchFamily="18" charset="0"/>
                </a:rPr>
                <a:t>2</a:t>
              </a:r>
              <a:r>
                <a:rPr lang="it-IT" sz="1300" b="0" i="0">
                  <a:latin typeface="Cambria Math" panose="02040503050406030204" pitchFamily="18" charset="0"/>
                  <a:ea typeface="Cambria Math" panose="02040503050406030204" pitchFamily="18" charset="0"/>
                </a:rPr>
                <a:t> 𝐼 𝑘_𝑏 )</a:t>
              </a:r>
              <a:endParaRPr lang="en-US" sz="1300"/>
            </a:p>
          </xdr:txBody>
        </xdr:sp>
      </mc:Fallback>
    </mc:AlternateContent>
    <xdr:clientData/>
  </xdr:oneCellAnchor>
  <xdr:twoCellAnchor>
    <xdr:from>
      <xdr:col>4</xdr:col>
      <xdr:colOff>452528</xdr:colOff>
      <xdr:row>55</xdr:row>
      <xdr:rowOff>131380</xdr:rowOff>
    </xdr:from>
    <xdr:to>
      <xdr:col>6</xdr:col>
      <xdr:colOff>613104</xdr:colOff>
      <xdr:row>55</xdr:row>
      <xdr:rowOff>145977</xdr:rowOff>
    </xdr:to>
    <xdr:cxnSp macro="">
      <xdr:nvCxnSpPr>
        <xdr:cNvPr id="6" name="Straight Arrow Connector 5">
          <a:extLst>
            <a:ext uri="{FF2B5EF4-FFF2-40B4-BE49-F238E27FC236}">
              <a16:creationId xmlns:a16="http://schemas.microsoft.com/office/drawing/2014/main" id="{0331F06D-9144-F948-AC4F-BB486011E78C}"/>
            </a:ext>
          </a:extLst>
        </xdr:cNvPr>
        <xdr:cNvCxnSpPr/>
      </xdr:nvCxnSpPr>
      <xdr:spPr>
        <a:xfrm>
          <a:off x="6002428" y="15028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86930</xdr:colOff>
      <xdr:row>54</xdr:row>
      <xdr:rowOff>27468</xdr:rowOff>
    </xdr:from>
    <xdr:ext cx="2143857" cy="608821"/>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EE862BBF-67F0-564B-8106-BF4615AEFCC6}"/>
                </a:ext>
              </a:extLst>
            </xdr:cNvPr>
            <xdr:cNvSpPr txBox="1"/>
          </xdr:nvSpPr>
          <xdr:spPr>
            <a:xfrm>
              <a:off x="9383330" y="146705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
                      <a:rPr lang="it-IT" sz="1600" b="0" i="1">
                        <a:latin typeface="Cambria Math" panose="02040503050406030204" pitchFamily="18" charset="0"/>
                      </a:rPr>
                      <m:t>𝑉</m:t>
                    </m:r>
                  </m:oMath>
                </m:oMathPara>
              </a14:m>
              <a:endParaRPr lang="en-US" sz="1600"/>
            </a:p>
          </xdr:txBody>
        </xdr:sp>
      </mc:Choice>
      <mc:Fallback xmlns="">
        <xdr:sp macro="" textlink="">
          <xdr:nvSpPr>
            <xdr:cNvPr id="7" name="TextBox 6">
              <a:extLst>
                <a:ext uri="{FF2B5EF4-FFF2-40B4-BE49-F238E27FC236}">
                  <a16:creationId xmlns:a16="http://schemas.microsoft.com/office/drawing/2014/main" id="{EE862BBF-67F0-564B-8106-BF4615AEFCC6}"/>
                </a:ext>
              </a:extLst>
            </xdr:cNvPr>
            <xdr:cNvSpPr txBox="1"/>
          </xdr:nvSpPr>
          <xdr:spPr>
            <a:xfrm>
              <a:off x="9383330" y="14670568"/>
              <a:ext cx="2143857"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 𝑉</a:t>
              </a:r>
              <a:endParaRPr lang="en-US" sz="1600"/>
            </a:p>
          </xdr:txBody>
        </xdr:sp>
      </mc:Fallback>
    </mc:AlternateContent>
    <xdr:clientData/>
  </xdr:oneCellAnchor>
  <xdr:oneCellAnchor>
    <xdr:from>
      <xdr:col>7</xdr:col>
      <xdr:colOff>130190</xdr:colOff>
      <xdr:row>57</xdr:row>
      <xdr:rowOff>10697</xdr:rowOff>
    </xdr:from>
    <xdr:ext cx="2729209" cy="608821"/>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28F06C50-3951-0D42-AAB5-4A61CA4F9273}"/>
                </a:ext>
              </a:extLst>
            </xdr:cNvPr>
            <xdr:cNvSpPr txBox="1"/>
          </xdr:nvSpPr>
          <xdr:spPr>
            <a:xfrm>
              <a:off x="9426590" y="154919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en-US" sz="160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up>
                        <m:r>
                          <a:rPr lang="it-IT" sz="1600" b="0" i="1">
                            <a:latin typeface="Cambria Math" panose="02040503050406030204" pitchFamily="18" charset="0"/>
                          </a:rPr>
                          <m:t>𝑢𝑑𝑣</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sSub>
                          <m:sSubPr>
                            <m:ctrlPr>
                              <a:rPr lang="it-IT" sz="1600" b="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𝑡𝑟𝑎𝑠𝑙</m:t>
                            </m:r>
                          </m:sub>
                        </m:sSub>
                      </m:num>
                      <m:den>
                        <m:r>
                          <a:rPr lang="it-IT" sz="1600" b="0" i="1">
                            <a:latin typeface="Cambria Math" panose="02040503050406030204" pitchFamily="18" charset="0"/>
                          </a:rPr>
                          <m:t>𝑉</m:t>
                        </m:r>
                      </m:den>
                    </m:f>
                    <m:r>
                      <a:rPr lang="it-IT" sz="1600" b="0" i="1">
                        <a:latin typeface="Cambria Math" panose="02040503050406030204" pitchFamily="18" charset="0"/>
                      </a:rPr>
                      <m:t>=</m:t>
                    </m:r>
                    <m:sSup>
                      <m:sSupPr>
                        <m:ctrlPr>
                          <a:rPr lang="it-IT" sz="1600" b="0" i="1">
                            <a:latin typeface="Cambria Math" panose="02040503050406030204" pitchFamily="18" charset="0"/>
                          </a:rPr>
                        </m:ctrlPr>
                      </m:sSupPr>
                      <m:e>
                        <m:r>
                          <a:rPr lang="it-IT" sz="1600" b="0" i="1">
                            <a:latin typeface="Cambria Math" panose="02040503050406030204" pitchFamily="18" charset="0"/>
                          </a:rPr>
                          <m:t> </m:t>
                        </m:r>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r>
                                  <a:rPr lang="it-IT" sz="1600" b="0" i="1">
                                    <a:latin typeface="Cambria Math" panose="02040503050406030204" pitchFamily="18" charset="0"/>
                                    <a:ea typeface="Cambria Math" panose="02040503050406030204" pitchFamily="18" charset="0"/>
                                  </a:rPr>
                                  <m:t>𝑚</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num>
                              <m:den>
                                <m:sSup>
                                  <m:sSupPr>
                                    <m:ctrlPr>
                                      <a:rPr lang="it-IT" sz="1600" b="0" i="1">
                                        <a:latin typeface="Cambria Math" panose="02040503050406030204" pitchFamily="18" charset="0"/>
                                      </a:rPr>
                                    </m:ctrlPr>
                                  </m:sSupPr>
                                  <m:e>
                                    <m:r>
                                      <a:rPr lang="it-IT" sz="1600" b="0" i="1">
                                        <a:latin typeface="Cambria Math" panose="02040503050406030204" pitchFamily="18" charset="0"/>
                                      </a:rPr>
                                      <m:t>h</m:t>
                                    </m:r>
                                  </m:e>
                                  <m:sup>
                                    <m:r>
                                      <a:rPr lang="it-IT" sz="1600" b="0" i="1">
                                        <a:latin typeface="Cambria Math" panose="02040503050406030204" pitchFamily="18" charset="0"/>
                                      </a:rPr>
                                      <m:t>2</m:t>
                                    </m:r>
                                  </m:sup>
                                </m:sSup>
                              </m:den>
                            </m:f>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oMath>
                </m:oMathPara>
              </a14:m>
              <a:endParaRPr lang="en-US" sz="1600"/>
            </a:p>
          </xdr:txBody>
        </xdr:sp>
      </mc:Choice>
      <mc:Fallback xmlns="">
        <xdr:sp macro="" textlink="">
          <xdr:nvSpPr>
            <xdr:cNvPr id="8" name="TextBox 7">
              <a:extLst>
                <a:ext uri="{FF2B5EF4-FFF2-40B4-BE49-F238E27FC236}">
                  <a16:creationId xmlns:a16="http://schemas.microsoft.com/office/drawing/2014/main" id="{28F06C50-3951-0D42-AAB5-4A61CA4F9273}"/>
                </a:ext>
              </a:extLst>
            </xdr:cNvPr>
            <xdr:cNvSpPr txBox="1"/>
          </xdr:nvSpPr>
          <xdr:spPr>
            <a:xfrm>
              <a:off x="9426590" y="15491997"/>
              <a:ext cx="2729209" cy="608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𝑡𝑟𝑎𝑛𝑠𝑙^𝑢𝑑𝑣=𝑄_𝑡𝑟𝑎𝑠𝑙/𝑉=〖 ((2</a:t>
              </a:r>
              <a:r>
                <a:rPr lang="it-IT" sz="1600" b="0" i="0">
                  <a:latin typeface="Cambria Math" panose="02040503050406030204" pitchFamily="18" charset="0"/>
                  <a:ea typeface="Cambria Math" panose="02040503050406030204" pitchFamily="18" charset="0"/>
                </a:rPr>
                <a:t>𝜋𝑚𝑘_𝑏 𝑇)/</a:t>
              </a:r>
              <a:r>
                <a:rPr lang="it-IT" sz="1600" b="0" i="0">
                  <a:latin typeface="Cambria Math" panose="02040503050406030204" pitchFamily="18" charset="0"/>
                </a:rPr>
                <a:t>ℎ^2 )〗^(3/2)</a:t>
              </a:r>
              <a:endParaRPr lang="en-US" sz="1600"/>
            </a:p>
          </xdr:txBody>
        </xdr:sp>
      </mc:Fallback>
    </mc:AlternateContent>
    <xdr:clientData/>
  </xdr:oneCellAnchor>
  <xdr:twoCellAnchor>
    <xdr:from>
      <xdr:col>6</xdr:col>
      <xdr:colOff>750454</xdr:colOff>
      <xdr:row>54</xdr:row>
      <xdr:rowOff>72159</xdr:rowOff>
    </xdr:from>
    <xdr:to>
      <xdr:col>7</xdr:col>
      <xdr:colOff>137102</xdr:colOff>
      <xdr:row>59</xdr:row>
      <xdr:rowOff>127000</xdr:rowOff>
    </xdr:to>
    <xdr:sp macro="" textlink="">
      <xdr:nvSpPr>
        <xdr:cNvPr id="9" name="Left Brace 8">
          <a:extLst>
            <a:ext uri="{FF2B5EF4-FFF2-40B4-BE49-F238E27FC236}">
              <a16:creationId xmlns:a16="http://schemas.microsoft.com/office/drawing/2014/main" id="{81EEB428-D610-A542-9E02-5923DBA1D32E}"/>
            </a:ext>
          </a:extLst>
        </xdr:cNvPr>
        <xdr:cNvSpPr/>
      </xdr:nvSpPr>
      <xdr:spPr>
        <a:xfrm>
          <a:off x="8764154" y="14715259"/>
          <a:ext cx="669348" cy="1375641"/>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747447</xdr:colOff>
      <xdr:row>55</xdr:row>
      <xdr:rowOff>185401</xdr:rowOff>
    </xdr:from>
    <xdr:to>
      <xdr:col>14</xdr:col>
      <xdr:colOff>1066800</xdr:colOff>
      <xdr:row>60</xdr:row>
      <xdr:rowOff>96131</xdr:rowOff>
    </xdr:to>
    <mc:AlternateContent xmlns:mc="http://schemas.openxmlformats.org/markup-compatibility/2006" xmlns:a14="http://schemas.microsoft.com/office/drawing/2010/main">
      <mc:Choice Requires="a14">
        <xdr:sp macro="" textlink="">
          <xdr:nvSpPr>
            <xdr:cNvPr id="10" name="Rectangle 9">
              <a:extLst>
                <a:ext uri="{FF2B5EF4-FFF2-40B4-BE49-F238E27FC236}">
                  <a16:creationId xmlns:a16="http://schemas.microsoft.com/office/drawing/2014/main" id="{838948EE-5923-AE42-92F3-C75F987EC8F1}"/>
                </a:ext>
              </a:extLst>
            </xdr:cNvPr>
            <xdr:cNvSpPr/>
          </xdr:nvSpPr>
          <xdr:spPr>
            <a:xfrm>
              <a:off x="13345847" y="15082501"/>
              <a:ext cx="4726253" cy="12188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14:m>
                <m:oMath xmlns:m="http://schemas.openxmlformats.org/officeDocument/2006/math">
                  <m:r>
                    <a:rPr lang="it-IT" sz="1100" b="0" i="1" baseline="0">
                      <a:latin typeface="Cambria Math" panose="02040503050406030204" pitchFamily="18" charset="0"/>
                    </a:rPr>
                    <m:t>𝑃𝑉</m:t>
                  </m:r>
                  <m:r>
                    <a:rPr lang="it-IT" sz="1100" b="0" i="1" baseline="0">
                      <a:latin typeface="Cambria Math" panose="02040503050406030204" pitchFamily="18" charset="0"/>
                    </a:rPr>
                    <m:t>=</m:t>
                  </m:r>
                  <m:r>
                    <a:rPr lang="it-IT" sz="1100" b="0" i="1" baseline="0">
                      <a:latin typeface="Cambria Math" panose="02040503050406030204" pitchFamily="18" charset="0"/>
                    </a:rPr>
                    <m:t>𝑁𝑅𝑇</m:t>
                  </m:r>
                  <m:r>
                    <a:rPr lang="it-IT" sz="1100" b="0" i="1" baseline="0">
                      <a:latin typeface="Cambria Math" panose="02040503050406030204" pitchFamily="18" charset="0"/>
                    </a:rPr>
                    <m:t>=</m:t>
                  </m:r>
                  <m:d>
                    <m:dPr>
                      <m:ctrlPr>
                        <a:rPr lang="it-IT" sz="1100" b="0" i="1" baseline="0">
                          <a:latin typeface="Cambria Math" panose="02040503050406030204" pitchFamily="18" charset="0"/>
                        </a:rPr>
                      </m:ctrlPr>
                    </m:dPr>
                    <m:e>
                      <m:f>
                        <m:fPr>
                          <m:ctrlPr>
                            <a:rPr lang="it-IT" sz="1100" b="0" i="1" baseline="0">
                              <a:latin typeface="Cambria Math" panose="02040503050406030204" pitchFamily="18" charset="0"/>
                            </a:rPr>
                          </m:ctrlPr>
                        </m:fPr>
                        <m:num>
                          <m:r>
                            <a:rPr lang="it-IT" sz="1100" b="0" i="1" baseline="0">
                              <a:latin typeface="Cambria Math" panose="02040503050406030204" pitchFamily="18" charset="0"/>
                            </a:rPr>
                            <m:t>𝑛</m:t>
                          </m:r>
                        </m:num>
                        <m:den>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den>
                      </m:f>
                    </m:e>
                  </m:d>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𝑁</m:t>
                      </m:r>
                    </m:e>
                    <m:sub>
                      <m:r>
                        <a:rPr lang="it-IT" sz="1100" b="0" i="1" baseline="0">
                          <a:latin typeface="Cambria Math" panose="02040503050406030204" pitchFamily="18" charset="0"/>
                        </a:rPr>
                        <m:t>𝐴</m:t>
                      </m:r>
                    </m:sub>
                  </m:sSub>
                  <m:sSub>
                    <m:sSubPr>
                      <m:ctrlPr>
                        <a:rPr lang="it-IT" sz="1100" b="0" i="1" baseline="0">
                          <a:latin typeface="Cambria Math" panose="02040503050406030204" pitchFamily="18" charset="0"/>
                        </a:rPr>
                      </m:ctrlPr>
                    </m:sSubPr>
                    <m:e>
                      <m:r>
                        <a:rPr lang="it-IT" sz="1100" b="0" i="1" baseline="0">
                          <a:latin typeface="Cambria Math" panose="02040503050406030204" pitchFamily="18" charset="0"/>
                        </a:rPr>
                        <m:t>𝑘</m:t>
                      </m:r>
                    </m:e>
                    <m:sub>
                      <m:r>
                        <a:rPr lang="it-IT" sz="1100" b="0" i="1" baseline="0">
                          <a:latin typeface="Cambria Math" panose="02040503050406030204" pitchFamily="18" charset="0"/>
                        </a:rPr>
                        <m:t>𝑏</m:t>
                      </m:r>
                    </m:sub>
                  </m:sSub>
                  <m:r>
                    <a:rPr lang="it-IT" sz="1100" b="0" i="1" baseline="0">
                      <a:latin typeface="Cambria Math" panose="02040503050406030204" pitchFamily="18" charset="0"/>
                    </a:rPr>
                    <m:t>𝑇</m:t>
                  </m:r>
                  <m:r>
                    <a:rPr lang="it-IT" sz="1100" b="0" i="1" baseline="0">
                      <a:latin typeface="Cambria Math" panose="02040503050406030204" pitchFamily="18" charset="0"/>
                    </a:rPr>
                    <m:t> →</m:t>
                  </m:r>
                  <m:r>
                    <a:rPr lang="it-IT" sz="1100" b="0" i="1" baseline="0">
                      <a:latin typeface="Cambria Math" panose="02040503050406030204" pitchFamily="18" charset="0"/>
                      <a:ea typeface="Cambria Math" panose="02040503050406030204" pitchFamily="18" charset="0"/>
                    </a:rPr>
                    <m:t>𝑉</m:t>
                  </m:r>
                  <m:r>
                    <a:rPr lang="it-IT" sz="1100" b="0" i="1" baseline="0">
                      <a:latin typeface="Cambria Math" panose="02040503050406030204" pitchFamily="18" charset="0"/>
                      <a:ea typeface="Cambria Math" panose="02040503050406030204" pitchFamily="18" charset="0"/>
                    </a:rPr>
                    <m:t>=</m:t>
                  </m:r>
                  <m:f>
                    <m:fPr>
                      <m:ctrlPr>
                        <a:rPr lang="it-IT" sz="1100" b="0" i="1" baseline="0">
                          <a:latin typeface="Cambria Math" panose="02040503050406030204" pitchFamily="18" charset="0"/>
                          <a:ea typeface="Cambria Math" panose="02040503050406030204" pitchFamily="18" charset="0"/>
                        </a:rPr>
                      </m:ctrlPr>
                    </m:fPr>
                    <m:num>
                      <m:sSub>
                        <m:sSubPr>
                          <m:ctrlPr>
                            <a:rPr lang="it-IT" sz="1100" b="0" i="1" baseline="0">
                              <a:latin typeface="Cambria Math" panose="02040503050406030204" pitchFamily="18" charset="0"/>
                              <a:ea typeface="Cambria Math" panose="02040503050406030204" pitchFamily="18" charset="0"/>
                            </a:rPr>
                          </m:ctrlPr>
                        </m:sSubPr>
                        <m:e>
                          <m:r>
                            <a:rPr lang="it-IT" sz="1100" b="0" i="1" baseline="0">
                              <a:latin typeface="Cambria Math" panose="02040503050406030204" pitchFamily="18" charset="0"/>
                              <a:ea typeface="Cambria Math" panose="02040503050406030204" pitchFamily="18" charset="0"/>
                            </a:rPr>
                            <m:t>𝑘</m:t>
                          </m:r>
                        </m:e>
                        <m:sub>
                          <m:r>
                            <a:rPr lang="it-IT" sz="1100" b="0" i="1" baseline="0">
                              <a:latin typeface="Cambria Math" panose="02040503050406030204" pitchFamily="18" charset="0"/>
                              <a:ea typeface="Cambria Math" panose="02040503050406030204" pitchFamily="18" charset="0"/>
                            </a:rPr>
                            <m:t>𝑏</m:t>
                          </m:r>
                        </m:sub>
                      </m:sSub>
                      <m:r>
                        <a:rPr lang="it-IT" sz="1100" b="0" i="1" baseline="0">
                          <a:latin typeface="Cambria Math" panose="02040503050406030204" pitchFamily="18" charset="0"/>
                          <a:ea typeface="Cambria Math" panose="02040503050406030204" pitchFamily="18" charset="0"/>
                        </a:rPr>
                        <m:t>𝑇</m:t>
                      </m:r>
                    </m:num>
                    <m:den>
                      <m:r>
                        <a:rPr lang="it-IT" sz="1100" b="0" i="1" baseline="0">
                          <a:latin typeface="Cambria Math" panose="02040503050406030204" pitchFamily="18" charset="0"/>
                          <a:ea typeface="Cambria Math" panose="02040503050406030204" pitchFamily="18" charset="0"/>
                        </a:rPr>
                        <m:t>𝑃</m:t>
                      </m:r>
                    </m:den>
                  </m:f>
                </m:oMath>
              </a14:m>
              <a:r>
                <a:rPr lang="en-US" sz="1100" b="1" baseline="0"/>
                <a:t>  </a:t>
              </a:r>
              <a:endParaRPr lang="en-US" sz="1100" b="1"/>
            </a:p>
          </xdr:txBody>
        </xdr:sp>
      </mc:Choice>
      <mc:Fallback xmlns="">
        <xdr:sp macro="" textlink="">
          <xdr:nvSpPr>
            <xdr:cNvPr id="10" name="Rectangle 9">
              <a:extLst>
                <a:ext uri="{FF2B5EF4-FFF2-40B4-BE49-F238E27FC236}">
                  <a16:creationId xmlns:a16="http://schemas.microsoft.com/office/drawing/2014/main" id="{838948EE-5923-AE42-92F3-C75F987EC8F1}"/>
                </a:ext>
              </a:extLst>
            </xdr:cNvPr>
            <xdr:cNvSpPr/>
          </xdr:nvSpPr>
          <xdr:spPr>
            <a:xfrm>
              <a:off x="13345847" y="15082501"/>
              <a:ext cx="4726253" cy="121883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here</a:t>
              </a:r>
              <a:r>
                <a:rPr lang="en-US" sz="1100" baseline="0"/>
                <a:t> V is volume of the system considered (abc for a cubic volume).</a:t>
              </a:r>
            </a:p>
            <a:p>
              <a:pPr algn="l"/>
              <a:endParaRPr lang="en-US" sz="1100" baseline="0"/>
            </a:p>
            <a:p>
              <a:pPr algn="l"/>
              <a:r>
                <a:rPr lang="en-US" sz="1100" b="0" baseline="0"/>
                <a:t>In gaussian, since no volume is specified, the ideal gasses equation is used: </a:t>
              </a:r>
              <a:r>
                <a:rPr lang="it-IT" sz="1100" b="0" i="0" baseline="0">
                  <a:latin typeface="Cambria Math" panose="02040503050406030204" pitchFamily="18" charset="0"/>
                </a:rPr>
                <a:t>𝑃𝑉=𝑁𝑅𝑇=(𝑛/𝑁_𝐴 ) 𝑁_𝐴 𝑘_𝑏 𝑇 →</a:t>
              </a:r>
              <a:r>
                <a:rPr lang="it-IT" sz="1100" b="0" i="0" baseline="0">
                  <a:latin typeface="Cambria Math" panose="02040503050406030204" pitchFamily="18" charset="0"/>
                  <a:ea typeface="Cambria Math" panose="02040503050406030204" pitchFamily="18" charset="0"/>
                </a:rPr>
                <a:t>𝑉=(𝑘_𝑏 𝑇)/𝑃</a:t>
              </a:r>
              <a:r>
                <a:rPr lang="en-US" sz="1100" b="1" baseline="0"/>
                <a:t>  </a:t>
              </a:r>
              <a:endParaRPr lang="en-US" sz="1100" b="1"/>
            </a:p>
          </xdr:txBody>
        </xdr:sp>
      </mc:Fallback>
    </mc:AlternateContent>
    <xdr:clientData/>
  </xdr:twoCellAnchor>
  <xdr:twoCellAnchor>
    <xdr:from>
      <xdr:col>5</xdr:col>
      <xdr:colOff>540926</xdr:colOff>
      <xdr:row>38</xdr:row>
      <xdr:rowOff>35278</xdr:rowOff>
    </xdr:from>
    <xdr:to>
      <xdr:col>5</xdr:col>
      <xdr:colOff>623241</xdr:colOff>
      <xdr:row>39</xdr:row>
      <xdr:rowOff>211666</xdr:rowOff>
    </xdr:to>
    <xdr:cxnSp macro="">
      <xdr:nvCxnSpPr>
        <xdr:cNvPr id="11" name="Straight Arrow Connector 10">
          <a:extLst>
            <a:ext uri="{FF2B5EF4-FFF2-40B4-BE49-F238E27FC236}">
              <a16:creationId xmlns:a16="http://schemas.microsoft.com/office/drawing/2014/main" id="{C00644E3-136C-314C-8896-1CB84BE938FA}"/>
            </a:ext>
          </a:extLst>
        </xdr:cNvPr>
        <xdr:cNvCxnSpPr/>
      </xdr:nvCxnSpPr>
      <xdr:spPr>
        <a:xfrm flipV="1">
          <a:off x="7462426" y="9992078"/>
          <a:ext cx="82315" cy="41768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4</xdr:col>
      <xdr:colOff>933615</xdr:colOff>
      <xdr:row>35</xdr:row>
      <xdr:rowOff>212608</xdr:rowOff>
    </xdr:from>
    <xdr:ext cx="1638370" cy="591059"/>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BBB3962B-15EC-7D45-A2AE-35D0F14F2EAF}"/>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300" i="1">
                        <a:latin typeface="Cambria Math" panose="02040503050406030204" pitchFamily="18" charset="0"/>
                        <a:ea typeface="Cambria Math" panose="02040503050406030204" pitchFamily="18" charset="0"/>
                      </a:rPr>
                      <m:t>𝜈</m:t>
                    </m:r>
                    <m:r>
                      <a:rPr lang="it-IT" sz="1300" b="0" i="1">
                        <a:latin typeface="Cambria Math" panose="02040503050406030204" pitchFamily="18" charset="0"/>
                        <a:ea typeface="Cambria Math" panose="02040503050406030204" pitchFamily="18" charset="0"/>
                      </a:rPr>
                      <m:t>=</m:t>
                    </m:r>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1</m:t>
                        </m:r>
                      </m:num>
                      <m:den>
                        <m:r>
                          <a:rPr lang="it-IT" sz="1300" b="0" i="1">
                            <a:latin typeface="Cambria Math" panose="02040503050406030204" pitchFamily="18" charset="0"/>
                            <a:ea typeface="Cambria Math" panose="02040503050406030204" pitchFamily="18" charset="0"/>
                          </a:rPr>
                          <m:t>2</m:t>
                        </m:r>
                        <m:r>
                          <a:rPr lang="it-IT" sz="1300" b="0" i="1">
                            <a:latin typeface="Cambria Math" panose="02040503050406030204" pitchFamily="18" charset="0"/>
                            <a:ea typeface="Cambria Math" panose="02040503050406030204" pitchFamily="18" charset="0"/>
                          </a:rPr>
                          <m:t>𝜋</m:t>
                        </m:r>
                        <m:r>
                          <a:rPr lang="it-IT" sz="1300" b="0" i="1">
                            <a:latin typeface="Cambria Math" panose="02040503050406030204" pitchFamily="18" charset="0"/>
                            <a:ea typeface="Cambria Math" panose="02040503050406030204" pitchFamily="18" charset="0"/>
                          </a:rPr>
                          <m:t>𝑐</m:t>
                        </m:r>
                      </m:den>
                    </m:f>
                    <m:rad>
                      <m:radPr>
                        <m:degHide m:val="on"/>
                        <m:ctrlPr>
                          <a:rPr lang="it-IT" sz="1300" b="0" i="1">
                            <a:latin typeface="Cambria Math" panose="02040503050406030204" pitchFamily="18" charset="0"/>
                            <a:ea typeface="Cambria Math" panose="02040503050406030204" pitchFamily="18" charset="0"/>
                          </a:rPr>
                        </m:ctrlPr>
                      </m:radPr>
                      <m:deg/>
                      <m:e>
                        <m:f>
                          <m:fPr>
                            <m:ctrlPr>
                              <a:rPr lang="it-IT" sz="1300" b="0" i="1">
                                <a:latin typeface="Cambria Math" panose="02040503050406030204" pitchFamily="18" charset="0"/>
                                <a:ea typeface="Cambria Math" panose="02040503050406030204" pitchFamily="18" charset="0"/>
                              </a:rPr>
                            </m:ctrlPr>
                          </m:fPr>
                          <m:num>
                            <m:r>
                              <a:rPr lang="it-IT" sz="1300" b="0" i="1">
                                <a:latin typeface="Cambria Math" panose="02040503050406030204" pitchFamily="18" charset="0"/>
                                <a:ea typeface="Cambria Math" panose="02040503050406030204" pitchFamily="18" charset="0"/>
                              </a:rPr>
                              <m:t>𝑘</m:t>
                            </m:r>
                          </m:num>
                          <m:den>
                            <m:r>
                              <a:rPr lang="it-IT" sz="1300" b="0" i="1">
                                <a:solidFill>
                                  <a:srgbClr val="FF0000"/>
                                </a:solidFill>
                                <a:latin typeface="Cambria Math" panose="02040503050406030204" pitchFamily="18" charset="0"/>
                                <a:ea typeface="Cambria Math" panose="02040503050406030204" pitchFamily="18" charset="0"/>
                              </a:rPr>
                              <m:t>𝜇</m:t>
                            </m:r>
                          </m:den>
                        </m:f>
                      </m:e>
                    </m:rad>
                  </m:oMath>
                </m:oMathPara>
              </a14:m>
              <a:endParaRPr lang="en-US" sz="1300"/>
            </a:p>
          </xdr:txBody>
        </xdr:sp>
      </mc:Choice>
      <mc:Fallback xmlns="">
        <xdr:sp macro="" textlink="">
          <xdr:nvSpPr>
            <xdr:cNvPr id="12" name="TextBox 11">
              <a:extLst>
                <a:ext uri="{FF2B5EF4-FFF2-40B4-BE49-F238E27FC236}">
                  <a16:creationId xmlns:a16="http://schemas.microsoft.com/office/drawing/2014/main" id="{BBB3962B-15EC-7D45-A2AE-35D0F14F2EAF}"/>
                </a:ext>
              </a:extLst>
            </xdr:cNvPr>
            <xdr:cNvSpPr txBox="1"/>
          </xdr:nvSpPr>
          <xdr:spPr>
            <a:xfrm>
              <a:off x="6483515" y="9407408"/>
              <a:ext cx="1638370" cy="591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300" i="0">
                  <a:latin typeface="Cambria Math" panose="02040503050406030204" pitchFamily="18" charset="0"/>
                  <a:ea typeface="Cambria Math" panose="02040503050406030204" pitchFamily="18" charset="0"/>
                </a:rPr>
                <a:t>𝜈</a:t>
              </a:r>
              <a:r>
                <a:rPr lang="it-IT" sz="1300" b="0" i="0">
                  <a:latin typeface="Cambria Math" panose="02040503050406030204" pitchFamily="18" charset="0"/>
                  <a:ea typeface="Cambria Math" panose="02040503050406030204" pitchFamily="18" charset="0"/>
                </a:rPr>
                <a:t>=1/2𝜋𝑐 √(𝑘/</a:t>
              </a:r>
              <a:r>
                <a:rPr lang="it-IT" sz="1300" b="0" i="0">
                  <a:solidFill>
                    <a:srgbClr val="FF0000"/>
                  </a:solidFill>
                  <a:latin typeface="Cambria Math" panose="02040503050406030204" pitchFamily="18" charset="0"/>
                  <a:ea typeface="Cambria Math" panose="02040503050406030204" pitchFamily="18" charset="0"/>
                </a:rPr>
                <a:t>𝜇)</a:t>
              </a:r>
              <a:endParaRPr lang="en-US" sz="1300"/>
            </a:p>
          </xdr:txBody>
        </xdr:sp>
      </mc:Fallback>
    </mc:AlternateContent>
    <xdr:clientData/>
  </xdr:oneCellAnchor>
  <xdr:twoCellAnchor>
    <xdr:from>
      <xdr:col>5</xdr:col>
      <xdr:colOff>1023055</xdr:colOff>
      <xdr:row>37</xdr:row>
      <xdr:rowOff>223426</xdr:rowOff>
    </xdr:from>
    <xdr:to>
      <xdr:col>6</xdr:col>
      <xdr:colOff>576204</xdr:colOff>
      <xdr:row>39</xdr:row>
      <xdr:rowOff>199907</xdr:rowOff>
    </xdr:to>
    <xdr:cxnSp macro="">
      <xdr:nvCxnSpPr>
        <xdr:cNvPr id="13" name="Straight Arrow Connector 12">
          <a:extLst>
            <a:ext uri="{FF2B5EF4-FFF2-40B4-BE49-F238E27FC236}">
              <a16:creationId xmlns:a16="http://schemas.microsoft.com/office/drawing/2014/main" id="{F357762E-3CC3-2D46-BC03-5194C40C2540}"/>
            </a:ext>
          </a:extLst>
        </xdr:cNvPr>
        <xdr:cNvCxnSpPr/>
      </xdr:nvCxnSpPr>
      <xdr:spPr>
        <a:xfrm flipH="1" flipV="1">
          <a:off x="7944555" y="9926226"/>
          <a:ext cx="645349" cy="471781"/>
        </a:xfrm>
        <a:prstGeom prst="straightConnector1">
          <a:avLst/>
        </a:prstGeom>
        <a:ln>
          <a:solidFill>
            <a:srgbClr val="FF0000"/>
          </a:solidFill>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728134</xdr:colOff>
      <xdr:row>70</xdr:row>
      <xdr:rowOff>222790</xdr:rowOff>
    </xdr:from>
    <xdr:to>
      <xdr:col>14</xdr:col>
      <xdr:colOff>351463</xdr:colOff>
      <xdr:row>85</xdr:row>
      <xdr:rowOff>135466</xdr:rowOff>
    </xdr:to>
    <xdr:graphicFrame macro="">
      <xdr:nvGraphicFramePr>
        <xdr:cNvPr id="14" name="Chart 13">
          <a:extLst>
            <a:ext uri="{FF2B5EF4-FFF2-40B4-BE49-F238E27FC236}">
              <a16:creationId xmlns:a16="http://schemas.microsoft.com/office/drawing/2014/main" id="{941ACC81-CF68-4F4B-B758-6704AB369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359975</xdr:colOff>
      <xdr:row>92</xdr:row>
      <xdr:rowOff>168476</xdr:rowOff>
    </xdr:from>
    <xdr:to>
      <xdr:col>6</xdr:col>
      <xdr:colOff>520551</xdr:colOff>
      <xdr:row>92</xdr:row>
      <xdr:rowOff>183073</xdr:rowOff>
    </xdr:to>
    <xdr:cxnSp macro="">
      <xdr:nvCxnSpPr>
        <xdr:cNvPr id="15" name="Straight Arrow Connector 14">
          <a:extLst>
            <a:ext uri="{FF2B5EF4-FFF2-40B4-BE49-F238E27FC236}">
              <a16:creationId xmlns:a16="http://schemas.microsoft.com/office/drawing/2014/main" id="{13F1698C-6E8A-D348-BAAD-D08333C7CAF9}"/>
            </a:ext>
          </a:extLst>
        </xdr:cNvPr>
        <xdr:cNvCxnSpPr/>
      </xdr:nvCxnSpPr>
      <xdr:spPr>
        <a:xfrm>
          <a:off x="5909875" y="24069876"/>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887238</xdr:colOff>
      <xdr:row>90</xdr:row>
      <xdr:rowOff>194410</xdr:rowOff>
    </xdr:from>
    <xdr:ext cx="2036135" cy="805477"/>
    <mc:AlternateContent xmlns:mc="http://schemas.openxmlformats.org/markup-compatibility/2006" xmlns:a14="http://schemas.microsoft.com/office/drawing/2010/main">
      <mc:Choice Requires="a14">
        <xdr:sp macro="" textlink="">
          <xdr:nvSpPr>
            <xdr:cNvPr id="16" name="TextBox 15">
              <a:extLst>
                <a:ext uri="{FF2B5EF4-FFF2-40B4-BE49-F238E27FC236}">
                  <a16:creationId xmlns:a16="http://schemas.microsoft.com/office/drawing/2014/main" id="{3758F8BB-1812-494A-9962-67248F889214}"/>
                </a:ext>
              </a:extLst>
            </xdr:cNvPr>
            <xdr:cNvSpPr txBox="1"/>
          </xdr:nvSpPr>
          <xdr:spPr>
            <a:xfrm>
              <a:off x="8900938" y="23613210"/>
              <a:ext cx="2036135" cy="8054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𝑣𝑖𝑏</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=1</m:t>
                        </m:r>
                      </m:sub>
                      <m:sup>
                        <m:sSub>
                          <m:sSubPr>
                            <m:ctrlPr>
                              <a:rPr lang="it-IT" sz="1600" b="0" i="1">
                                <a:latin typeface="Cambria Math" panose="02040503050406030204" pitchFamily="18" charset="0"/>
                              </a:rPr>
                            </m:ctrlPr>
                          </m:sSubPr>
                          <m:e>
                            <m:r>
                              <a:rPr lang="it-IT" sz="1600" b="0" i="1">
                                <a:latin typeface="Cambria Math" panose="02040503050406030204" pitchFamily="18" charset="0"/>
                              </a:rPr>
                              <m:t>𝑁</m:t>
                            </m:r>
                          </m:e>
                          <m:sub>
                            <m:r>
                              <a:rPr lang="it-IT" sz="1600" b="0" i="1">
                                <a:latin typeface="Cambria Math" panose="02040503050406030204" pitchFamily="18" charset="0"/>
                              </a:rPr>
                              <m:t>𝑣𝑖𝑏</m:t>
                            </m:r>
                          </m:sub>
                        </m:sSub>
                      </m:sup>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r>
                                          <a:rPr lang="it-IT" sz="1600" b="0" i="1">
                                            <a:latin typeface="Cambria Math" panose="02040503050406030204" pitchFamily="18" charset="0"/>
                                          </a:rPr>
                                          <m:t>2</m:t>
                                        </m:r>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num>
                          <m:den>
                            <m:r>
                              <a:rPr lang="it-IT" sz="1600" b="0" i="1">
                                <a:latin typeface="Cambria Math" panose="02040503050406030204" pitchFamily="18" charset="0"/>
                              </a:rPr>
                              <m:t>1−</m:t>
                            </m:r>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d>
                                  <m:dPr>
                                    <m:ctrlPr>
                                      <a:rPr lang="it-IT" sz="1600" b="0" i="1">
                                        <a:latin typeface="Cambria Math" panose="02040503050406030204" pitchFamily="18" charset="0"/>
                                      </a:rPr>
                                    </m:ctrlPr>
                                  </m:dPr>
                                  <m:e>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h</m:t>
                                        </m:r>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𝜐</m:t>
                                            </m:r>
                                          </m:e>
                                          <m:sub>
                                            <m:r>
                                              <a:rPr lang="it-IT" sz="1600" b="0" i="1">
                                                <a:latin typeface="Cambria Math" panose="02040503050406030204" pitchFamily="18" charset="0"/>
                                              </a:rPr>
                                              <m:t>𝑖</m:t>
                                            </m:r>
                                          </m:sub>
                                        </m:sSub>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e>
                                </m:d>
                              </m:sup>
                            </m:sSup>
                          </m:den>
                        </m:f>
                      </m:e>
                    </m:nary>
                  </m:oMath>
                </m:oMathPara>
              </a14:m>
              <a:endParaRPr lang="en-US" sz="1600"/>
            </a:p>
          </xdr:txBody>
        </xdr:sp>
      </mc:Choice>
      <mc:Fallback xmlns="">
        <xdr:sp macro="" textlink="">
          <xdr:nvSpPr>
            <xdr:cNvPr id="16" name="TextBox 15">
              <a:extLst>
                <a:ext uri="{FF2B5EF4-FFF2-40B4-BE49-F238E27FC236}">
                  <a16:creationId xmlns:a16="http://schemas.microsoft.com/office/drawing/2014/main" id="{3758F8BB-1812-494A-9962-67248F889214}"/>
                </a:ext>
              </a:extLst>
            </xdr:cNvPr>
            <xdr:cNvSpPr txBox="1"/>
          </xdr:nvSpPr>
          <xdr:spPr>
            <a:xfrm>
              <a:off x="8900938" y="23613210"/>
              <a:ext cx="2036135" cy="8054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𝑣𝑖𝑏=∏_(𝑖=1)^(𝑁_𝑣𝑖𝑏)▒𝑒^((−(ℎ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𝑖)/(2𝑘_𝑏 𝑇)) )/(1−𝑒^((−(ℎ</a:t>
              </a:r>
              <a:r>
                <a:rPr lang="it-IT" sz="1600" b="0" i="0">
                  <a:latin typeface="Cambria Math" panose="02040503050406030204" pitchFamily="18" charset="0"/>
                  <a:ea typeface="Cambria Math" panose="02040503050406030204" pitchFamily="18" charset="0"/>
                </a:rPr>
                <a:t>𝜐_</a:t>
              </a:r>
              <a:r>
                <a:rPr lang="it-IT" sz="1600" b="0" i="0">
                  <a:latin typeface="Cambria Math" panose="02040503050406030204" pitchFamily="18" charset="0"/>
                </a:rPr>
                <a:t>𝑖)/(𝑘_𝑏 𝑇)) ) )</a:t>
              </a:r>
              <a:endParaRPr lang="en-US" sz="1600"/>
            </a:p>
          </xdr:txBody>
        </xdr:sp>
      </mc:Fallback>
    </mc:AlternateContent>
    <xdr:clientData/>
  </xdr:oneCellAnchor>
  <xdr:twoCellAnchor>
    <xdr:from>
      <xdr:col>9</xdr:col>
      <xdr:colOff>445581</xdr:colOff>
      <xdr:row>90</xdr:row>
      <xdr:rowOff>63114</xdr:rowOff>
    </xdr:from>
    <xdr:to>
      <xdr:col>12</xdr:col>
      <xdr:colOff>766140</xdr:colOff>
      <xdr:row>94</xdr:row>
      <xdr:rowOff>220870</xdr:rowOff>
    </xdr:to>
    <xdr:sp macro="" textlink="">
      <xdr:nvSpPr>
        <xdr:cNvPr id="17" name="Rectangle 16">
          <a:extLst>
            <a:ext uri="{FF2B5EF4-FFF2-40B4-BE49-F238E27FC236}">
              <a16:creationId xmlns:a16="http://schemas.microsoft.com/office/drawing/2014/main" id="{D6F1A16C-ABA9-0D41-B95A-2E11C99DCC5B}"/>
            </a:ext>
          </a:extLst>
        </xdr:cNvPr>
        <xdr:cNvSpPr/>
      </xdr:nvSpPr>
      <xdr:spPr>
        <a:xfrm>
          <a:off x="11926381" y="23481914"/>
          <a:ext cx="3609859" cy="122455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a:t>
          </a:r>
          <a:r>
            <a:rPr lang="en-US" sz="1100" b="1" baseline="-25000"/>
            <a:t>vib</a:t>
          </a:r>
          <a:r>
            <a:rPr lang="en-US" sz="1100" b="1" baseline="0"/>
            <a:t> represents the number of vibrational modes of a molecule. Since those only depend from the mass of the atoms in the molecule and are not dependent on the temperature considered, we will use directly the experimental data for the theoretical results calculation</a:t>
          </a:r>
          <a:endParaRPr lang="en-US" sz="1100" b="1" baseline="-25000"/>
        </a:p>
      </xdr:txBody>
    </xdr:sp>
    <xdr:clientData/>
  </xdr:twoCellAnchor>
  <xdr:twoCellAnchor>
    <xdr:from>
      <xdr:col>17</xdr:col>
      <xdr:colOff>558800</xdr:colOff>
      <xdr:row>107</xdr:row>
      <xdr:rowOff>228599</xdr:rowOff>
    </xdr:from>
    <xdr:to>
      <xdr:col>22</xdr:col>
      <xdr:colOff>728383</xdr:colOff>
      <xdr:row>124</xdr:row>
      <xdr:rowOff>50800</xdr:rowOff>
    </xdr:to>
    <xdr:graphicFrame macro="">
      <xdr:nvGraphicFramePr>
        <xdr:cNvPr id="18" name="Chart 17">
          <a:extLst>
            <a:ext uri="{FF2B5EF4-FFF2-40B4-BE49-F238E27FC236}">
              <a16:creationId xmlns:a16="http://schemas.microsoft.com/office/drawing/2014/main" id="{1F6A16DE-A3D7-544C-B79A-B1A297071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452528</xdr:colOff>
      <xdr:row>127</xdr:row>
      <xdr:rowOff>131380</xdr:rowOff>
    </xdr:from>
    <xdr:to>
      <xdr:col>6</xdr:col>
      <xdr:colOff>613104</xdr:colOff>
      <xdr:row>127</xdr:row>
      <xdr:rowOff>145977</xdr:rowOff>
    </xdr:to>
    <xdr:cxnSp macro="">
      <xdr:nvCxnSpPr>
        <xdr:cNvPr id="19" name="Straight Arrow Connector 18">
          <a:extLst>
            <a:ext uri="{FF2B5EF4-FFF2-40B4-BE49-F238E27FC236}">
              <a16:creationId xmlns:a16="http://schemas.microsoft.com/office/drawing/2014/main" id="{41F3ABE2-4B10-414B-9CFB-92D597615D16}"/>
            </a:ext>
          </a:extLst>
        </xdr:cNvPr>
        <xdr:cNvCxnSpPr/>
      </xdr:nvCxnSpPr>
      <xdr:spPr>
        <a:xfrm>
          <a:off x="6002428" y="329354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125030</xdr:colOff>
      <xdr:row>125</xdr:row>
      <xdr:rowOff>179868</xdr:rowOff>
    </xdr:from>
    <xdr:ext cx="1504001" cy="494110"/>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F8AF1559-4E80-034B-8A54-D3B9F9ADB93B}"/>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2</m:t>
                        </m:r>
                        <m:r>
                          <a:rPr lang="it-IT" sz="1600" b="0" i="1">
                            <a:latin typeface="Cambria Math" panose="02040503050406030204" pitchFamily="18" charset="0"/>
                          </a:rPr>
                          <m:t>𝐷</m:t>
                        </m:r>
                      </m:sup>
                    </m:sSubSup>
                    <m:r>
                      <a:rPr lang="it-IT" sz="1600" b="0" i="1">
                        <a:latin typeface="Cambria Math" panose="02040503050406030204" pitchFamily="18" charset="0"/>
                      </a:rPr>
                      <m:t>=</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𝑇𝐼</m:t>
                        </m:r>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20" name="TextBox 19">
              <a:extLst>
                <a:ext uri="{FF2B5EF4-FFF2-40B4-BE49-F238E27FC236}">
                  <a16:creationId xmlns:a16="http://schemas.microsoft.com/office/drawing/2014/main" id="{F8AF1559-4E80-034B-8A54-D3B9F9ADB93B}"/>
                </a:ext>
              </a:extLst>
            </xdr:cNvPr>
            <xdr:cNvSpPr txBox="1"/>
          </xdr:nvSpPr>
          <xdr:spPr>
            <a:xfrm>
              <a:off x="9421430" y="32539468"/>
              <a:ext cx="1504001" cy="494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𝑄_𝑟𝑜𝑡^2𝐷=(8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𝑘_𝑏 𝑇𝐼)/(</a:t>
              </a:r>
              <a:r>
                <a:rPr lang="it-IT" sz="1600" b="0" i="0">
                  <a:latin typeface="Cambria Math" panose="02040503050406030204" pitchFamily="18" charset="0"/>
                  <a:ea typeface="Cambria Math" panose="02040503050406030204" pitchFamily="18" charset="0"/>
                </a:rPr>
                <a:t>𝜎ℎ^2 )</a:t>
              </a:r>
              <a:endParaRPr lang="en-US" sz="1600"/>
            </a:p>
          </xdr:txBody>
        </xdr:sp>
      </mc:Fallback>
    </mc:AlternateContent>
    <xdr:clientData/>
  </xdr:oneCellAnchor>
  <xdr:twoCellAnchor>
    <xdr:from>
      <xdr:col>6</xdr:col>
      <xdr:colOff>750454</xdr:colOff>
      <xdr:row>126</xdr:row>
      <xdr:rowOff>72159</xdr:rowOff>
    </xdr:from>
    <xdr:to>
      <xdr:col>7</xdr:col>
      <xdr:colOff>137102</xdr:colOff>
      <xdr:row>130</xdr:row>
      <xdr:rowOff>202046</xdr:rowOff>
    </xdr:to>
    <xdr:sp macro="" textlink="">
      <xdr:nvSpPr>
        <xdr:cNvPr id="21" name="Left Brace 20">
          <a:extLst>
            <a:ext uri="{FF2B5EF4-FFF2-40B4-BE49-F238E27FC236}">
              <a16:creationId xmlns:a16="http://schemas.microsoft.com/office/drawing/2014/main" id="{FA6A8B8D-171A-6144-8B44-AFEF57BB5F39}"/>
            </a:ext>
          </a:extLst>
        </xdr:cNvPr>
        <xdr:cNvSpPr/>
      </xdr:nvSpPr>
      <xdr:spPr>
        <a:xfrm>
          <a:off x="8764154" y="32634959"/>
          <a:ext cx="669348" cy="1222087"/>
        </a:xfrm>
        <a:prstGeom prst="leftBrace">
          <a:avLst>
            <a:gd name="adj1" fmla="val 8333"/>
            <a:gd name="adj2" fmla="val 26786"/>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418580</xdr:colOff>
      <xdr:row>125</xdr:row>
      <xdr:rowOff>183035</xdr:rowOff>
    </xdr:from>
    <xdr:to>
      <xdr:col>14</xdr:col>
      <xdr:colOff>737933</xdr:colOff>
      <xdr:row>130</xdr:row>
      <xdr:rowOff>238851</xdr:rowOff>
    </xdr:to>
    <mc:AlternateContent xmlns:mc="http://schemas.openxmlformats.org/markup-compatibility/2006" xmlns:a14="http://schemas.microsoft.com/office/drawing/2010/main">
      <mc:Choice Requires="a14">
        <xdr:sp macro="" textlink="">
          <xdr:nvSpPr>
            <xdr:cNvPr id="22" name="Rectangle 21">
              <a:extLst>
                <a:ext uri="{FF2B5EF4-FFF2-40B4-BE49-F238E27FC236}">
                  <a16:creationId xmlns:a16="http://schemas.microsoft.com/office/drawing/2014/main" id="{DA005E20-A587-8F4D-81C9-E792313263F3}"/>
                </a:ext>
              </a:extLst>
            </xdr:cNvPr>
            <xdr:cNvSpPr/>
          </xdr:nvSpPr>
          <xdr:spPr>
            <a:xfrm>
              <a:off x="130169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14:m>
                <m:oMath xmlns:m="http://schemas.openxmlformats.org/officeDocument/2006/math">
                  <m:r>
                    <a:rPr lang="it-IT" sz="1100" b="1" i="1">
                      <a:latin typeface="Cambria Math" panose="02040503050406030204" pitchFamily="18" charset="0"/>
                      <a:ea typeface="Cambria Math" panose="02040503050406030204" pitchFamily="18" charset="0"/>
                    </a:rPr>
                    <m:t>𝝈</m:t>
                  </m:r>
                </m:oMath>
              </a14:m>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Choice>
      <mc:Fallback xmlns="">
        <xdr:sp macro="" textlink="">
          <xdr:nvSpPr>
            <xdr:cNvPr id="22" name="Rectangle 21">
              <a:extLst>
                <a:ext uri="{FF2B5EF4-FFF2-40B4-BE49-F238E27FC236}">
                  <a16:creationId xmlns:a16="http://schemas.microsoft.com/office/drawing/2014/main" id="{DA005E20-A587-8F4D-81C9-E792313263F3}"/>
                </a:ext>
              </a:extLst>
            </xdr:cNvPr>
            <xdr:cNvSpPr/>
          </xdr:nvSpPr>
          <xdr:spPr>
            <a:xfrm>
              <a:off x="13016980" y="32542635"/>
              <a:ext cx="4726253" cy="13512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I</a:t>
              </a:r>
              <a:r>
                <a:rPr lang="en-US" sz="1100" b="1" baseline="-25000"/>
                <a:t>x</a:t>
              </a:r>
              <a:r>
                <a:rPr lang="en-US" sz="1100" b="0"/>
                <a:t>,</a:t>
              </a:r>
              <a:r>
                <a:rPr lang="en-US" sz="1100" b="1" baseline="0"/>
                <a:t> I</a:t>
              </a:r>
              <a:r>
                <a:rPr lang="en-US" sz="1100" b="1" baseline="-25000"/>
                <a:t>y</a:t>
              </a:r>
              <a:r>
                <a:rPr lang="en-US" sz="1100" b="0" baseline="0"/>
                <a:t>,</a:t>
              </a:r>
              <a:r>
                <a:rPr lang="en-US" sz="1100" b="1" baseline="0"/>
                <a:t> I</a:t>
              </a:r>
              <a:r>
                <a:rPr lang="en-US" sz="1100" b="1" baseline="-25000"/>
                <a:t>z</a:t>
              </a:r>
              <a:r>
                <a:rPr lang="en-US" sz="1100" b="1" baseline="0"/>
                <a:t> </a:t>
              </a:r>
              <a:r>
                <a:rPr lang="en-US" sz="1100" b="0" baseline="0"/>
                <a:t>are the principal moments of inertia, while </a:t>
              </a:r>
              <a:r>
                <a:rPr lang="it-IT" sz="1100" b="1" i="0">
                  <a:latin typeface="Cambria Math" panose="02040503050406030204" pitchFamily="18" charset="0"/>
                  <a:ea typeface="Cambria Math" panose="02040503050406030204" pitchFamily="18" charset="0"/>
                </a:rPr>
                <a:t>𝝈</a:t>
              </a:r>
              <a:r>
                <a:rPr lang="en-US" sz="1100" b="1" baseline="0"/>
                <a:t> </a:t>
              </a:r>
              <a:r>
                <a:rPr lang="en-US" sz="1100" b="0" baseline="0"/>
                <a:t>is the rotational simmetry number (number of identical configurations obtained by rotation of the molecule around he center of simmetry). </a:t>
              </a:r>
              <a:r>
                <a:rPr lang="en-US" sz="1100" b="0"/>
                <a:t>Furthermore, Gaussian</a:t>
              </a:r>
              <a:r>
                <a:rPr lang="en-US" sz="1100" b="0" baseline="0"/>
                <a:t> internally uses a different formulation for the rotational partition function:</a:t>
              </a:r>
              <a:endParaRPr lang="en-US" sz="1100" b="0"/>
            </a:p>
          </xdr:txBody>
        </xdr:sp>
      </mc:Fallback>
    </mc:AlternateContent>
    <xdr:clientData/>
  </xdr:twoCellAnchor>
  <xdr:oneCellAnchor>
    <xdr:from>
      <xdr:col>7</xdr:col>
      <xdr:colOff>62175</xdr:colOff>
      <xdr:row>128</xdr:row>
      <xdr:rowOff>95489</xdr:rowOff>
    </xdr:from>
    <xdr:ext cx="2805896" cy="622543"/>
    <mc:AlternateContent xmlns:mc="http://schemas.openxmlformats.org/markup-compatibility/2006" xmlns:a14="http://schemas.microsoft.com/office/drawing/2010/main">
      <mc:Choice Requires="a14">
        <xdr:sp macro="" textlink="">
          <xdr:nvSpPr>
            <xdr:cNvPr id="23" name="TextBox 22">
              <a:extLst>
                <a:ext uri="{FF2B5EF4-FFF2-40B4-BE49-F238E27FC236}">
                  <a16:creationId xmlns:a16="http://schemas.microsoft.com/office/drawing/2014/main" id="{7FCDC0FA-A9A0-0F4E-AD7A-E919D4C76EA6}"/>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(1)=</m:t>
                    </m:r>
                    <m:f>
                      <m:fPr>
                        <m:ctrlPr>
                          <a:rPr lang="it-IT" sz="1600" b="0" i="1">
                            <a:latin typeface="Cambria Math" panose="02040503050406030204" pitchFamily="18" charset="0"/>
                          </a:rPr>
                        </m:ctrlPr>
                      </m:fPr>
                      <m:num>
                        <m:r>
                          <a:rPr lang="it-IT" sz="1600" b="0" i="1">
                            <a:latin typeface="Cambria Math" panose="02040503050406030204" pitchFamily="18" charset="0"/>
                          </a:rPr>
                          <m:t>8</m:t>
                        </m:r>
                        <m:sSup>
                          <m:sSupPr>
                            <m:ctrlPr>
                              <a:rPr lang="it-IT" sz="1600" b="0" i="1">
                                <a:latin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𝜋</m:t>
                            </m:r>
                          </m:e>
                          <m:sup>
                            <m:r>
                              <a:rPr lang="it-IT" sz="1600" b="0" i="1">
                                <a:latin typeface="Cambria Math" panose="02040503050406030204" pitchFamily="18" charset="0"/>
                              </a:rPr>
                              <m:t>2</m:t>
                            </m:r>
                          </m:sup>
                        </m:sSup>
                        <m:sSup>
                          <m:sSupPr>
                            <m:ctrlPr>
                              <a:rPr lang="it-IT" sz="1600" b="0" i="1">
                                <a:latin typeface="Cambria Math" panose="02040503050406030204" pitchFamily="18" charset="0"/>
                              </a:rPr>
                            </m:ctrlPr>
                          </m:sSupPr>
                          <m:e>
                            <m:d>
                              <m:dPr>
                                <m:ctrlPr>
                                  <a:rPr lang="it-IT" sz="1600" b="0" i="1">
                                    <a:latin typeface="Cambria Math" panose="02040503050406030204" pitchFamily="18" charset="0"/>
                                  </a:rPr>
                                </m:ctrlPr>
                              </m:dPr>
                              <m:e>
                                <m:r>
                                  <a:rPr lang="it-IT" sz="1600" b="0" i="1">
                                    <a:latin typeface="Cambria Math" panose="02040503050406030204" pitchFamily="18" charset="0"/>
                                  </a:rPr>
                                  <m:t>2</m:t>
                                </m:r>
                                <m:r>
                                  <a:rPr lang="it-IT" sz="1600" b="0" i="1">
                                    <a:latin typeface="Cambria Math" panose="02040503050406030204" pitchFamily="18" charset="0"/>
                                    <a:ea typeface="Cambria Math" panose="02040503050406030204" pitchFamily="18" charset="0"/>
                                  </a:rPr>
                                  <m:t>𝜋</m:t>
                                </m:r>
                                <m:sSub>
                                  <m:sSubPr>
                                    <m:ctrlPr>
                                      <a:rPr lang="it-IT" sz="1600" b="0" i="1">
                                        <a:latin typeface="Cambria Math" panose="02040503050406030204" pitchFamily="18" charset="0"/>
                                        <a:ea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𝑘</m:t>
                                    </m:r>
                                  </m:e>
                                  <m:sub>
                                    <m:r>
                                      <a:rPr lang="it-IT" sz="1600" b="0" i="1">
                                        <a:latin typeface="Cambria Math" panose="02040503050406030204" pitchFamily="18" charset="0"/>
                                        <a:ea typeface="Cambria Math" panose="02040503050406030204" pitchFamily="18" charset="0"/>
                                      </a:rPr>
                                      <m:t>𝑏</m:t>
                                    </m:r>
                                  </m:sub>
                                </m:sSub>
                                <m:r>
                                  <a:rPr lang="it-IT" sz="1600" b="0" i="1">
                                    <a:latin typeface="Cambria Math" panose="02040503050406030204" pitchFamily="18" charset="0"/>
                                    <a:ea typeface="Cambria Math" panose="02040503050406030204" pitchFamily="18" charset="0"/>
                                  </a:rPr>
                                  <m:t>𝑇</m:t>
                                </m:r>
                              </m:e>
                            </m:d>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rPr>
                                  <m:t>𝐼</m:t>
                                </m:r>
                              </m:e>
                              <m:sub>
                                <m:r>
                                  <a:rPr lang="it-IT" sz="1600" b="0" i="1">
                                    <a:latin typeface="Cambria Math" panose="02040503050406030204" pitchFamily="18" charset="0"/>
                                  </a:rPr>
                                  <m:t>𝑧</m:t>
                                </m:r>
                              </m:sub>
                            </m:sSub>
                          </m:e>
                        </m:rad>
                      </m:num>
                      <m:den>
                        <m:r>
                          <a:rPr lang="it-IT" sz="1600" b="0" i="1">
                            <a:latin typeface="Cambria Math" panose="02040503050406030204" pitchFamily="18" charset="0"/>
                            <a:ea typeface="Cambria Math" panose="02040503050406030204" pitchFamily="18" charset="0"/>
                          </a:rPr>
                          <m:t>𝜎</m:t>
                        </m:r>
                        <m:sSup>
                          <m:sSupPr>
                            <m:ctrlPr>
                              <a:rPr lang="it-IT" sz="1600" b="0" i="1">
                                <a:latin typeface="Cambria Math" panose="02040503050406030204" pitchFamily="18" charset="0"/>
                                <a:ea typeface="Cambria Math" panose="02040503050406030204" pitchFamily="18" charset="0"/>
                              </a:rPr>
                            </m:ctrlPr>
                          </m:sSupPr>
                          <m:e>
                            <m:r>
                              <a:rPr lang="it-IT" sz="1600" b="0" i="1">
                                <a:latin typeface="Cambria Math" panose="02040503050406030204" pitchFamily="18" charset="0"/>
                                <a:ea typeface="Cambria Math" panose="02040503050406030204" pitchFamily="18" charset="0"/>
                              </a:rPr>
                              <m:t>h</m:t>
                            </m:r>
                          </m:e>
                          <m:sup>
                            <m:r>
                              <a:rPr lang="it-IT" sz="1600" b="0" i="1">
                                <a:latin typeface="Cambria Math" panose="02040503050406030204" pitchFamily="18" charset="0"/>
                                <a:ea typeface="Cambria Math" panose="02040503050406030204" pitchFamily="18" charset="0"/>
                              </a:rPr>
                              <m:t>3</m:t>
                            </m:r>
                          </m:sup>
                        </m:sSup>
                      </m:den>
                    </m:f>
                  </m:oMath>
                </m:oMathPara>
              </a14:m>
              <a:endParaRPr lang="en-US" sz="1600"/>
            </a:p>
          </xdr:txBody>
        </xdr:sp>
      </mc:Choice>
      <mc:Fallback xmlns="">
        <xdr:sp macro="" textlink="">
          <xdr:nvSpPr>
            <xdr:cNvPr id="23" name="TextBox 22">
              <a:extLst>
                <a:ext uri="{FF2B5EF4-FFF2-40B4-BE49-F238E27FC236}">
                  <a16:creationId xmlns:a16="http://schemas.microsoft.com/office/drawing/2014/main" id="{7FCDC0FA-A9A0-0F4E-AD7A-E919D4C76EA6}"/>
                </a:ext>
              </a:extLst>
            </xdr:cNvPr>
            <xdr:cNvSpPr txBox="1"/>
          </xdr:nvSpPr>
          <xdr:spPr>
            <a:xfrm>
              <a:off x="9358575" y="33242489"/>
              <a:ext cx="2805896" cy="6225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(1)=(8</a:t>
              </a:r>
              <a:r>
                <a:rPr lang="it-IT" sz="1600" b="0" i="0">
                  <a:latin typeface="Cambria Math" panose="02040503050406030204" pitchFamily="18" charset="0"/>
                  <a:ea typeface="Cambria Math" panose="02040503050406030204" pitchFamily="18" charset="0"/>
                </a:rPr>
                <a:t>𝜋^</a:t>
              </a:r>
              <a:r>
                <a:rPr lang="it-IT" sz="1600" b="0" i="0">
                  <a:latin typeface="Cambria Math" panose="02040503050406030204" pitchFamily="18" charset="0"/>
                </a:rPr>
                <a:t>2 (2</a:t>
              </a:r>
              <a:r>
                <a:rPr lang="it-IT" sz="1600" b="0" i="0">
                  <a:latin typeface="Cambria Math" panose="02040503050406030204" pitchFamily="18" charset="0"/>
                  <a:ea typeface="Cambria Math" panose="02040503050406030204" pitchFamily="18" charset="0"/>
                </a:rPr>
                <a:t>𝜋𝑘_𝑏 𝑇)^(</a:t>
              </a:r>
              <a:r>
                <a:rPr lang="it-IT" sz="1600" b="0" i="0">
                  <a:latin typeface="Cambria Math" panose="02040503050406030204" pitchFamily="18" charset="0"/>
                </a:rPr>
                <a:t>3/2) √(𝐼_𝑥 𝐼_𝑦 𝐼_𝑧 ))/(</a:t>
              </a:r>
              <a:r>
                <a:rPr lang="it-IT" sz="1600" b="0" i="0">
                  <a:latin typeface="Cambria Math" panose="02040503050406030204" pitchFamily="18" charset="0"/>
                  <a:ea typeface="Cambria Math" panose="02040503050406030204" pitchFamily="18" charset="0"/>
                </a:rPr>
                <a:t>𝜎ℎ^3 )</a:t>
              </a:r>
              <a:endParaRPr lang="en-US" sz="1600"/>
            </a:p>
          </xdr:txBody>
        </xdr:sp>
      </mc:Fallback>
    </mc:AlternateContent>
    <xdr:clientData/>
  </xdr:oneCellAnchor>
  <xdr:twoCellAnchor>
    <xdr:from>
      <xdr:col>7</xdr:col>
      <xdr:colOff>38099</xdr:colOff>
      <xdr:row>128</xdr:row>
      <xdr:rowOff>63500</xdr:rowOff>
    </xdr:from>
    <xdr:to>
      <xdr:col>10</xdr:col>
      <xdr:colOff>362856</xdr:colOff>
      <xdr:row>131</xdr:row>
      <xdr:rowOff>88900</xdr:rowOff>
    </xdr:to>
    <xdr:sp macro="" textlink="">
      <xdr:nvSpPr>
        <xdr:cNvPr id="24" name="Rounded Rectangle 23">
          <a:extLst>
            <a:ext uri="{FF2B5EF4-FFF2-40B4-BE49-F238E27FC236}">
              <a16:creationId xmlns:a16="http://schemas.microsoft.com/office/drawing/2014/main" id="{E7EDF198-FD7E-6842-B9A3-B9D99EBD5517}"/>
            </a:ext>
          </a:extLst>
        </xdr:cNvPr>
        <xdr:cNvSpPr/>
      </xdr:nvSpPr>
      <xdr:spPr>
        <a:xfrm>
          <a:off x="9334499" y="33210500"/>
          <a:ext cx="3626757" cy="7874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11</xdr:col>
      <xdr:colOff>213330</xdr:colOff>
      <xdr:row>131</xdr:row>
      <xdr:rowOff>77170</xdr:rowOff>
    </xdr:from>
    <xdr:ext cx="2304349" cy="792718"/>
    <mc:AlternateContent xmlns:mc="http://schemas.openxmlformats.org/markup-compatibility/2006" xmlns:a14="http://schemas.microsoft.com/office/drawing/2010/main">
      <mc:Choice Requires="a14">
        <xdr:sp macro="" textlink="">
          <xdr:nvSpPr>
            <xdr:cNvPr id="25" name="TextBox 24">
              <a:extLst>
                <a:ext uri="{FF2B5EF4-FFF2-40B4-BE49-F238E27FC236}">
                  <a16:creationId xmlns:a16="http://schemas.microsoft.com/office/drawing/2014/main" id="{11A12746-A59A-7941-AD43-6C73B0518EBE}"/>
                </a:ext>
              </a:extLst>
            </xdr:cNvPr>
            <xdr:cNvSpPr txBox="1"/>
          </xdr:nvSpPr>
          <xdr:spPr>
            <a:xfrm>
              <a:off x="139039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Sup>
                      <m:sSubSupPr>
                        <m:ctrlPr>
                          <a:rPr lang="it-IT" sz="1600" b="0" i="1">
                            <a:latin typeface="Cambria Math" panose="02040503050406030204" pitchFamily="18" charset="0"/>
                          </a:rPr>
                        </m:ctrlPr>
                      </m:sSubSupPr>
                      <m:e>
                        <m:r>
                          <a:rPr lang="it-IT" sz="1600" b="0" i="1">
                            <a:latin typeface="Cambria Math" panose="02040503050406030204" pitchFamily="18" charset="0"/>
                          </a:rPr>
                          <m:t>𝑄</m:t>
                        </m:r>
                      </m:e>
                      <m:sub>
                        <m:r>
                          <a:rPr lang="it-IT" sz="1600" b="0" i="1">
                            <a:latin typeface="Cambria Math" panose="02040503050406030204" pitchFamily="18" charset="0"/>
                          </a:rPr>
                          <m:t>𝑟𝑜𝑡</m:t>
                        </m:r>
                      </m:sub>
                      <m:sup>
                        <m:r>
                          <a:rPr lang="it-IT" sz="1600" b="0" i="1">
                            <a:latin typeface="Cambria Math" panose="02040503050406030204" pitchFamily="18" charset="0"/>
                          </a:rPr>
                          <m:t>3</m:t>
                        </m:r>
                        <m:r>
                          <a:rPr lang="it-IT" sz="1600" b="0" i="1">
                            <a:latin typeface="Cambria Math" panose="02040503050406030204" pitchFamily="18" charset="0"/>
                          </a:rPr>
                          <m:t>𝐷</m:t>
                        </m:r>
                      </m:sup>
                    </m:sSubSup>
                    <m:r>
                      <a:rPr lang="it-IT" sz="1600" b="0" i="1">
                        <a:latin typeface="Cambria Math" panose="02040503050406030204" pitchFamily="18" charset="0"/>
                      </a:rPr>
                      <m:t>(2)=</m:t>
                    </m:r>
                    <m:f>
                      <m:fPr>
                        <m:ctrlPr>
                          <a:rPr lang="it-IT" sz="1600" b="0" i="1">
                            <a:latin typeface="Cambria Math" panose="02040503050406030204" pitchFamily="18" charset="0"/>
                          </a:rPr>
                        </m:ctrlPr>
                      </m:fPr>
                      <m:num>
                        <m:rad>
                          <m:radPr>
                            <m:degHide m:val="on"/>
                            <m:ctrlPr>
                              <a:rPr lang="it-IT" sz="1600" b="0" i="1">
                                <a:latin typeface="Cambria Math" panose="02040503050406030204" pitchFamily="18" charset="0"/>
                              </a:rPr>
                            </m:ctrlPr>
                          </m:radPr>
                          <m:deg/>
                          <m:e>
                            <m:r>
                              <a:rPr lang="it-IT" sz="1600" b="0" i="1">
                                <a:latin typeface="Cambria Math" panose="02040503050406030204" pitchFamily="18" charset="0"/>
                                <a:ea typeface="Cambria Math" panose="02040503050406030204" pitchFamily="18" charset="0"/>
                              </a:rPr>
                              <m:t>𝜋</m:t>
                            </m:r>
                          </m:e>
                        </m:rad>
                      </m:num>
                      <m:den>
                        <m:r>
                          <a:rPr lang="it-IT" sz="1600" b="0" i="1">
                            <a:latin typeface="Cambria Math" panose="02040503050406030204" pitchFamily="18" charset="0"/>
                            <a:ea typeface="Cambria Math" panose="02040503050406030204" pitchFamily="18" charset="0"/>
                          </a:rPr>
                          <m:t>𝜎</m:t>
                        </m:r>
                      </m:den>
                    </m:f>
                    <m:d>
                      <m:dPr>
                        <m:ctrlPr>
                          <a:rPr lang="it-IT" sz="1600" b="0" i="1">
                            <a:latin typeface="Cambria Math" panose="02040503050406030204" pitchFamily="18" charset="0"/>
                          </a:rPr>
                        </m:ctrlPr>
                      </m:dPr>
                      <m:e>
                        <m:f>
                          <m:fPr>
                            <m:ctrlPr>
                              <a:rPr lang="it-IT" sz="1600" b="0" i="1">
                                <a:latin typeface="Cambria Math" panose="02040503050406030204" pitchFamily="18" charset="0"/>
                              </a:rPr>
                            </m:ctrlPr>
                          </m:fPr>
                          <m:num>
                            <m:sSup>
                              <m:sSupPr>
                                <m:ctrlPr>
                                  <a:rPr lang="it-IT" sz="1600" b="0" i="1">
                                    <a:latin typeface="Cambria Math" panose="02040503050406030204" pitchFamily="18" charset="0"/>
                                  </a:rPr>
                                </m:ctrlPr>
                              </m:sSupPr>
                              <m:e>
                                <m:r>
                                  <a:rPr lang="it-IT" sz="1600" b="0" i="1">
                                    <a:latin typeface="Cambria Math" panose="02040503050406030204" pitchFamily="18" charset="0"/>
                                  </a:rPr>
                                  <m:t>𝑇</m:t>
                                </m:r>
                              </m:e>
                              <m:sup>
                                <m:f>
                                  <m:fPr>
                                    <m:ctrlPr>
                                      <a:rPr lang="it-IT" sz="1600" b="0" i="1">
                                        <a:latin typeface="Cambria Math" panose="02040503050406030204" pitchFamily="18" charset="0"/>
                                      </a:rPr>
                                    </m:ctrlPr>
                                  </m:fPr>
                                  <m:num>
                                    <m:r>
                                      <a:rPr lang="it-IT" sz="1600" b="0" i="1">
                                        <a:latin typeface="Cambria Math" panose="02040503050406030204" pitchFamily="18" charset="0"/>
                                      </a:rPr>
                                      <m:t>3</m:t>
                                    </m:r>
                                  </m:num>
                                  <m:den>
                                    <m:r>
                                      <a:rPr lang="it-IT" sz="1600" b="0" i="1">
                                        <a:latin typeface="Cambria Math" panose="02040503050406030204" pitchFamily="18" charset="0"/>
                                      </a:rPr>
                                      <m:t>2</m:t>
                                    </m:r>
                                  </m:den>
                                </m:f>
                              </m:sup>
                            </m:sSup>
                          </m:num>
                          <m:den>
                            <m:rad>
                              <m:radPr>
                                <m:degHide m:val="on"/>
                                <m:ctrlPr>
                                  <a:rPr lang="it-IT" sz="1600" b="0" i="1">
                                    <a:latin typeface="Cambria Math" panose="02040503050406030204" pitchFamily="18" charset="0"/>
                                  </a:rPr>
                                </m:ctrlPr>
                              </m:radPr>
                              <m:deg/>
                              <m:e>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rPr>
                                      <m:t>𝑥</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𝑦</m:t>
                                    </m:r>
                                  </m:sub>
                                </m:sSub>
                                <m:sSub>
                                  <m:sSubPr>
                                    <m:ctrlPr>
                                      <a:rPr lang="it-IT" sz="1600" b="0" i="1">
                                        <a:latin typeface="Cambria Math" panose="02040503050406030204" pitchFamily="18" charset="0"/>
                                      </a:rPr>
                                    </m:ctrlPr>
                                  </m:sSubPr>
                                  <m:e>
                                    <m:r>
                                      <a:rPr lang="it-IT" sz="1600" b="0" i="1">
                                        <a:latin typeface="Cambria Math" panose="02040503050406030204" pitchFamily="18" charset="0"/>
                                        <a:ea typeface="Cambria Math" panose="02040503050406030204" pitchFamily="18" charset="0"/>
                                      </a:rPr>
                                      <m:t>𝜃</m:t>
                                    </m:r>
                                  </m:e>
                                  <m:sub>
                                    <m:r>
                                      <a:rPr lang="it-IT" sz="1600" b="0" i="1">
                                        <a:latin typeface="Cambria Math" panose="02040503050406030204" pitchFamily="18" charset="0"/>
                                        <a:ea typeface="Cambria Math" panose="02040503050406030204" pitchFamily="18" charset="0"/>
                                      </a:rPr>
                                      <m:t>𝑧</m:t>
                                    </m:r>
                                  </m:sub>
                                </m:sSub>
                              </m:e>
                            </m:rad>
                          </m:den>
                        </m:f>
                      </m:e>
                    </m:d>
                  </m:oMath>
                </m:oMathPara>
              </a14:m>
              <a:endParaRPr lang="en-US" sz="1600"/>
            </a:p>
          </xdr:txBody>
        </xdr:sp>
      </mc:Choice>
      <mc:Fallback xmlns="">
        <xdr:sp macro="" textlink="">
          <xdr:nvSpPr>
            <xdr:cNvPr id="25" name="TextBox 24">
              <a:extLst>
                <a:ext uri="{FF2B5EF4-FFF2-40B4-BE49-F238E27FC236}">
                  <a16:creationId xmlns:a16="http://schemas.microsoft.com/office/drawing/2014/main" id="{11A12746-A59A-7941-AD43-6C73B0518EBE}"/>
                </a:ext>
              </a:extLst>
            </xdr:cNvPr>
            <xdr:cNvSpPr txBox="1"/>
          </xdr:nvSpPr>
          <xdr:spPr>
            <a:xfrm>
              <a:off x="13903930" y="33986170"/>
              <a:ext cx="2304349" cy="792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𝑄_𝑟𝑜𝑡^3𝐷 (2)=√</a:t>
              </a:r>
              <a:r>
                <a:rPr lang="it-IT" sz="1600" b="0" i="0">
                  <a:latin typeface="Cambria Math" panose="02040503050406030204" pitchFamily="18" charset="0"/>
                  <a:ea typeface="Cambria Math" panose="02040503050406030204" pitchFamily="18" charset="0"/>
                </a:rPr>
                <a:t>𝜋/𝜎 </a:t>
              </a:r>
              <a:r>
                <a:rPr lang="it-IT" sz="1600" b="0" i="0">
                  <a:latin typeface="Cambria Math" panose="02040503050406030204" pitchFamily="18" charset="0"/>
                </a:rPr>
                <a:t>(𝑇^(3/2)/√(</a:t>
              </a:r>
              <a:r>
                <a:rPr lang="it-IT" sz="1600" b="0" i="0">
                  <a:latin typeface="Cambria Math" panose="02040503050406030204" pitchFamily="18" charset="0"/>
                  <a:ea typeface="Cambria Math" panose="02040503050406030204" pitchFamily="18" charset="0"/>
                </a:rPr>
                <a:t>𝜃_</a:t>
              </a:r>
              <a:r>
                <a:rPr lang="it-IT" sz="1600" b="0" i="0">
                  <a:latin typeface="Cambria Math" panose="02040503050406030204" pitchFamily="18" charset="0"/>
                </a:rPr>
                <a:t>𝑥 </a:t>
              </a:r>
              <a:r>
                <a:rPr lang="it-IT" sz="1600" b="0" i="0">
                  <a:latin typeface="Cambria Math" panose="02040503050406030204" pitchFamily="18" charset="0"/>
                  <a:ea typeface="Cambria Math" panose="02040503050406030204" pitchFamily="18" charset="0"/>
                </a:rPr>
                <a:t>𝜃_𝑦 𝜃_𝑧 ))</a:t>
              </a:r>
              <a:endParaRPr lang="en-US" sz="1600"/>
            </a:p>
          </xdr:txBody>
        </xdr:sp>
      </mc:Fallback>
    </mc:AlternateContent>
    <xdr:clientData/>
  </xdr:oneCellAnchor>
  <xdr:twoCellAnchor>
    <xdr:from>
      <xdr:col>10</xdr:col>
      <xdr:colOff>833739</xdr:colOff>
      <xdr:row>130</xdr:row>
      <xdr:rowOff>126030</xdr:rowOff>
    </xdr:from>
    <xdr:to>
      <xdr:col>11</xdr:col>
      <xdr:colOff>213330</xdr:colOff>
      <xdr:row>132</xdr:row>
      <xdr:rowOff>194408</xdr:rowOff>
    </xdr:to>
    <xdr:cxnSp macro="">
      <xdr:nvCxnSpPr>
        <xdr:cNvPr id="26" name="Curved Connector 25">
          <a:extLst>
            <a:ext uri="{FF2B5EF4-FFF2-40B4-BE49-F238E27FC236}">
              <a16:creationId xmlns:a16="http://schemas.microsoft.com/office/drawing/2014/main" id="{D03992B5-FBF6-8F4B-A766-C9B029A935F9}"/>
            </a:ext>
          </a:extLst>
        </xdr:cNvPr>
        <xdr:cNvCxnSpPr>
          <a:endCxn id="25" idx="1"/>
        </xdr:cNvCxnSpPr>
      </xdr:nvCxnSpPr>
      <xdr:spPr>
        <a:xfrm rot="16200000" flipH="1">
          <a:off x="13367146" y="33846023"/>
          <a:ext cx="601778" cy="471791"/>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9769</xdr:colOff>
      <xdr:row>142</xdr:row>
      <xdr:rowOff>222807</xdr:rowOff>
    </xdr:from>
    <xdr:to>
      <xdr:col>15</xdr:col>
      <xdr:colOff>824046</xdr:colOff>
      <xdr:row>155</xdr:row>
      <xdr:rowOff>171380</xdr:rowOff>
    </xdr:to>
    <xdr:graphicFrame macro="">
      <xdr:nvGraphicFramePr>
        <xdr:cNvPr id="27" name="Chart 26">
          <a:extLst>
            <a:ext uri="{FF2B5EF4-FFF2-40B4-BE49-F238E27FC236}">
              <a16:creationId xmlns:a16="http://schemas.microsoft.com/office/drawing/2014/main" id="{66B45093-06D8-C14F-A24C-E7B173B39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9</xdr:col>
      <xdr:colOff>745958</xdr:colOff>
      <xdr:row>156</xdr:row>
      <xdr:rowOff>38545</xdr:rowOff>
    </xdr:from>
    <xdr:ext cx="65" cy="172227"/>
    <xdr:sp macro="" textlink="">
      <xdr:nvSpPr>
        <xdr:cNvPr id="28" name="TextBox 27">
          <a:extLst>
            <a:ext uri="{FF2B5EF4-FFF2-40B4-BE49-F238E27FC236}">
              <a16:creationId xmlns:a16="http://schemas.microsoft.com/office/drawing/2014/main" id="{720F7875-35C1-0B42-B592-C76EE3D97BA6}"/>
            </a:ext>
          </a:extLst>
        </xdr:cNvPr>
        <xdr:cNvSpPr txBox="1"/>
      </xdr:nvSpPr>
      <xdr:spPr>
        <a:xfrm>
          <a:off x="12226758" y="4014514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4</xdr:col>
      <xdr:colOff>452528</xdr:colOff>
      <xdr:row>163</xdr:row>
      <xdr:rowOff>131380</xdr:rowOff>
    </xdr:from>
    <xdr:to>
      <xdr:col>6</xdr:col>
      <xdr:colOff>613104</xdr:colOff>
      <xdr:row>163</xdr:row>
      <xdr:rowOff>145977</xdr:rowOff>
    </xdr:to>
    <xdr:cxnSp macro="">
      <xdr:nvCxnSpPr>
        <xdr:cNvPr id="29" name="Straight Arrow Connector 28">
          <a:extLst>
            <a:ext uri="{FF2B5EF4-FFF2-40B4-BE49-F238E27FC236}">
              <a16:creationId xmlns:a16="http://schemas.microsoft.com/office/drawing/2014/main" id="{08B26964-3E36-CB4D-B495-005B5FEBCB6E}"/>
            </a:ext>
          </a:extLst>
        </xdr:cNvPr>
        <xdr:cNvCxnSpPr/>
      </xdr:nvCxnSpPr>
      <xdr:spPr>
        <a:xfrm>
          <a:off x="6002428" y="417365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7</xdr:col>
      <xdr:colOff>209696</xdr:colOff>
      <xdr:row>161</xdr:row>
      <xdr:rowOff>239134</xdr:rowOff>
    </xdr:from>
    <xdr:ext cx="1988301" cy="695255"/>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25261179-FBFC-7243-B9B2-ED20C30532D6}"/>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nary>
                      <m:naryPr>
                        <m:chr m:val="∑"/>
                        <m:ctrlPr>
                          <a:rPr lang="it-IT" sz="1600" b="0" i="1">
                            <a:latin typeface="Cambria Math" panose="02040503050406030204" pitchFamily="18" charset="0"/>
                          </a:rPr>
                        </m:ctrlPr>
                      </m:naryPr>
                      <m:sub>
                        <m:r>
                          <m:rPr>
                            <m:brk m:alnAt="23"/>
                          </m:rPr>
                          <a:rPr lang="it-IT" sz="1600" b="0" i="1">
                            <a:latin typeface="Cambria Math" panose="02040503050406030204" pitchFamily="18" charset="0"/>
                          </a:rPr>
                          <m:t>𝑖</m:t>
                        </m:r>
                        <m:r>
                          <a:rPr lang="it-IT" sz="1600" b="0" i="1">
                            <a:latin typeface="Cambria Math" panose="02040503050406030204" pitchFamily="18" charset="0"/>
                          </a:rPr>
                          <m:t>=0</m:t>
                        </m:r>
                      </m:sub>
                      <m:sup>
                        <m:r>
                          <a:rPr lang="it-IT" sz="1600" b="0" i="1">
                            <a:latin typeface="Cambria Math" panose="02040503050406030204" pitchFamily="18" charset="0"/>
                            <a:ea typeface="Cambria Math" panose="02040503050406030204" pitchFamily="18" charset="0"/>
                          </a:rPr>
                          <m:t>∞</m:t>
                        </m:r>
                      </m:sup>
                      <m:e>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𝑖</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e>
                    </m:nary>
                  </m:oMath>
                </m:oMathPara>
              </a14:m>
              <a:endParaRPr lang="en-US" sz="1600"/>
            </a:p>
          </xdr:txBody>
        </xdr:sp>
      </mc:Choice>
      <mc:Fallback xmlns="">
        <xdr:sp macro="" textlink="">
          <xdr:nvSpPr>
            <xdr:cNvPr id="30" name="TextBox 29">
              <a:extLst>
                <a:ext uri="{FF2B5EF4-FFF2-40B4-BE49-F238E27FC236}">
                  <a16:creationId xmlns:a16="http://schemas.microsoft.com/office/drawing/2014/main" id="{25261179-FBFC-7243-B9B2-ED20C30532D6}"/>
                </a:ext>
              </a:extLst>
            </xdr:cNvPr>
            <xdr:cNvSpPr txBox="1"/>
          </xdr:nvSpPr>
          <xdr:spPr>
            <a:xfrm>
              <a:off x="9506096" y="41361734"/>
              <a:ext cx="1988301" cy="6952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𝑡𝑟𝑎𝑛𝑠𝑙=∑_(𝑖=0)</a:t>
              </a:r>
              <a:r>
                <a:rPr lang="it-IT" sz="1600" b="0" i="0">
                  <a:latin typeface="Cambria Math" panose="02040503050406030204" pitchFamily="18" charset="0"/>
                  <a:ea typeface="Cambria Math" panose="02040503050406030204" pitchFamily="18" charset="0"/>
                </a:rPr>
                <a:t>^∞▒〖</a:t>
              </a:r>
              <a:r>
                <a:rPr lang="it-IT" sz="1600" b="0" i="0">
                  <a:latin typeface="Cambria Math" panose="02040503050406030204" pitchFamily="18" charset="0"/>
                </a:rPr>
                <a:t>𝑔_𝑒𝑙^𝑖 𝑒^(−(𝐸_𝑒𝑙^𝑖)/(𝑘_𝑏 𝑇)) </a:t>
              </a:r>
              <a:r>
                <a:rPr lang="it-IT" sz="1600" b="0" i="0">
                  <a:latin typeface="Cambria Math" panose="02040503050406030204" pitchFamily="18" charset="0"/>
                  <a:ea typeface="Cambria Math" panose="02040503050406030204" pitchFamily="18" charset="0"/>
                </a:rPr>
                <a:t>〗</a:t>
              </a:r>
              <a:endParaRPr lang="en-US" sz="1600"/>
            </a:p>
          </xdr:txBody>
        </xdr:sp>
      </mc:Fallback>
    </mc:AlternateContent>
    <xdr:clientData/>
  </xdr:oneCellAnchor>
  <xdr:twoCellAnchor>
    <xdr:from>
      <xdr:col>10</xdr:col>
      <xdr:colOff>743214</xdr:colOff>
      <xdr:row>162</xdr:row>
      <xdr:rowOff>75335</xdr:rowOff>
    </xdr:from>
    <xdr:to>
      <xdr:col>14</xdr:col>
      <xdr:colOff>1062567</xdr:colOff>
      <xdr:row>166</xdr:row>
      <xdr:rowOff>218898</xdr:rowOff>
    </xdr:to>
    <xdr:sp macro="" textlink="">
      <xdr:nvSpPr>
        <xdr:cNvPr id="31" name="Rectangle 30">
          <a:extLst>
            <a:ext uri="{FF2B5EF4-FFF2-40B4-BE49-F238E27FC236}">
              <a16:creationId xmlns:a16="http://schemas.microsoft.com/office/drawing/2014/main" id="{E2EC4872-86E7-D946-AAF9-AE8F385DDC7B}"/>
            </a:ext>
          </a:extLst>
        </xdr:cNvPr>
        <xdr:cNvSpPr/>
      </xdr:nvSpPr>
      <xdr:spPr>
        <a:xfrm>
          <a:off x="13341614" y="41439235"/>
          <a:ext cx="4726253" cy="12230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Form</a:t>
          </a:r>
          <a:r>
            <a:rPr lang="en-US" sz="1100" b="1" baseline="0"/>
            <a:t> Gaussian manual:</a:t>
          </a:r>
          <a:br>
            <a:rPr lang="en-US" sz="1100" b="1" baseline="0"/>
          </a:br>
          <a:r>
            <a:rPr lang="en-US"/>
            <a:t>Gaussian assumes that the first electronic excitation energy is much greater than k</a:t>
          </a:r>
          <a:r>
            <a:rPr lang="en-US" baseline="-25000"/>
            <a:t>B</a:t>
          </a:r>
          <a:r>
            <a:rPr lang="en-US"/>
            <a:t>T. Therefore, the first and higher excited states are assumed to be inaccessible at any temperature. Further, the energy of the ground state is set to zero. </a:t>
          </a:r>
          <a:endParaRPr lang="en-US" sz="1100" b="1"/>
        </a:p>
      </xdr:txBody>
    </xdr:sp>
    <xdr:clientData/>
  </xdr:twoCellAnchor>
  <xdr:twoCellAnchor>
    <xdr:from>
      <xdr:col>9</xdr:col>
      <xdr:colOff>711638</xdr:colOff>
      <xdr:row>163</xdr:row>
      <xdr:rowOff>155965</xdr:rowOff>
    </xdr:from>
    <xdr:to>
      <xdr:col>10</xdr:col>
      <xdr:colOff>679561</xdr:colOff>
      <xdr:row>165</xdr:row>
      <xdr:rowOff>43793</xdr:rowOff>
    </xdr:to>
    <xdr:cxnSp macro="">
      <xdr:nvCxnSpPr>
        <xdr:cNvPr id="32" name="Curved Connector 31">
          <a:extLst>
            <a:ext uri="{FF2B5EF4-FFF2-40B4-BE49-F238E27FC236}">
              <a16:creationId xmlns:a16="http://schemas.microsoft.com/office/drawing/2014/main" id="{C0A58878-4E99-0C41-AE6B-91CB057A96BD}"/>
            </a:ext>
          </a:extLst>
        </xdr:cNvPr>
        <xdr:cNvCxnSpPr/>
      </xdr:nvCxnSpPr>
      <xdr:spPr>
        <a:xfrm flipV="1">
          <a:off x="12192438" y="41761165"/>
          <a:ext cx="1085523" cy="472028"/>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11</xdr:col>
      <xdr:colOff>440267</xdr:colOff>
      <xdr:row>167</xdr:row>
      <xdr:rowOff>135467</xdr:rowOff>
    </xdr:from>
    <xdr:ext cx="2190536" cy="468205"/>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0163A55C-7951-434C-A33E-F86421EA88CF}"/>
                </a:ext>
              </a:extLst>
            </xdr:cNvPr>
            <xdr:cNvSpPr txBox="1"/>
          </xdr:nvSpPr>
          <xdr:spPr>
            <a:xfrm>
              <a:off x="141308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en-US" sz="1600" i="1">
                          <a:latin typeface="Cambria Math" panose="02040503050406030204" pitchFamily="18" charset="0"/>
                        </a:rPr>
                      </m:ctrlPr>
                    </m:sSubPr>
                    <m:e>
                      <m:r>
                        <a:rPr lang="it-IT" sz="1600" b="0" i="1">
                          <a:latin typeface="Cambria Math" panose="02040503050406030204" pitchFamily="18" charset="0"/>
                        </a:rPr>
                        <m:t>𝑄</m:t>
                      </m:r>
                    </m:e>
                    <m:sub>
                      <m:r>
                        <a:rPr lang="it-IT" sz="1600" b="0" i="1">
                          <a:latin typeface="Cambria Math" panose="02040503050406030204" pitchFamily="18" charset="0"/>
                        </a:rPr>
                        <m:t>𝑡𝑟𝑎𝑛𝑠𝑙</m:t>
                      </m:r>
                    </m:sub>
                  </m:sSub>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sSup>
                    <m:sSupPr>
                      <m:ctrlPr>
                        <a:rPr lang="it-IT" sz="1600" b="0" i="1">
                          <a:latin typeface="Cambria Math" panose="02040503050406030204" pitchFamily="18" charset="0"/>
                        </a:rPr>
                      </m:ctrlPr>
                    </m:sSupPr>
                    <m:e>
                      <m:r>
                        <a:rPr lang="it-IT" sz="1600" b="0" i="1">
                          <a:latin typeface="Cambria Math" panose="02040503050406030204" pitchFamily="18" charset="0"/>
                        </a:rPr>
                        <m:t>𝑒</m:t>
                      </m:r>
                    </m:e>
                    <m:sup>
                      <m:r>
                        <a:rPr lang="it-IT" sz="1600" b="0" i="1">
                          <a:latin typeface="Cambria Math" panose="02040503050406030204" pitchFamily="18" charset="0"/>
                        </a:rPr>
                        <m:t>−</m:t>
                      </m:r>
                      <m:f>
                        <m:fPr>
                          <m:ctrlPr>
                            <a:rPr lang="it-IT" sz="1600" b="0" i="1">
                              <a:latin typeface="Cambria Math" panose="02040503050406030204" pitchFamily="18" charset="0"/>
                            </a:rPr>
                          </m:ctrlPr>
                        </m:fPr>
                        <m:num>
                          <m:sSubSup>
                            <m:sSubSupPr>
                              <m:ctrlPr>
                                <a:rPr lang="it-IT" sz="1600" b="0" i="1">
                                  <a:latin typeface="Cambria Math" panose="02040503050406030204" pitchFamily="18" charset="0"/>
                                </a:rPr>
                              </m:ctrlPr>
                            </m:sSubSupPr>
                            <m:e>
                              <m:r>
                                <a:rPr lang="it-IT" sz="1600" b="0" i="1">
                                  <a:latin typeface="Cambria Math" panose="02040503050406030204" pitchFamily="18" charset="0"/>
                                </a:rPr>
                                <m:t>𝐸</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num>
                        <m:den>
                          <m:sSub>
                            <m:sSubPr>
                              <m:ctrlPr>
                                <a:rPr lang="it-IT" sz="1600" b="0" i="1">
                                  <a:latin typeface="Cambria Math" panose="02040503050406030204" pitchFamily="18" charset="0"/>
                                </a:rPr>
                              </m:ctrlPr>
                            </m:sSubPr>
                            <m:e>
                              <m:r>
                                <a:rPr lang="it-IT" sz="1600" b="0" i="1">
                                  <a:latin typeface="Cambria Math" panose="02040503050406030204" pitchFamily="18" charset="0"/>
                                </a:rPr>
                                <m:t>𝑘</m:t>
                              </m:r>
                            </m:e>
                            <m:sub>
                              <m:r>
                                <a:rPr lang="it-IT" sz="1600" b="0" i="1">
                                  <a:latin typeface="Cambria Math" panose="02040503050406030204" pitchFamily="18" charset="0"/>
                                </a:rPr>
                                <m:t>𝑏</m:t>
                              </m:r>
                            </m:sub>
                          </m:sSub>
                          <m:r>
                            <a:rPr lang="it-IT" sz="1600" b="0" i="1">
                              <a:latin typeface="Cambria Math" panose="02040503050406030204" pitchFamily="18" charset="0"/>
                            </a:rPr>
                            <m:t>𝑇</m:t>
                          </m:r>
                        </m:den>
                      </m:f>
                    </m:sup>
                  </m:sSup>
                  <m:r>
                    <a:rPr lang="it-IT" sz="1600" b="0" i="1">
                      <a:latin typeface="Cambria Math" panose="02040503050406030204" pitchFamily="18" charset="0"/>
                    </a:rPr>
                    <m:t>=</m:t>
                  </m:r>
                  <m:sSubSup>
                    <m:sSubSupPr>
                      <m:ctrlPr>
                        <a:rPr lang="it-IT" sz="1600" b="0" i="1">
                          <a:latin typeface="Cambria Math" panose="02040503050406030204" pitchFamily="18" charset="0"/>
                        </a:rPr>
                      </m:ctrlPr>
                    </m:sSubSupPr>
                    <m:e>
                      <m:r>
                        <a:rPr lang="it-IT" sz="1600" b="0" i="1">
                          <a:latin typeface="Cambria Math" panose="02040503050406030204" pitchFamily="18" charset="0"/>
                        </a:rPr>
                        <m:t>𝑔</m:t>
                      </m:r>
                    </m:e>
                    <m:sub>
                      <m:r>
                        <a:rPr lang="it-IT" sz="1600" b="0" i="1">
                          <a:latin typeface="Cambria Math" panose="02040503050406030204" pitchFamily="18" charset="0"/>
                        </a:rPr>
                        <m:t>𝑒𝑙</m:t>
                      </m:r>
                    </m:sub>
                    <m:sup>
                      <m:r>
                        <a:rPr lang="it-IT" sz="1600" b="0" i="1">
                          <a:latin typeface="Cambria Math" panose="02040503050406030204" pitchFamily="18" charset="0"/>
                        </a:rPr>
                        <m:t>0</m:t>
                      </m:r>
                    </m:sup>
                  </m:sSubSup>
                </m:oMath>
              </a14:m>
              <a:r>
                <a:rPr lang="en-US" sz="1600"/>
                <a:t> </a:t>
              </a:r>
            </a:p>
          </xdr:txBody>
        </xdr:sp>
      </mc:Choice>
      <mc:Fallback xmlns="">
        <xdr:sp macro="" textlink="">
          <xdr:nvSpPr>
            <xdr:cNvPr id="33" name="TextBox 32">
              <a:extLst>
                <a:ext uri="{FF2B5EF4-FFF2-40B4-BE49-F238E27FC236}">
                  <a16:creationId xmlns:a16="http://schemas.microsoft.com/office/drawing/2014/main" id="{0163A55C-7951-434C-A33E-F86421EA88CF}"/>
                </a:ext>
              </a:extLst>
            </xdr:cNvPr>
            <xdr:cNvSpPr txBox="1"/>
          </xdr:nvSpPr>
          <xdr:spPr>
            <a:xfrm>
              <a:off x="14130867" y="42832867"/>
              <a:ext cx="2190536" cy="468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600" b="0" i="0">
                  <a:latin typeface="Cambria Math" panose="02040503050406030204" pitchFamily="18" charset="0"/>
                </a:rPr>
                <a:t>𝑄</a:t>
              </a:r>
              <a:r>
                <a:rPr lang="en-US" sz="1600" b="0" i="0">
                  <a:latin typeface="Cambria Math" panose="02040503050406030204" pitchFamily="18" charset="0"/>
                </a:rPr>
                <a:t>_</a:t>
              </a:r>
              <a:r>
                <a:rPr lang="it-IT" sz="1600" b="0" i="0">
                  <a:latin typeface="Cambria Math" panose="02040503050406030204" pitchFamily="18" charset="0"/>
                </a:rPr>
                <a:t>𝑡𝑟𝑎𝑛𝑠𝑙=𝑔_𝑒𝑙^0 𝑒^(−(𝐸_𝑒𝑙^0)/(𝑘_𝑏 𝑇))=𝑔_𝑒𝑙^0</a:t>
              </a:r>
              <a:r>
                <a:rPr lang="en-US" sz="1600"/>
                <a:t> </a:t>
              </a:r>
            </a:p>
          </xdr:txBody>
        </xdr:sp>
      </mc:Fallback>
    </mc:AlternateContent>
    <xdr:clientData/>
  </xdr:oneCellAnchor>
  <xdr:twoCellAnchor>
    <xdr:from>
      <xdr:col>9</xdr:col>
      <xdr:colOff>368300</xdr:colOff>
      <xdr:row>55</xdr:row>
      <xdr:rowOff>50800</xdr:rowOff>
    </xdr:from>
    <xdr:to>
      <xdr:col>10</xdr:col>
      <xdr:colOff>596900</xdr:colOff>
      <xdr:row>55</xdr:row>
      <xdr:rowOff>317500</xdr:rowOff>
    </xdr:to>
    <xdr:cxnSp macro="">
      <xdr:nvCxnSpPr>
        <xdr:cNvPr id="34" name="Curved Connector 33">
          <a:extLst>
            <a:ext uri="{FF2B5EF4-FFF2-40B4-BE49-F238E27FC236}">
              <a16:creationId xmlns:a16="http://schemas.microsoft.com/office/drawing/2014/main" id="{58C7D3C6-3AF8-2A48-9578-B25C3AD32D3F}"/>
            </a:ext>
          </a:extLst>
        </xdr:cNvPr>
        <xdr:cNvCxnSpPr/>
      </xdr:nvCxnSpPr>
      <xdr:spPr>
        <a:xfrm>
          <a:off x="11849100" y="14947900"/>
          <a:ext cx="1346200" cy="266700"/>
        </a:xfrm>
        <a:prstGeom prst="curved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245533</xdr:colOff>
      <xdr:row>166</xdr:row>
      <xdr:rowOff>118533</xdr:rowOff>
    </xdr:from>
    <xdr:to>
      <xdr:col>11</xdr:col>
      <xdr:colOff>440266</xdr:colOff>
      <xdr:row>168</xdr:row>
      <xdr:rowOff>124036</xdr:rowOff>
    </xdr:to>
    <xdr:cxnSp macro="">
      <xdr:nvCxnSpPr>
        <xdr:cNvPr id="35" name="Curved Connector 34">
          <a:extLst>
            <a:ext uri="{FF2B5EF4-FFF2-40B4-BE49-F238E27FC236}">
              <a16:creationId xmlns:a16="http://schemas.microsoft.com/office/drawing/2014/main" id="{7885601C-332B-3F4D-B7E1-C24886D27BF2}"/>
            </a:ext>
          </a:extLst>
        </xdr:cNvPr>
        <xdr:cNvCxnSpPr>
          <a:endCxn id="33" idx="1"/>
        </xdr:cNvCxnSpPr>
      </xdr:nvCxnSpPr>
      <xdr:spPr>
        <a:xfrm rot="16200000" flipH="1">
          <a:off x="13776748" y="42721318"/>
          <a:ext cx="513503" cy="194733"/>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8</xdr:col>
      <xdr:colOff>35473</xdr:colOff>
      <xdr:row>164</xdr:row>
      <xdr:rowOff>144956</xdr:rowOff>
    </xdr:from>
    <xdr:ext cx="1272015" cy="578235"/>
    <mc:AlternateContent xmlns:mc="http://schemas.openxmlformats.org/markup-compatibility/2006" xmlns:a14="http://schemas.microsoft.com/office/drawing/2010/main">
      <mc:Choice Requires="a14">
        <xdr:sp macro="" textlink="">
          <xdr:nvSpPr>
            <xdr:cNvPr id="36" name="TextBox 35">
              <a:extLst>
                <a:ext uri="{FF2B5EF4-FFF2-40B4-BE49-F238E27FC236}">
                  <a16:creationId xmlns:a16="http://schemas.microsoft.com/office/drawing/2014/main" id="{A655CEED-7605-AA4B-AF02-D3F98099EE2E}"/>
                </a:ext>
              </a:extLst>
            </xdr:cNvPr>
            <xdr:cNvSpPr txBox="1"/>
          </xdr:nvSpPr>
          <xdr:spPr>
            <a:xfrm>
              <a:off x="106907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2000" b="0" i="1">
                        <a:latin typeface="Cambria Math" panose="02040503050406030204" pitchFamily="18" charset="0"/>
                      </a:rPr>
                      <m:t>=</m:t>
                    </m:r>
                    <m:sSubSup>
                      <m:sSubSupPr>
                        <m:ctrlPr>
                          <a:rPr lang="it-IT" sz="2000" b="0" i="1">
                            <a:latin typeface="Cambria Math" panose="02040503050406030204" pitchFamily="18" charset="0"/>
                          </a:rPr>
                        </m:ctrlPr>
                      </m:sSubSupPr>
                      <m:e>
                        <m:r>
                          <a:rPr lang="it-IT" sz="2000" b="0" i="1">
                            <a:latin typeface="Cambria Math" panose="02040503050406030204" pitchFamily="18" charset="0"/>
                          </a:rPr>
                          <m:t>𝑔</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sSup>
                      <m:sSupPr>
                        <m:ctrlPr>
                          <a:rPr lang="it-IT" sz="2000" b="0" i="1">
                            <a:latin typeface="Cambria Math" panose="02040503050406030204" pitchFamily="18" charset="0"/>
                          </a:rPr>
                        </m:ctrlPr>
                      </m:sSupPr>
                      <m:e>
                        <m:r>
                          <a:rPr lang="it-IT" sz="2000" b="0" i="1">
                            <a:latin typeface="Cambria Math" panose="02040503050406030204" pitchFamily="18" charset="0"/>
                          </a:rPr>
                          <m:t>𝑒</m:t>
                        </m:r>
                      </m:e>
                      <m:sup>
                        <m:r>
                          <a:rPr lang="it-IT" sz="2000" b="0" i="1">
                            <a:latin typeface="Cambria Math" panose="02040503050406030204" pitchFamily="18" charset="0"/>
                          </a:rPr>
                          <m:t>−</m:t>
                        </m:r>
                        <m:f>
                          <m:fPr>
                            <m:ctrlPr>
                              <a:rPr lang="it-IT" sz="2000" b="0" i="1">
                                <a:latin typeface="Cambria Math" panose="02040503050406030204" pitchFamily="18" charset="0"/>
                              </a:rPr>
                            </m:ctrlPr>
                          </m:fPr>
                          <m:num>
                            <m:sSubSup>
                              <m:sSubSupPr>
                                <m:ctrlPr>
                                  <a:rPr lang="it-IT" sz="2000" b="0" i="1">
                                    <a:latin typeface="Cambria Math" panose="02040503050406030204" pitchFamily="18" charset="0"/>
                                  </a:rPr>
                                </m:ctrlPr>
                              </m:sSubSupPr>
                              <m:e>
                                <m:r>
                                  <a:rPr lang="it-IT" sz="2000" b="0" i="1">
                                    <a:latin typeface="Cambria Math" panose="02040503050406030204" pitchFamily="18" charset="0"/>
                                  </a:rPr>
                                  <m:t>𝐸</m:t>
                                </m:r>
                              </m:e>
                              <m:sub>
                                <m:r>
                                  <a:rPr lang="it-IT" sz="2000" b="0" i="1">
                                    <a:latin typeface="Cambria Math" panose="02040503050406030204" pitchFamily="18" charset="0"/>
                                  </a:rPr>
                                  <m:t>𝑒𝑙</m:t>
                                </m:r>
                              </m:sub>
                              <m:sup>
                                <m:r>
                                  <a:rPr lang="it-IT" sz="2000" b="0" i="1">
                                    <a:latin typeface="Cambria Math" panose="02040503050406030204" pitchFamily="18" charset="0"/>
                                  </a:rPr>
                                  <m:t>0</m:t>
                                </m:r>
                              </m:sup>
                            </m:sSubSup>
                          </m:num>
                          <m:den>
                            <m:sSub>
                              <m:sSubPr>
                                <m:ctrlPr>
                                  <a:rPr lang="it-IT" sz="2000" b="0" i="1">
                                    <a:latin typeface="Cambria Math" panose="02040503050406030204" pitchFamily="18" charset="0"/>
                                  </a:rPr>
                                </m:ctrlPr>
                              </m:sSubPr>
                              <m:e>
                                <m:r>
                                  <a:rPr lang="it-IT" sz="2000" b="0" i="1">
                                    <a:latin typeface="Cambria Math" panose="02040503050406030204" pitchFamily="18" charset="0"/>
                                  </a:rPr>
                                  <m:t>𝑘</m:t>
                                </m:r>
                              </m:e>
                              <m:sub>
                                <m:r>
                                  <a:rPr lang="it-IT" sz="2000" b="0" i="1">
                                    <a:latin typeface="Cambria Math" panose="02040503050406030204" pitchFamily="18" charset="0"/>
                                  </a:rPr>
                                  <m:t>𝑏</m:t>
                                </m:r>
                              </m:sub>
                            </m:sSub>
                            <m:r>
                              <a:rPr lang="it-IT" sz="2000" b="0" i="1">
                                <a:latin typeface="Cambria Math" panose="02040503050406030204" pitchFamily="18" charset="0"/>
                              </a:rPr>
                              <m:t>𝑇</m:t>
                            </m:r>
                          </m:den>
                        </m:f>
                      </m:sup>
                    </m:sSup>
                  </m:oMath>
                </m:oMathPara>
              </a14:m>
              <a:endParaRPr lang="en-US" sz="2000"/>
            </a:p>
          </xdr:txBody>
        </xdr:sp>
      </mc:Choice>
      <mc:Fallback xmlns="">
        <xdr:sp macro="" textlink="">
          <xdr:nvSpPr>
            <xdr:cNvPr id="36" name="TextBox 35">
              <a:extLst>
                <a:ext uri="{FF2B5EF4-FFF2-40B4-BE49-F238E27FC236}">
                  <a16:creationId xmlns:a16="http://schemas.microsoft.com/office/drawing/2014/main" id="{A655CEED-7605-AA4B-AF02-D3F98099EE2E}"/>
                </a:ext>
              </a:extLst>
            </xdr:cNvPr>
            <xdr:cNvSpPr txBox="1"/>
          </xdr:nvSpPr>
          <xdr:spPr>
            <a:xfrm>
              <a:off x="10690773" y="42093056"/>
              <a:ext cx="1272015" cy="57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2000" b="0" i="0">
                  <a:latin typeface="Cambria Math" panose="02040503050406030204" pitchFamily="18" charset="0"/>
                </a:rPr>
                <a:t>=𝑔_𝑒𝑙^0 𝑒^(−(𝐸_𝑒𝑙^0)/(𝑘_𝑏 𝑇))</a:t>
              </a:r>
              <a:endParaRPr lang="en-US" sz="2000"/>
            </a:p>
          </xdr:txBody>
        </xdr:sp>
      </mc:Fallback>
    </mc:AlternateContent>
    <xdr:clientData/>
  </xdr:oneCellAnchor>
  <xdr:twoCellAnchor>
    <xdr:from>
      <xdr:col>7</xdr:col>
      <xdr:colOff>592666</xdr:colOff>
      <xdr:row>179</xdr:row>
      <xdr:rowOff>25400</xdr:rowOff>
    </xdr:from>
    <xdr:to>
      <xdr:col>12</xdr:col>
      <xdr:colOff>762000</xdr:colOff>
      <xdr:row>191</xdr:row>
      <xdr:rowOff>67734</xdr:rowOff>
    </xdr:to>
    <xdr:graphicFrame macro="">
      <xdr:nvGraphicFramePr>
        <xdr:cNvPr id="37" name="Chart 36">
          <a:extLst>
            <a:ext uri="{FF2B5EF4-FFF2-40B4-BE49-F238E27FC236}">
              <a16:creationId xmlns:a16="http://schemas.microsoft.com/office/drawing/2014/main" id="{86ED22E6-D510-7749-9E80-A7382B37D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452528</xdr:colOff>
      <xdr:row>198</xdr:row>
      <xdr:rowOff>131380</xdr:rowOff>
    </xdr:from>
    <xdr:to>
      <xdr:col>6</xdr:col>
      <xdr:colOff>613104</xdr:colOff>
      <xdr:row>198</xdr:row>
      <xdr:rowOff>145977</xdr:rowOff>
    </xdr:to>
    <xdr:cxnSp macro="">
      <xdr:nvCxnSpPr>
        <xdr:cNvPr id="38" name="Straight Arrow Connector 37">
          <a:extLst>
            <a:ext uri="{FF2B5EF4-FFF2-40B4-BE49-F238E27FC236}">
              <a16:creationId xmlns:a16="http://schemas.microsoft.com/office/drawing/2014/main" id="{1E349B8E-E7CB-3B42-842A-46371DB34F24}"/>
            </a:ext>
          </a:extLst>
        </xdr:cNvPr>
        <xdr:cNvCxnSpPr/>
      </xdr:nvCxnSpPr>
      <xdr:spPr>
        <a:xfrm>
          <a:off x="6002428" y="504360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6</xdr:col>
      <xdr:colOff>646187</xdr:colOff>
      <xdr:row>200</xdr:row>
      <xdr:rowOff>189278</xdr:rowOff>
    </xdr:from>
    <xdr:ext cx="282578" cy="411278"/>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8AC6A253-2924-F144-A294-EE94995F2081}"/>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39" name="TextBox 38">
              <a:extLst>
                <a:ext uri="{FF2B5EF4-FFF2-40B4-BE49-F238E27FC236}">
                  <a16:creationId xmlns:a16="http://schemas.microsoft.com/office/drawing/2014/main" id="{8AC6A253-2924-F144-A294-EE94995F2081}"/>
                </a:ext>
              </a:extLst>
            </xdr:cNvPr>
            <xdr:cNvSpPr txBox="1"/>
          </xdr:nvSpPr>
          <xdr:spPr>
            <a:xfrm>
              <a:off x="8659887" y="51052778"/>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6</xdr:col>
      <xdr:colOff>1173237</xdr:colOff>
      <xdr:row>203</xdr:row>
      <xdr:rowOff>26280</xdr:rowOff>
    </xdr:from>
    <xdr:ext cx="1932324" cy="755976"/>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DBB842C6-1943-5545-A759-022EBE8D6E81}"/>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up>
                                    <m:r>
                                      <a:rPr lang="it-IT" sz="1400" b="0" i="1">
                                        <a:latin typeface="Cambria Math" panose="02040503050406030204" pitchFamily="18" charset="0"/>
                                      </a:rPr>
                                      <m:t>2</m:t>
                                    </m:r>
                                  </m:sup>
                                </m:sSubSup>
                                <m:sSup>
                                  <m:sSupPr>
                                    <m:ctrlPr>
                                      <a:rPr lang="it-IT" sz="1400" b="0" i="1">
                                        <a:latin typeface="Cambria Math" panose="02040503050406030204" pitchFamily="18" charset="0"/>
                                      </a:rPr>
                                    </m:ctrlPr>
                                  </m:sSupPr>
                                  <m:e>
                                    <m:r>
                                      <a:rPr lang="it-IT" sz="1400" b="0" i="1">
                                        <a:latin typeface="Cambria Math" panose="02040503050406030204" pitchFamily="18" charset="0"/>
                                      </a:rPr>
                                      <m:t> </m:t>
                                    </m:r>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num>
                              <m:den>
                                <m:sSup>
                                  <m:sSupPr>
                                    <m:ctrlPr>
                                      <a:rPr lang="it-IT" sz="1400" b="0" i="1">
                                        <a:latin typeface="Cambria Math" panose="02040503050406030204" pitchFamily="18" charset="0"/>
                                      </a:rPr>
                                    </m:ctrlPr>
                                  </m:sSupPr>
                                  <m:e>
                                    <m:r>
                                      <a:rPr lang="it-IT" sz="1400" b="0" i="1">
                                        <a:latin typeface="Cambria Math" panose="02040503050406030204" pitchFamily="18" charset="0"/>
                                      </a:rPr>
                                      <m:t>𝑇</m:t>
                                    </m:r>
                                  </m:e>
                                  <m:sup>
                                    <m:r>
                                      <a:rPr lang="it-IT" sz="1400" b="0" i="1">
                                        <a:latin typeface="Cambria Math" panose="02040503050406030204" pitchFamily="18" charset="0"/>
                                      </a:rPr>
                                      <m:t>2</m:t>
                                    </m:r>
                                  </m:sup>
                                </m:sSup>
                                <m:sSup>
                                  <m:sSupPr>
                                    <m:ctrlPr>
                                      <a:rPr lang="it-IT" sz="1400" b="0" i="1">
                                        <a:latin typeface="Cambria Math" panose="02040503050406030204" pitchFamily="18" charset="0"/>
                                      </a:rPr>
                                    </m:ctrlPr>
                                  </m:sSupPr>
                                  <m:e>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e>
                                  <m:sup>
                                    <m:r>
                                      <a:rPr lang="it-IT" sz="1400" b="0" i="1">
                                        <a:latin typeface="Cambria Math" panose="02040503050406030204" pitchFamily="18" charset="0"/>
                                      </a:rPr>
                                      <m:t>2</m:t>
                                    </m:r>
                                  </m:sup>
                                </m:sSup>
                              </m:den>
                            </m:f>
                          </m:e>
                        </m:d>
                      </m:e>
                    </m:nary>
                  </m:oMath>
                </m:oMathPara>
              </a14:m>
              <a:endParaRPr lang="en-US" sz="1400"/>
            </a:p>
          </xdr:txBody>
        </xdr:sp>
      </mc:Choice>
      <mc:Fallback xmlns="">
        <xdr:sp macro="" textlink="">
          <xdr:nvSpPr>
            <xdr:cNvPr id="40" name="TextBox 39">
              <a:extLst>
                <a:ext uri="{FF2B5EF4-FFF2-40B4-BE49-F238E27FC236}">
                  <a16:creationId xmlns:a16="http://schemas.microsoft.com/office/drawing/2014/main" id="{DBB842C6-1943-5545-A759-022EBE8D6E81}"/>
                </a:ext>
              </a:extLst>
            </xdr:cNvPr>
            <xdr:cNvSpPr txBox="1"/>
          </xdr:nvSpPr>
          <xdr:spPr>
            <a:xfrm>
              <a:off x="9186937" y="51562880"/>
              <a:ext cx="1932324" cy="755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𝑣𝑖𝑏,𝑖)^2 〖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𝑣𝑖𝑏,𝑖)/𝑇))/(𝑇^2 (𝑒^(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𝑣𝑖𝑏,𝑖)/𝑇)−1)^2 )) </a:t>
              </a:r>
              <a:endParaRPr lang="en-US" sz="1400"/>
            </a:p>
          </xdr:txBody>
        </xdr:sp>
      </mc:Fallback>
    </mc:AlternateContent>
    <xdr:clientData/>
  </xdr:oneCellAnchor>
  <xdr:oneCellAnchor>
    <xdr:from>
      <xdr:col>10</xdr:col>
      <xdr:colOff>65896</xdr:colOff>
      <xdr:row>202</xdr:row>
      <xdr:rowOff>195140</xdr:rowOff>
    </xdr:from>
    <xdr:ext cx="282578" cy="411278"/>
    <mc:AlternateContent xmlns:mc="http://schemas.openxmlformats.org/markup-compatibility/2006" xmlns:a14="http://schemas.microsoft.com/office/drawing/2010/main">
      <mc:Choice Requires="a14">
        <xdr:sp macro="" textlink="">
          <xdr:nvSpPr>
            <xdr:cNvPr id="41" name="TextBox 40">
              <a:extLst>
                <a:ext uri="{FF2B5EF4-FFF2-40B4-BE49-F238E27FC236}">
                  <a16:creationId xmlns:a16="http://schemas.microsoft.com/office/drawing/2014/main" id="{2905AE6A-9A39-494F-9303-F4014486EC19}"/>
                </a:ext>
              </a:extLst>
            </xdr:cNvPr>
            <xdr:cNvSpPr txBox="1"/>
          </xdr:nvSpPr>
          <xdr:spPr>
            <a:xfrm>
              <a:off x="126642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f>
                      <m:fPr>
                        <m:ctrlPr>
                          <a:rPr lang="en-US" sz="1400" i="1">
                            <a:latin typeface="Cambria Math" panose="02040503050406030204" pitchFamily="18" charset="0"/>
                          </a:rPr>
                        </m:ctrlPr>
                      </m:fPr>
                      <m:num>
                        <m:r>
                          <a:rPr lang="it-IT" sz="1400" b="0" i="1">
                            <a:latin typeface="Cambria Math" panose="02040503050406030204" pitchFamily="18" charset="0"/>
                          </a:rPr>
                          <m:t>3</m:t>
                        </m:r>
                      </m:num>
                      <m:den>
                        <m:r>
                          <a:rPr lang="it-IT" sz="1400" b="0" i="1">
                            <a:latin typeface="Cambria Math" panose="02040503050406030204" pitchFamily="18" charset="0"/>
                          </a:rPr>
                          <m:t>2</m:t>
                        </m:r>
                      </m:den>
                    </m:f>
                    <m:r>
                      <a:rPr lang="it-IT" sz="1400" b="0" i="1">
                        <a:latin typeface="Cambria Math" panose="02040503050406030204" pitchFamily="18" charset="0"/>
                      </a:rPr>
                      <m:t>𝑅</m:t>
                    </m:r>
                  </m:oMath>
                </m:oMathPara>
              </a14:m>
              <a:endParaRPr lang="en-US" sz="1400"/>
            </a:p>
          </xdr:txBody>
        </xdr:sp>
      </mc:Choice>
      <mc:Fallback xmlns="">
        <xdr:sp macro="" textlink="">
          <xdr:nvSpPr>
            <xdr:cNvPr id="41" name="TextBox 40">
              <a:extLst>
                <a:ext uri="{FF2B5EF4-FFF2-40B4-BE49-F238E27FC236}">
                  <a16:creationId xmlns:a16="http://schemas.microsoft.com/office/drawing/2014/main" id="{2905AE6A-9A39-494F-9303-F4014486EC19}"/>
                </a:ext>
              </a:extLst>
            </xdr:cNvPr>
            <xdr:cNvSpPr txBox="1"/>
          </xdr:nvSpPr>
          <xdr:spPr>
            <a:xfrm>
              <a:off x="12664296" y="51477740"/>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3</a:t>
              </a:r>
              <a:r>
                <a:rPr lang="en-US" sz="1400" b="0" i="0">
                  <a:latin typeface="Cambria Math" panose="02040503050406030204" pitchFamily="18" charset="0"/>
                </a:rPr>
                <a:t>/</a:t>
              </a:r>
              <a:r>
                <a:rPr lang="it-IT" sz="1400" b="0" i="0">
                  <a:latin typeface="Cambria Math" panose="02040503050406030204" pitchFamily="18" charset="0"/>
                </a:rPr>
                <a:t>2 𝑅</a:t>
              </a:r>
              <a:endParaRPr lang="en-US" sz="1400"/>
            </a:p>
          </xdr:txBody>
        </xdr:sp>
      </mc:Fallback>
    </mc:AlternateContent>
    <xdr:clientData/>
  </xdr:oneCellAnchor>
  <xdr:oneCellAnchor>
    <xdr:from>
      <xdr:col>11</xdr:col>
      <xdr:colOff>218296</xdr:colOff>
      <xdr:row>200</xdr:row>
      <xdr:rowOff>146049</xdr:rowOff>
    </xdr:from>
    <xdr:ext cx="282578" cy="411278"/>
    <xdr:sp macro="" textlink="">
      <xdr:nvSpPr>
        <xdr:cNvPr id="42" name="TextBox 41">
          <a:extLst>
            <a:ext uri="{FF2B5EF4-FFF2-40B4-BE49-F238E27FC236}">
              <a16:creationId xmlns:a16="http://schemas.microsoft.com/office/drawing/2014/main" id="{998B0B2C-5E21-8648-800A-6DDE2EE209ED}"/>
            </a:ext>
          </a:extLst>
        </xdr:cNvPr>
        <xdr:cNvSpPr txBox="1"/>
      </xdr:nvSpPr>
      <xdr:spPr>
        <a:xfrm>
          <a:off x="13908896" y="51009549"/>
          <a:ext cx="282578"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n-US" sz="1400"/>
            <a:t>0</a:t>
          </a:r>
        </a:p>
      </xdr:txBody>
    </xdr:sp>
    <xdr:clientData/>
  </xdr:oneCellAnchor>
  <xdr:twoCellAnchor>
    <xdr:from>
      <xdr:col>6</xdr:col>
      <xdr:colOff>1025769</xdr:colOff>
      <xdr:row>199</xdr:row>
      <xdr:rowOff>61058</xdr:rowOff>
    </xdr:from>
    <xdr:to>
      <xdr:col>7</xdr:col>
      <xdr:colOff>378558</xdr:colOff>
      <xdr:row>201</xdr:row>
      <xdr:rowOff>67164</xdr:rowOff>
    </xdr:to>
    <xdr:cxnSp macro="">
      <xdr:nvCxnSpPr>
        <xdr:cNvPr id="43" name="Straight Arrow Connector 42">
          <a:extLst>
            <a:ext uri="{FF2B5EF4-FFF2-40B4-BE49-F238E27FC236}">
              <a16:creationId xmlns:a16="http://schemas.microsoft.com/office/drawing/2014/main" id="{0F98F715-4E3D-7240-9A01-79E7413E35F9}"/>
            </a:ext>
          </a:extLst>
        </xdr:cNvPr>
        <xdr:cNvCxnSpPr/>
      </xdr:nvCxnSpPr>
      <xdr:spPr>
        <a:xfrm flipH="1">
          <a:off x="9039469" y="507213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177800</xdr:colOff>
      <xdr:row>199</xdr:row>
      <xdr:rowOff>42496</xdr:rowOff>
    </xdr:from>
    <xdr:to>
      <xdr:col>8</xdr:col>
      <xdr:colOff>390525</xdr:colOff>
      <xdr:row>202</xdr:row>
      <xdr:rowOff>152400</xdr:rowOff>
    </xdr:to>
    <xdr:cxnSp macro="">
      <xdr:nvCxnSpPr>
        <xdr:cNvPr id="44" name="Straight Arrow Connector 43">
          <a:extLst>
            <a:ext uri="{FF2B5EF4-FFF2-40B4-BE49-F238E27FC236}">
              <a16:creationId xmlns:a16="http://schemas.microsoft.com/office/drawing/2014/main" id="{E89F2B06-F0BA-5543-A5AC-F0E63F3F0282}"/>
            </a:ext>
          </a:extLst>
        </xdr:cNvPr>
        <xdr:cNvCxnSpPr/>
      </xdr:nvCxnSpPr>
      <xdr:spPr>
        <a:xfrm flipH="1">
          <a:off x="10833100" y="50702796"/>
          <a:ext cx="212725" cy="73220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199</xdr:row>
      <xdr:rowOff>48846</xdr:rowOff>
    </xdr:from>
    <xdr:to>
      <xdr:col>9</xdr:col>
      <xdr:colOff>854807</xdr:colOff>
      <xdr:row>203</xdr:row>
      <xdr:rowOff>42740</xdr:rowOff>
    </xdr:to>
    <xdr:cxnSp macro="">
      <xdr:nvCxnSpPr>
        <xdr:cNvPr id="45" name="Straight Arrow Connector 44">
          <a:extLst>
            <a:ext uri="{FF2B5EF4-FFF2-40B4-BE49-F238E27FC236}">
              <a16:creationId xmlns:a16="http://schemas.microsoft.com/office/drawing/2014/main" id="{63484A56-9A18-8542-9D31-9531A3F18221}"/>
            </a:ext>
          </a:extLst>
        </xdr:cNvPr>
        <xdr:cNvCxnSpPr/>
      </xdr:nvCxnSpPr>
      <xdr:spPr>
        <a:xfrm>
          <a:off x="11908203" y="50709146"/>
          <a:ext cx="427404" cy="87019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199</xdr:row>
      <xdr:rowOff>42741</xdr:rowOff>
    </xdr:from>
    <xdr:to>
      <xdr:col>11</xdr:col>
      <xdr:colOff>116010</xdr:colOff>
      <xdr:row>200</xdr:row>
      <xdr:rowOff>195384</xdr:rowOff>
    </xdr:to>
    <xdr:cxnSp macro="">
      <xdr:nvCxnSpPr>
        <xdr:cNvPr id="46" name="Straight Arrow Connector 45">
          <a:extLst>
            <a:ext uri="{FF2B5EF4-FFF2-40B4-BE49-F238E27FC236}">
              <a16:creationId xmlns:a16="http://schemas.microsoft.com/office/drawing/2014/main" id="{16A65AB8-F5E4-2E40-A3EF-1238A75B6F8C}"/>
            </a:ext>
          </a:extLst>
        </xdr:cNvPr>
        <xdr:cNvCxnSpPr/>
      </xdr:nvCxnSpPr>
      <xdr:spPr>
        <a:xfrm>
          <a:off x="13099074" y="50703041"/>
          <a:ext cx="707536" cy="355843"/>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772161</xdr:colOff>
      <xdr:row>198</xdr:row>
      <xdr:rowOff>233681</xdr:rowOff>
    </xdr:from>
    <xdr:to>
      <xdr:col>14</xdr:col>
      <xdr:colOff>650241</xdr:colOff>
      <xdr:row>201</xdr:row>
      <xdr:rowOff>162561</xdr:rowOff>
    </xdr:to>
    <xdr:sp macro="" textlink="">
      <xdr:nvSpPr>
        <xdr:cNvPr id="47" name="Rectangle 46">
          <a:extLst>
            <a:ext uri="{FF2B5EF4-FFF2-40B4-BE49-F238E27FC236}">
              <a16:creationId xmlns:a16="http://schemas.microsoft.com/office/drawing/2014/main" id="{80FD3E05-5D59-3E45-8BF5-E318915489F6}"/>
            </a:ext>
          </a:extLst>
        </xdr:cNvPr>
        <xdr:cNvSpPr/>
      </xdr:nvSpPr>
      <xdr:spPr>
        <a:xfrm>
          <a:off x="14462761" y="50538381"/>
          <a:ext cx="3192780" cy="69088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t>No</a:t>
          </a:r>
          <a:r>
            <a:rPr lang="en-US" sz="1100" b="1" baseline="0"/>
            <a:t> contribution from the electronic motion, due to the lack of T dependence in the partition function</a:t>
          </a:r>
          <a:endParaRPr lang="en-US" sz="1100" b="1"/>
        </a:p>
      </xdr:txBody>
    </xdr:sp>
    <xdr:clientData/>
  </xdr:twoCellAnchor>
  <xdr:twoCellAnchor>
    <xdr:from>
      <xdr:col>9</xdr:col>
      <xdr:colOff>425450</xdr:colOff>
      <xdr:row>219</xdr:row>
      <xdr:rowOff>88900</xdr:rowOff>
    </xdr:from>
    <xdr:to>
      <xdr:col>14</xdr:col>
      <xdr:colOff>863600</xdr:colOff>
      <xdr:row>232</xdr:row>
      <xdr:rowOff>25400</xdr:rowOff>
    </xdr:to>
    <xdr:graphicFrame macro="">
      <xdr:nvGraphicFramePr>
        <xdr:cNvPr id="48" name="Chart 47">
          <a:extLst>
            <a:ext uri="{FF2B5EF4-FFF2-40B4-BE49-F238E27FC236}">
              <a16:creationId xmlns:a16="http://schemas.microsoft.com/office/drawing/2014/main" id="{4AA697EA-6B61-B640-B0C4-05F1E8A7A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452528</xdr:colOff>
      <xdr:row>239</xdr:row>
      <xdr:rowOff>131380</xdr:rowOff>
    </xdr:from>
    <xdr:to>
      <xdr:col>6</xdr:col>
      <xdr:colOff>613104</xdr:colOff>
      <xdr:row>239</xdr:row>
      <xdr:rowOff>145977</xdr:rowOff>
    </xdr:to>
    <xdr:cxnSp macro="">
      <xdr:nvCxnSpPr>
        <xdr:cNvPr id="49" name="Straight Arrow Connector 48">
          <a:extLst>
            <a:ext uri="{FF2B5EF4-FFF2-40B4-BE49-F238E27FC236}">
              <a16:creationId xmlns:a16="http://schemas.microsoft.com/office/drawing/2014/main" id="{24BB0164-E87D-0241-A2C7-5C2DEE974097}"/>
            </a:ext>
          </a:extLst>
        </xdr:cNvPr>
        <xdr:cNvCxnSpPr/>
      </xdr:nvCxnSpPr>
      <xdr:spPr>
        <a:xfrm>
          <a:off x="6002428" y="60354780"/>
          <a:ext cx="26243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5</xdr:col>
      <xdr:colOff>1067016</xdr:colOff>
      <xdr:row>242</xdr:row>
      <xdr:rowOff>105207</xdr:rowOff>
    </xdr:from>
    <xdr:ext cx="1450440" cy="683845"/>
    <mc:AlternateContent xmlns:mc="http://schemas.openxmlformats.org/markup-compatibility/2006" xmlns:a14="http://schemas.microsoft.com/office/drawing/2010/main">
      <mc:Choice Requires="a14">
        <xdr:sp macro="" textlink="">
          <xdr:nvSpPr>
            <xdr:cNvPr id="50" name="TextBox 49">
              <a:extLst>
                <a:ext uri="{FF2B5EF4-FFF2-40B4-BE49-F238E27FC236}">
                  <a16:creationId xmlns:a16="http://schemas.microsoft.com/office/drawing/2014/main" id="{AE147C37-C6DB-A849-B836-9EE6F0211DBF}"/>
                </a:ext>
              </a:extLst>
            </xdr:cNvPr>
            <xdr:cNvSpPr txBox="1"/>
          </xdr:nvSpPr>
          <xdr:spPr>
            <a:xfrm>
              <a:off x="7988516" y="610906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a:rPr lang="it-IT" sz="1400" b="0" i="1">
                        <a:latin typeface="Cambria Math" panose="02040503050406030204" pitchFamily="18" charset="0"/>
                      </a:rPr>
                      <m:t>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acc>
                              <m:accPr>
                                <m:chr m:val="̃"/>
                                <m:ctrlPr>
                                  <a:rPr lang="it-IT" sz="1400" b="0" i="1">
                                    <a:latin typeface="Cambria Math" panose="02040503050406030204" pitchFamily="18" charset="0"/>
                                  </a:rPr>
                                </m:ctrlPr>
                              </m:accPr>
                              <m:e>
                                <m:r>
                                  <a:rPr lang="it-IT" sz="1400" b="0" i="1">
                                    <a:latin typeface="Cambria Math" panose="02040503050406030204" pitchFamily="18" charset="0"/>
                                  </a:rPr>
                                  <m:t>𝑉</m:t>
                                </m:r>
                              </m:e>
                            </m:acc>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𝑁</m:t>
                                </m:r>
                              </m:e>
                              <m:sub>
                                <m:r>
                                  <a:rPr lang="it-IT" sz="1400" b="0" i="1">
                                    <a:latin typeface="Cambria Math" panose="02040503050406030204" pitchFamily="18" charset="0"/>
                                  </a:rPr>
                                  <m:t>𝑎𝑣𝑜</m:t>
                                </m:r>
                              </m:sub>
                            </m:sSub>
                          </m:den>
                        </m:f>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r>
                                  <a:rPr lang="it-IT" sz="1400" b="0" i="1">
                                    <a:latin typeface="Cambria Math" panose="02040503050406030204" pitchFamily="18" charset="0"/>
                                  </a:rPr>
                                  <m:t>5</m:t>
                                </m:r>
                              </m:num>
                              <m:den>
                                <m:r>
                                  <a:rPr lang="it-IT" sz="1400" b="0" i="1">
                                    <a:latin typeface="Cambria Math" panose="02040503050406030204" pitchFamily="18" charset="0"/>
                                  </a:rPr>
                                  <m:t>2</m:t>
                                </m:r>
                              </m:den>
                            </m:f>
                          </m:sup>
                        </m:sSup>
                        <m:r>
                          <a:rPr lang="it-IT" sz="1400" b="0" i="1">
                            <a:latin typeface="Cambria Math" panose="02040503050406030204" pitchFamily="18" charset="0"/>
                          </a:rPr>
                          <m:t> </m:t>
                        </m:r>
                        <m:r>
                          <a:rPr lang="it-IT" sz="1400" b="0" i="1">
                            <a:latin typeface="Cambria Math" panose="02040503050406030204" pitchFamily="18" charset="0"/>
                          </a:rPr>
                          <m:t>𝐴</m:t>
                        </m:r>
                      </m:e>
                    </m:d>
                  </m:oMath>
                </m:oMathPara>
              </a14:m>
              <a:endParaRPr lang="en-US" sz="1400"/>
            </a:p>
          </xdr:txBody>
        </xdr:sp>
      </mc:Choice>
      <mc:Fallback xmlns="">
        <xdr:sp macro="" textlink="">
          <xdr:nvSpPr>
            <xdr:cNvPr id="50" name="TextBox 49">
              <a:extLst>
                <a:ext uri="{FF2B5EF4-FFF2-40B4-BE49-F238E27FC236}">
                  <a16:creationId xmlns:a16="http://schemas.microsoft.com/office/drawing/2014/main" id="{AE147C37-C6DB-A849-B836-9EE6F0211DBF}"/>
                </a:ext>
              </a:extLst>
            </xdr:cNvPr>
            <xdr:cNvSpPr txBox="1"/>
          </xdr:nvSpPr>
          <xdr:spPr>
            <a:xfrm>
              <a:off x="7988516" y="61090607"/>
              <a:ext cx="1450440" cy="6838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𝑙𝑛(𝑉 ̃/𝑁_𝑎𝑣𝑜  𝑒^(5/2)  𝐴)</a:t>
              </a:r>
              <a:endParaRPr lang="en-US" sz="1400"/>
            </a:p>
          </xdr:txBody>
        </xdr:sp>
      </mc:Fallback>
    </mc:AlternateContent>
    <xdr:clientData/>
  </xdr:oneCellAnchor>
  <xdr:oneCellAnchor>
    <xdr:from>
      <xdr:col>6</xdr:col>
      <xdr:colOff>970337</xdr:colOff>
      <xdr:row>244</xdr:row>
      <xdr:rowOff>214150</xdr:rowOff>
    </xdr:from>
    <xdr:ext cx="3071931" cy="829907"/>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350AA031-2690-B64C-9D95-813D06ECE782}"/>
                </a:ext>
              </a:extLst>
            </xdr:cNvPr>
            <xdr:cNvSpPr txBox="1"/>
          </xdr:nvSpPr>
          <xdr:spPr>
            <a:xfrm>
              <a:off x="8984037" y="616567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nary>
                      <m:naryPr>
                        <m:chr m:val="∑"/>
                        <m:supHide m:val="on"/>
                        <m:ctrlPr>
                          <a:rPr lang="it-IT" sz="1400" b="0" i="1">
                            <a:latin typeface="Cambria Math" panose="02040503050406030204" pitchFamily="18" charset="0"/>
                          </a:rPr>
                        </m:ctrlPr>
                      </m:naryPr>
                      <m:sub>
                        <m:r>
                          <m:rPr>
                            <m:brk m:alnAt="7"/>
                          </m:rPr>
                          <a:rPr lang="it-IT" sz="1400" b="0" i="1">
                            <a:latin typeface="Cambria Math" panose="02040503050406030204" pitchFamily="18" charset="0"/>
                          </a:rPr>
                          <m:t>𝑖</m:t>
                        </m:r>
                      </m:sub>
                      <m:sup/>
                      <m:e>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num>
                              <m:den>
                                <m:d>
                                  <m:dPr>
                                    <m:ctrlPr>
                                      <a:rPr lang="it-IT" sz="1400" b="0" i="1">
                                        <a:latin typeface="Cambria Math" panose="02040503050406030204" pitchFamily="18" charset="0"/>
                                      </a:rPr>
                                    </m:ctrlPr>
                                  </m:dPr>
                                  <m:e>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r>
                                      <a:rPr lang="it-IT" sz="1400" b="0" i="1">
                                        <a:latin typeface="Cambria Math" panose="02040503050406030204" pitchFamily="18" charset="0"/>
                                      </a:rPr>
                                      <m:t>−1</m:t>
                                    </m:r>
                                  </m:e>
                                </m:d>
                              </m:den>
                            </m:f>
                            <m:r>
                              <a:rPr lang="it-IT" sz="1400" b="0" i="1">
                                <a:latin typeface="Cambria Math" panose="02040503050406030204" pitchFamily="18" charset="0"/>
                              </a:rPr>
                              <m:t>−</m:t>
                            </m:r>
                            <m:r>
                              <a:rPr lang="it-IT" sz="1400" b="0" i="1">
                                <a:latin typeface="Cambria Math" panose="02040503050406030204" pitchFamily="18" charset="0"/>
                              </a:rPr>
                              <m:t>𝑙𝑛</m:t>
                            </m:r>
                            <m:d>
                              <m:dPr>
                                <m:ctrlPr>
                                  <a:rPr lang="it-IT" sz="1400" b="0" i="1">
                                    <a:latin typeface="Cambria Math" panose="02040503050406030204" pitchFamily="18" charset="0"/>
                                  </a:rPr>
                                </m:ctrlPr>
                              </m:dPr>
                              <m:e>
                                <m:r>
                                  <a:rPr lang="it-IT" sz="1400" b="0" i="1">
                                    <a:latin typeface="Cambria Math" panose="02040503050406030204" pitchFamily="18" charset="0"/>
                                  </a:rPr>
                                  <m:t>1−</m:t>
                                </m:r>
                                <m:sSup>
                                  <m:sSupPr>
                                    <m:ctrlPr>
                                      <a:rPr lang="it-IT" sz="1400" b="0" i="1">
                                        <a:latin typeface="Cambria Math" panose="02040503050406030204" pitchFamily="18" charset="0"/>
                                      </a:rPr>
                                    </m:ctrlPr>
                                  </m:sSupPr>
                                  <m:e>
                                    <m:r>
                                      <a:rPr lang="it-IT" sz="1400" b="0" i="1">
                                        <a:latin typeface="Cambria Math" panose="02040503050406030204" pitchFamily="18" charset="0"/>
                                      </a:rPr>
                                      <m:t>𝑒</m:t>
                                    </m:r>
                                  </m:e>
                                  <m:sup>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rPr>
                                              <m:t>𝑣𝑖𝑏</m:t>
                                            </m:r>
                                            <m:r>
                                              <a:rPr lang="it-IT" sz="1400" b="0" i="1">
                                                <a:latin typeface="Cambria Math" panose="02040503050406030204" pitchFamily="18" charset="0"/>
                                              </a:rPr>
                                              <m:t>,</m:t>
                                            </m:r>
                                            <m:r>
                                              <a:rPr lang="it-IT" sz="1400" b="0" i="1">
                                                <a:latin typeface="Cambria Math" panose="02040503050406030204" pitchFamily="18" charset="0"/>
                                              </a:rPr>
                                              <m:t>𝑖</m:t>
                                            </m:r>
                                          </m:sub>
                                        </m:sSub>
                                      </m:num>
                                      <m:den>
                                        <m:r>
                                          <a:rPr lang="it-IT" sz="1400" b="0" i="1">
                                            <a:latin typeface="Cambria Math" panose="02040503050406030204" pitchFamily="18" charset="0"/>
                                          </a:rPr>
                                          <m:t>𝑇</m:t>
                                        </m:r>
                                      </m:den>
                                    </m:f>
                                  </m:sup>
                                </m:sSup>
                              </m:e>
                            </m:d>
                          </m:e>
                        </m:d>
                      </m:e>
                    </m:nary>
                  </m:oMath>
                </m:oMathPara>
              </a14:m>
              <a:endParaRPr lang="en-US" sz="1400"/>
            </a:p>
          </xdr:txBody>
        </xdr:sp>
      </mc:Choice>
      <mc:Fallback xmlns="">
        <xdr:sp macro="" textlink="">
          <xdr:nvSpPr>
            <xdr:cNvPr id="51" name="TextBox 50">
              <a:extLst>
                <a:ext uri="{FF2B5EF4-FFF2-40B4-BE49-F238E27FC236}">
                  <a16:creationId xmlns:a16="http://schemas.microsoft.com/office/drawing/2014/main" id="{350AA031-2690-B64C-9D95-813D06ECE782}"/>
                </a:ext>
              </a:extLst>
            </xdr:cNvPr>
            <xdr:cNvSpPr txBox="1"/>
          </xdr:nvSpPr>
          <xdr:spPr>
            <a:xfrm>
              <a:off x="8984037" y="61656750"/>
              <a:ext cx="3071931" cy="829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latin typeface="Cambria Math" panose="02040503050406030204" pitchFamily="18" charset="0"/>
                </a:rPr>
                <a:t>𝑅∑_𝑖▒((</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𝑣𝑖𝑏,𝑖)/𝑇)−1) )−𝑙𝑛(1−𝑒^(−</a:t>
              </a:r>
              <a:r>
                <a:rPr lang="it-IT" sz="1400" b="0" i="0">
                  <a:latin typeface="Cambria Math" panose="02040503050406030204" pitchFamily="18" charset="0"/>
                  <a:ea typeface="Cambria Math" panose="02040503050406030204" pitchFamily="18" charset="0"/>
                </a:rPr>
                <a:t>𝜗_(</a:t>
              </a:r>
              <a:r>
                <a:rPr lang="it-IT" sz="1400" b="0" i="0">
                  <a:latin typeface="Cambria Math" panose="02040503050406030204" pitchFamily="18" charset="0"/>
                </a:rPr>
                <a:t>𝑣𝑖𝑏,𝑖)/𝑇) )) </a:t>
              </a:r>
              <a:endParaRPr lang="en-US" sz="1400"/>
            </a:p>
          </xdr:txBody>
        </xdr:sp>
      </mc:Fallback>
    </mc:AlternateContent>
    <xdr:clientData/>
  </xdr:oneCellAnchor>
  <xdr:oneCellAnchor>
    <xdr:from>
      <xdr:col>10</xdr:col>
      <xdr:colOff>65895</xdr:colOff>
      <xdr:row>243</xdr:row>
      <xdr:rowOff>195140</xdr:rowOff>
    </xdr:from>
    <xdr:ext cx="1219133" cy="556340"/>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1372A064-7681-6A43-84DC-C1BA44542B02}"/>
                </a:ext>
              </a:extLst>
            </xdr:cNvPr>
            <xdr:cNvSpPr txBox="1"/>
          </xdr:nvSpPr>
          <xdr:spPr>
            <a:xfrm>
              <a:off x="12664295" y="613837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𝑅𝑙𝑛</m:t>
                    </m:r>
                    <m:d>
                      <m:dPr>
                        <m:ctrlPr>
                          <a:rPr lang="it-IT" sz="1400" b="0" i="1">
                            <a:latin typeface="Cambria Math" panose="02040503050406030204" pitchFamily="18" charset="0"/>
                          </a:rPr>
                        </m:ctrlPr>
                      </m:dPr>
                      <m:e>
                        <m:f>
                          <m:fPr>
                            <m:ctrlPr>
                              <a:rPr lang="it-IT" sz="1400" b="0" i="1">
                                <a:latin typeface="Cambria Math" panose="02040503050406030204" pitchFamily="18" charset="0"/>
                              </a:rPr>
                            </m:ctrlPr>
                          </m:fPr>
                          <m:num>
                            <m:r>
                              <a:rPr lang="it-IT" sz="1400" b="0" i="1">
                                <a:latin typeface="Cambria Math" panose="02040503050406030204" pitchFamily="18" charset="0"/>
                              </a:rPr>
                              <m:t>𝑒𝑇</m:t>
                            </m:r>
                          </m:num>
                          <m:den>
                            <m:r>
                              <a:rPr lang="it-IT" sz="1400" b="0" i="1">
                                <a:latin typeface="Cambria Math" panose="02040503050406030204" pitchFamily="18" charset="0"/>
                                <a:ea typeface="Cambria Math" panose="02040503050406030204" pitchFamily="18" charset="0"/>
                              </a:rPr>
                              <m:t>𝜎</m:t>
                            </m:r>
                            <m:r>
                              <a:rPr lang="it-IT" sz="1400" b="0" i="1">
                                <a:latin typeface="Cambria Math" panose="02040503050406030204" pitchFamily="18" charset="0"/>
                                <a:ea typeface="Cambria Math" panose="02040503050406030204" pitchFamily="18" charset="0"/>
                              </a:rPr>
                              <m:t> </m:t>
                            </m:r>
                            <m:sSub>
                              <m:sSubPr>
                                <m:ctrlPr>
                                  <a:rPr lang="it-IT" sz="1400" b="0" i="1">
                                    <a:latin typeface="Cambria Math" panose="02040503050406030204" pitchFamily="18" charset="0"/>
                                    <a:ea typeface="Cambria Math" panose="02040503050406030204" pitchFamily="18" charset="0"/>
                                  </a:rPr>
                                </m:ctrlPr>
                              </m:sSubPr>
                              <m:e>
                                <m:r>
                                  <a:rPr lang="it-IT" sz="1400" b="0" i="1">
                                    <a:latin typeface="Cambria Math" panose="02040503050406030204" pitchFamily="18" charset="0"/>
                                    <a:ea typeface="Cambria Math" panose="02040503050406030204" pitchFamily="18" charset="0"/>
                                  </a:rPr>
                                  <m:t>𝜗</m:t>
                                </m:r>
                              </m:e>
                              <m:sub>
                                <m:r>
                                  <a:rPr lang="it-IT" sz="1400" b="0" i="1">
                                    <a:latin typeface="Cambria Math" panose="02040503050406030204" pitchFamily="18" charset="0"/>
                                    <a:ea typeface="Cambria Math" panose="02040503050406030204" pitchFamily="18" charset="0"/>
                                  </a:rPr>
                                  <m:t>𝑟𝑜𝑡</m:t>
                                </m:r>
                              </m:sub>
                            </m:sSub>
                          </m:den>
                        </m:f>
                      </m:e>
                    </m:d>
                  </m:oMath>
                </m:oMathPara>
              </a14:m>
              <a:endParaRPr lang="en-US" sz="1400"/>
            </a:p>
          </xdr:txBody>
        </xdr:sp>
      </mc:Choice>
      <mc:Fallback xmlns="">
        <xdr:sp macro="" textlink="">
          <xdr:nvSpPr>
            <xdr:cNvPr id="52" name="TextBox 51">
              <a:extLst>
                <a:ext uri="{FF2B5EF4-FFF2-40B4-BE49-F238E27FC236}">
                  <a16:creationId xmlns:a16="http://schemas.microsoft.com/office/drawing/2014/main" id="{1372A064-7681-6A43-84DC-C1BA44542B02}"/>
                </a:ext>
              </a:extLst>
            </xdr:cNvPr>
            <xdr:cNvSpPr txBox="1"/>
          </xdr:nvSpPr>
          <xdr:spPr>
            <a:xfrm>
              <a:off x="12664295" y="61383740"/>
              <a:ext cx="1219133" cy="556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𝑅𝑙𝑛(𝑒𝑇/(</a:t>
              </a:r>
              <a:r>
                <a:rPr lang="it-IT" sz="1400" b="0" i="0">
                  <a:latin typeface="Cambria Math" panose="02040503050406030204" pitchFamily="18" charset="0"/>
                  <a:ea typeface="Cambria Math" panose="02040503050406030204" pitchFamily="18" charset="0"/>
                </a:rPr>
                <a:t>𝜎 𝜗_𝑟𝑜𝑡 ))</a:t>
              </a:r>
              <a:endParaRPr lang="en-US" sz="1400"/>
            </a:p>
          </xdr:txBody>
        </xdr:sp>
      </mc:Fallback>
    </mc:AlternateContent>
    <xdr:clientData/>
  </xdr:oneCellAnchor>
  <xdr:oneCellAnchor>
    <xdr:from>
      <xdr:col>11</xdr:col>
      <xdr:colOff>218296</xdr:colOff>
      <xdr:row>241</xdr:row>
      <xdr:rowOff>146049</xdr:rowOff>
    </xdr:from>
    <xdr:ext cx="1645372" cy="411278"/>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9BC07063-EE4E-4F4B-8815-36E62EFE37AC}"/>
                </a:ext>
              </a:extLst>
            </xdr:cNvPr>
            <xdr:cNvSpPr txBox="1"/>
          </xdr:nvSpPr>
          <xdr:spPr>
            <a:xfrm>
              <a:off x="13908896" y="609282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it-IT" sz="1400" b="0" i="1">
                        <a:latin typeface="Cambria Math" panose="02040503050406030204" pitchFamily="18" charset="0"/>
                      </a:rPr>
                      <m:t>𝑅</m:t>
                    </m:r>
                    <m:r>
                      <a:rPr lang="it-IT" sz="1400" b="0" i="1">
                        <a:latin typeface="Cambria Math" panose="02040503050406030204" pitchFamily="18" charset="0"/>
                      </a:rPr>
                      <m:t> </m:t>
                    </m:r>
                    <m:r>
                      <m:rPr>
                        <m:sty m:val="p"/>
                      </m:rPr>
                      <a:rPr lang="it-IT" sz="1400" b="0" i="0">
                        <a:latin typeface="Cambria Math" panose="02040503050406030204" pitchFamily="18" charset="0"/>
                      </a:rPr>
                      <m:t>ln</m:t>
                    </m:r>
                    <m:r>
                      <a:rPr lang="it-IT" sz="1400" b="0" i="0">
                        <a:latin typeface="Cambria Math" panose="02040503050406030204" pitchFamily="18" charset="0"/>
                      </a:rPr>
                      <m:t>⁡(</m:t>
                    </m:r>
                    <m:sSub>
                      <m:sSubPr>
                        <m:ctrlPr>
                          <a:rPr lang="it-IT" sz="1400" b="0" i="1">
                            <a:latin typeface="Cambria Math" panose="02040503050406030204" pitchFamily="18" charset="0"/>
                          </a:rPr>
                        </m:ctrlPr>
                      </m:sSubPr>
                      <m:e>
                        <m:r>
                          <a:rPr lang="it-IT" sz="1400" b="0" i="1">
                            <a:latin typeface="Cambria Math" panose="02040503050406030204" pitchFamily="18" charset="0"/>
                          </a:rPr>
                          <m:t>𝑄</m:t>
                        </m:r>
                      </m:e>
                      <m:sub>
                        <m:r>
                          <a:rPr lang="it-IT" sz="1400" b="0" i="1">
                            <a:latin typeface="Cambria Math" panose="02040503050406030204" pitchFamily="18" charset="0"/>
                          </a:rPr>
                          <m:t>𝑒𝑙</m:t>
                        </m:r>
                      </m:sub>
                    </m:sSub>
                    <m:r>
                      <a:rPr lang="it-IT" sz="1400" b="0" i="0">
                        <a:latin typeface="Cambria Math" panose="02040503050406030204" pitchFamily="18" charset="0"/>
                      </a:rPr>
                      <m:t>)</m:t>
                    </m:r>
                  </m:oMath>
                </m:oMathPara>
              </a14:m>
              <a:endParaRPr lang="en-US" sz="1400"/>
            </a:p>
          </xdr:txBody>
        </xdr:sp>
      </mc:Choice>
      <mc:Fallback xmlns="">
        <xdr:sp macro="" textlink="">
          <xdr:nvSpPr>
            <xdr:cNvPr id="53" name="TextBox 52">
              <a:extLst>
                <a:ext uri="{FF2B5EF4-FFF2-40B4-BE49-F238E27FC236}">
                  <a16:creationId xmlns:a16="http://schemas.microsoft.com/office/drawing/2014/main" id="{9BC07063-EE4E-4F4B-8815-36E62EFE37AC}"/>
                </a:ext>
              </a:extLst>
            </xdr:cNvPr>
            <xdr:cNvSpPr txBox="1"/>
          </xdr:nvSpPr>
          <xdr:spPr>
            <a:xfrm>
              <a:off x="13908896" y="60928249"/>
              <a:ext cx="1645372" cy="411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it-IT" sz="1400" b="0" i="0">
                  <a:latin typeface="Cambria Math" panose="02040503050406030204" pitchFamily="18" charset="0"/>
                </a:rPr>
                <a:t>𝑅 ln⁡(𝑄_𝑒𝑙)</a:t>
              </a:r>
              <a:endParaRPr lang="en-US" sz="1400"/>
            </a:p>
          </xdr:txBody>
        </xdr:sp>
      </mc:Fallback>
    </mc:AlternateContent>
    <xdr:clientData/>
  </xdr:oneCellAnchor>
  <xdr:twoCellAnchor>
    <xdr:from>
      <xdr:col>6</xdr:col>
      <xdr:colOff>1025769</xdr:colOff>
      <xdr:row>240</xdr:row>
      <xdr:rowOff>61058</xdr:rowOff>
    </xdr:from>
    <xdr:to>
      <xdr:col>7</xdr:col>
      <xdr:colOff>378558</xdr:colOff>
      <xdr:row>242</xdr:row>
      <xdr:rowOff>67164</xdr:rowOff>
    </xdr:to>
    <xdr:cxnSp macro="">
      <xdr:nvCxnSpPr>
        <xdr:cNvPr id="54" name="Straight Arrow Connector 53">
          <a:extLst>
            <a:ext uri="{FF2B5EF4-FFF2-40B4-BE49-F238E27FC236}">
              <a16:creationId xmlns:a16="http://schemas.microsoft.com/office/drawing/2014/main" id="{C636E482-B6E5-5940-A444-212FDA42EC01}"/>
            </a:ext>
          </a:extLst>
        </xdr:cNvPr>
        <xdr:cNvCxnSpPr/>
      </xdr:nvCxnSpPr>
      <xdr:spPr>
        <a:xfrm flipH="1">
          <a:off x="9039469" y="60640058"/>
          <a:ext cx="635489" cy="41250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105207</xdr:colOff>
      <xdr:row>240</xdr:row>
      <xdr:rowOff>42496</xdr:rowOff>
    </xdr:from>
    <xdr:to>
      <xdr:col>8</xdr:col>
      <xdr:colOff>390525</xdr:colOff>
      <xdr:row>244</xdr:row>
      <xdr:rowOff>195385</xdr:rowOff>
    </xdr:to>
    <xdr:cxnSp macro="">
      <xdr:nvCxnSpPr>
        <xdr:cNvPr id="55" name="Straight Arrow Connector 54">
          <a:extLst>
            <a:ext uri="{FF2B5EF4-FFF2-40B4-BE49-F238E27FC236}">
              <a16:creationId xmlns:a16="http://schemas.microsoft.com/office/drawing/2014/main" id="{744F7E57-3A96-4E4C-8CAB-9615A7395E8C}"/>
            </a:ext>
          </a:extLst>
        </xdr:cNvPr>
        <xdr:cNvCxnSpPr/>
      </xdr:nvCxnSpPr>
      <xdr:spPr>
        <a:xfrm flipH="1">
          <a:off x="10760507" y="60621496"/>
          <a:ext cx="285318" cy="1016489"/>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427403</xdr:colOff>
      <xdr:row>240</xdr:row>
      <xdr:rowOff>48846</xdr:rowOff>
    </xdr:from>
    <xdr:to>
      <xdr:col>10</xdr:col>
      <xdr:colOff>172840</xdr:colOff>
      <xdr:row>243</xdr:row>
      <xdr:rowOff>157811</xdr:rowOff>
    </xdr:to>
    <xdr:cxnSp macro="">
      <xdr:nvCxnSpPr>
        <xdr:cNvPr id="56" name="Straight Arrow Connector 55">
          <a:extLst>
            <a:ext uri="{FF2B5EF4-FFF2-40B4-BE49-F238E27FC236}">
              <a16:creationId xmlns:a16="http://schemas.microsoft.com/office/drawing/2014/main" id="{2A14CE0E-FA4A-8B43-8E49-98F57DCEB9D9}"/>
            </a:ext>
          </a:extLst>
        </xdr:cNvPr>
        <xdr:cNvCxnSpPr/>
      </xdr:nvCxnSpPr>
      <xdr:spPr>
        <a:xfrm>
          <a:off x="11908203" y="60627846"/>
          <a:ext cx="863037" cy="71856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500674</xdr:colOff>
      <xdr:row>240</xdr:row>
      <xdr:rowOff>42741</xdr:rowOff>
    </xdr:from>
    <xdr:to>
      <xdr:col>11</xdr:col>
      <xdr:colOff>548580</xdr:colOff>
      <xdr:row>241</xdr:row>
      <xdr:rowOff>187869</xdr:rowOff>
    </xdr:to>
    <xdr:cxnSp macro="">
      <xdr:nvCxnSpPr>
        <xdr:cNvPr id="57" name="Straight Arrow Connector 56">
          <a:extLst>
            <a:ext uri="{FF2B5EF4-FFF2-40B4-BE49-F238E27FC236}">
              <a16:creationId xmlns:a16="http://schemas.microsoft.com/office/drawing/2014/main" id="{C2258A36-1930-B04E-830C-B76647486170}"/>
            </a:ext>
          </a:extLst>
        </xdr:cNvPr>
        <xdr:cNvCxnSpPr/>
      </xdr:nvCxnSpPr>
      <xdr:spPr>
        <a:xfrm>
          <a:off x="13099074" y="60621741"/>
          <a:ext cx="1140106" cy="34832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5</xdr:col>
      <xdr:colOff>372532</xdr:colOff>
      <xdr:row>240</xdr:row>
      <xdr:rowOff>101601</xdr:rowOff>
    </xdr:from>
    <xdr:ext cx="1303867" cy="305725"/>
    <mc:AlternateContent xmlns:mc="http://schemas.openxmlformats.org/markup-compatibility/2006" xmlns:a14="http://schemas.microsoft.com/office/drawing/2010/main">
      <mc:Choice Requires="a14">
        <xdr:sp macro="" textlink="">
          <xdr:nvSpPr>
            <xdr:cNvPr id="58" name="CasellaDiTesto 25">
              <a:extLst>
                <a:ext uri="{FF2B5EF4-FFF2-40B4-BE49-F238E27FC236}">
                  <a16:creationId xmlns:a16="http://schemas.microsoft.com/office/drawing/2014/main" id="{14C1BE0E-4EFF-864B-896D-DDF52614772A}"/>
                </a:ext>
              </a:extLst>
            </xdr:cNvPr>
            <xdr:cNvSpPr txBox="1"/>
          </xdr:nvSpPr>
          <xdr:spPr>
            <a:xfrm>
              <a:off x="7294032" y="606806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it-IT" sz="1050" b="1" i="1">
                            <a:latin typeface="Cambria Math" panose="02040503050406030204" pitchFamily="18" charset="0"/>
                          </a:rPr>
                        </m:ctrlPr>
                      </m:accPr>
                      <m:e>
                        <m:r>
                          <a:rPr lang="it-IT" sz="1050" b="1" i="1">
                            <a:latin typeface="Cambria Math" panose="02040503050406030204" pitchFamily="18" charset="0"/>
                          </a:rPr>
                          <m:t>𝑽</m:t>
                        </m:r>
                      </m:e>
                    </m:acc>
                    <m:r>
                      <a:rPr lang="it-IT" sz="1050" b="1" i="1">
                        <a:latin typeface="Cambria Math" panose="02040503050406030204" pitchFamily="18" charset="0"/>
                      </a:rPr>
                      <m:t>=</m:t>
                    </m:r>
                    <m:f>
                      <m:fPr>
                        <m:ctrlPr>
                          <a:rPr lang="it-IT" sz="1050" b="1" i="1">
                            <a:latin typeface="Cambria Math" panose="02040503050406030204" pitchFamily="18" charset="0"/>
                          </a:rPr>
                        </m:ctrlPr>
                      </m:fPr>
                      <m:num>
                        <m:r>
                          <a:rPr lang="it-IT" sz="1050" b="1" i="1">
                            <a:latin typeface="Cambria Math" panose="02040503050406030204" pitchFamily="18" charset="0"/>
                          </a:rPr>
                          <m:t>𝑹</m:t>
                        </m:r>
                        <m:r>
                          <a:rPr lang="it-IT" sz="1050" b="1" i="1">
                            <a:latin typeface="Cambria Math" panose="02040503050406030204" pitchFamily="18" charset="0"/>
                          </a:rPr>
                          <m:t> </m:t>
                        </m:r>
                        <m:r>
                          <a:rPr lang="it-IT" sz="1050" b="1" i="1">
                            <a:latin typeface="Cambria Math" panose="02040503050406030204" pitchFamily="18" charset="0"/>
                          </a:rPr>
                          <m:t>𝑻</m:t>
                        </m:r>
                      </m:num>
                      <m:den>
                        <m:r>
                          <a:rPr lang="it-IT" sz="1050" b="1" i="1">
                            <a:latin typeface="Cambria Math" panose="02040503050406030204" pitchFamily="18" charset="0"/>
                          </a:rPr>
                          <m:t>𝑷</m:t>
                        </m:r>
                      </m:den>
                    </m:f>
                  </m:oMath>
                </m:oMathPara>
              </a14:m>
              <a:endParaRPr lang="it-IT" sz="1050" b="1"/>
            </a:p>
          </xdr:txBody>
        </xdr:sp>
      </mc:Choice>
      <mc:Fallback xmlns="">
        <xdr:sp macro="" textlink="">
          <xdr:nvSpPr>
            <xdr:cNvPr id="58" name="CasellaDiTesto 25">
              <a:extLst>
                <a:ext uri="{FF2B5EF4-FFF2-40B4-BE49-F238E27FC236}">
                  <a16:creationId xmlns:a16="http://schemas.microsoft.com/office/drawing/2014/main" id="{14C1BE0E-4EFF-864B-896D-DDF52614772A}"/>
                </a:ext>
              </a:extLst>
            </xdr:cNvPr>
            <xdr:cNvSpPr txBox="1"/>
          </xdr:nvSpPr>
          <xdr:spPr>
            <a:xfrm>
              <a:off x="7294032" y="60680601"/>
              <a:ext cx="1303867" cy="305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it-IT" sz="1050" b="1" i="0">
                  <a:latin typeface="Cambria Math" panose="02040503050406030204" pitchFamily="18" charset="0"/>
                </a:rPr>
                <a:t>𝑽 ̃=(𝑹 𝑻)/𝑷</a:t>
              </a:r>
              <a:endParaRPr lang="it-IT" sz="1050" b="1"/>
            </a:p>
          </xdr:txBody>
        </xdr:sp>
      </mc:Fallback>
    </mc:AlternateContent>
    <xdr:clientData/>
  </xdr:oneCellAnchor>
  <xdr:twoCellAnchor>
    <xdr:from>
      <xdr:col>6</xdr:col>
      <xdr:colOff>287867</xdr:colOff>
      <xdr:row>240</xdr:row>
      <xdr:rowOff>194733</xdr:rowOff>
    </xdr:from>
    <xdr:to>
      <xdr:col>6</xdr:col>
      <xdr:colOff>700036</xdr:colOff>
      <xdr:row>242</xdr:row>
      <xdr:rowOff>105207</xdr:rowOff>
    </xdr:to>
    <xdr:cxnSp macro="">
      <xdr:nvCxnSpPr>
        <xdr:cNvPr id="59" name="Curved Connector 58">
          <a:extLst>
            <a:ext uri="{FF2B5EF4-FFF2-40B4-BE49-F238E27FC236}">
              <a16:creationId xmlns:a16="http://schemas.microsoft.com/office/drawing/2014/main" id="{DE8F0C00-B4AE-0F45-8E89-E89F680D5CE1}"/>
            </a:ext>
          </a:extLst>
        </xdr:cNvPr>
        <xdr:cNvCxnSpPr>
          <a:endCxn id="50" idx="0"/>
        </xdr:cNvCxnSpPr>
      </xdr:nvCxnSpPr>
      <xdr:spPr>
        <a:xfrm>
          <a:off x="8301567" y="60773733"/>
          <a:ext cx="412169" cy="316874"/>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1000646</xdr:colOff>
      <xdr:row>267</xdr:row>
      <xdr:rowOff>177520</xdr:rowOff>
    </xdr:from>
    <xdr:to>
      <xdr:col>17</xdr:col>
      <xdr:colOff>1244599</xdr:colOff>
      <xdr:row>285</xdr:row>
      <xdr:rowOff>41868</xdr:rowOff>
    </xdr:to>
    <xdr:graphicFrame macro="">
      <xdr:nvGraphicFramePr>
        <xdr:cNvPr id="60" name="Chart 59">
          <a:extLst>
            <a:ext uri="{FF2B5EF4-FFF2-40B4-BE49-F238E27FC236}">
              <a16:creationId xmlns:a16="http://schemas.microsoft.com/office/drawing/2014/main" id="{20670C2F-199D-9A48-AD9C-8261B316CB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642750</xdr:colOff>
      <xdr:row>244</xdr:row>
      <xdr:rowOff>77922</xdr:rowOff>
    </xdr:from>
    <xdr:ext cx="5057090" cy="1166345"/>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E37BFF3B-5A7B-6C4D-9DBE-AD1525E25D23}"/>
                </a:ext>
              </a:extLst>
            </xdr:cNvPr>
            <xdr:cNvSpPr txBox="1"/>
          </xdr:nvSpPr>
          <xdr:spPr>
            <a:xfrm>
              <a:off x="13241150" y="615205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400" b="0" i="1">
                        <a:solidFill>
                          <a:srgbClr val="FF0000"/>
                        </a:solidFill>
                        <a:latin typeface="Cambria Math" panose="02040503050406030204" pitchFamily="18" charset="0"/>
                      </a:rPr>
                      <m:t>𝑏𝑢𝑡</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𝐺𝑎𝑢𝑠𝑠𝑖𝑎𝑛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𝑢𝑠𝑒𝑠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𝑓𝑜𝑟</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𝑝𝑜𝑙𝑦𝑎𝑡𝑜𝑚𝑖𝑐</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𝑚𝑜𝑙𝑒𝑐𝑢𝑙𝑒𝑠</m:t>
                    </m:r>
                    <m:r>
                      <a:rPr lang="it-IT" sz="1400" b="0" i="1">
                        <a:solidFill>
                          <a:srgbClr val="FF0000"/>
                        </a:solidFill>
                        <a:latin typeface="Cambria Math" panose="02040503050406030204" pitchFamily="18" charset="0"/>
                      </a:rPr>
                      <m:t>):</m:t>
                    </m:r>
                  </m:oMath>
                </m:oMathPara>
              </a14:m>
              <a:endParaRPr lang="it-IT" sz="1400" b="0">
                <a:solidFill>
                  <a:srgbClr val="FF0000"/>
                </a:solidFill>
              </a:endParaRPr>
            </a:p>
            <a:p>
              <a:endParaRPr lang="en-US" sz="1400">
                <a:solidFill>
                  <a:srgbClr val="FF0000"/>
                </a:solidFill>
              </a:endParaRPr>
            </a:p>
            <a:p>
              <a14:m>
                <m:oMath xmlns:m="http://schemas.openxmlformats.org/officeDocument/2006/math">
                  <m:func>
                    <m:funcPr>
                      <m:ctrlPr>
                        <a:rPr lang="it-IT" sz="1400" b="0" i="1">
                          <a:solidFill>
                            <a:srgbClr val="FF0000"/>
                          </a:solidFill>
                          <a:latin typeface="Cambria Math" panose="02040503050406030204" pitchFamily="18" charset="0"/>
                        </a:rPr>
                      </m:ctrlPr>
                    </m:funcPr>
                    <m:fName>
                      <m:r>
                        <a:rPr lang="it-IT" sz="1400" b="0" i="1">
                          <a:solidFill>
                            <a:srgbClr val="FF0000"/>
                          </a:solidFill>
                          <a:latin typeface="Cambria Math" panose="02040503050406030204" pitchFamily="18" charset="0"/>
                        </a:rPr>
                        <m:t>𝑅</m:t>
                      </m:r>
                    </m:fName>
                    <m:e>
                      <m:d>
                        <m:dPr>
                          <m:ctrlPr>
                            <a:rPr lang="it-IT" sz="1400" b="0" i="1">
                              <a:solidFill>
                                <a:srgbClr val="FF0000"/>
                              </a:solidFill>
                              <a:latin typeface="Cambria Math" panose="02040503050406030204" pitchFamily="18" charset="0"/>
                            </a:rPr>
                          </m:ctrlPr>
                        </m:dPr>
                        <m:e>
                          <m:r>
                            <m:rPr>
                              <m:sty m:val="p"/>
                            </m:rPr>
                            <a:rPr lang="it-IT" sz="1400" b="0" i="0">
                              <a:solidFill>
                                <a:srgbClr val="FF0000"/>
                              </a:solidFill>
                              <a:latin typeface="Cambria Math" panose="02040503050406030204" pitchFamily="18" charset="0"/>
                            </a:rPr>
                            <m:t>ln</m:t>
                          </m:r>
                          <m:d>
                            <m:dPr>
                              <m:ctrlPr>
                                <a:rPr lang="it-IT" sz="1400" b="0" i="1">
                                  <a:solidFill>
                                    <a:srgbClr val="FF0000"/>
                                  </a:solidFill>
                                  <a:latin typeface="Cambria Math" panose="02040503050406030204" pitchFamily="18" charset="0"/>
                                </a:rPr>
                              </m:ctrlPr>
                            </m:dPr>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e>
                          </m:d>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e>
                      </m:d>
                    </m:e>
                  </m:func>
                </m:oMath>
              </a14:m>
              <a:r>
                <a:rPr lang="en-US" sz="1400">
                  <a:solidFill>
                    <a:srgbClr val="FF0000"/>
                  </a:solidFill>
                </a:rPr>
                <a:t> where </a:t>
              </a:r>
              <a14:m>
                <m:oMath xmlns:m="http://schemas.openxmlformats.org/officeDocument/2006/math">
                  <m:sSub>
                    <m:sSubPr>
                      <m:ctrlPr>
                        <a:rPr lang="en-US" sz="140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rPr>
                        <m:t>𝑞</m:t>
                      </m:r>
                    </m:e>
                    <m:sub>
                      <m:r>
                        <a:rPr lang="it-IT" sz="1400" b="0" i="1">
                          <a:solidFill>
                            <a:srgbClr val="FF0000"/>
                          </a:solidFill>
                          <a:latin typeface="Cambria Math" panose="02040503050406030204" pitchFamily="18" charset="0"/>
                        </a:rPr>
                        <m:t>𝑟</m:t>
                      </m:r>
                    </m:sub>
                  </m:sSub>
                  <m:r>
                    <a:rPr lang="it-IT" sz="1400" b="0" i="1">
                      <a:solidFill>
                        <a:srgbClr val="FF0000"/>
                      </a:solidFill>
                      <a:latin typeface="Cambria Math" panose="02040503050406030204" pitchFamily="18" charset="0"/>
                    </a:rPr>
                    <m:t>=</m:t>
                  </m:r>
                  <m:f>
                    <m:fPr>
                      <m:ctrlPr>
                        <a:rPr lang="it-IT" sz="1400" b="0" i="1">
                          <a:solidFill>
                            <a:srgbClr val="FF0000"/>
                          </a:solidFill>
                          <a:latin typeface="Cambria Math" panose="02040503050406030204" pitchFamily="18" charset="0"/>
                        </a:rPr>
                      </m:ctrlPr>
                    </m:fPr>
                    <m:num>
                      <m:rad>
                        <m:radPr>
                          <m:degHide m:val="on"/>
                          <m:ctrlPr>
                            <a:rPr lang="it-IT" sz="1400" b="0" i="1">
                              <a:solidFill>
                                <a:srgbClr val="FF0000"/>
                              </a:solidFill>
                              <a:latin typeface="Cambria Math" panose="02040503050406030204" pitchFamily="18" charset="0"/>
                            </a:rPr>
                          </m:ctrlPr>
                        </m:radPr>
                        <m:deg/>
                        <m:e>
                          <m:r>
                            <a:rPr lang="it-IT" sz="1400" b="0" i="1">
                              <a:solidFill>
                                <a:srgbClr val="FF0000"/>
                              </a:solidFill>
                              <a:latin typeface="Cambria Math" panose="02040503050406030204" pitchFamily="18" charset="0"/>
                              <a:ea typeface="Cambria Math" panose="02040503050406030204" pitchFamily="18" charset="0"/>
                            </a:rPr>
                            <m:t>𝜋</m:t>
                          </m:r>
                        </m:e>
                      </m:rad>
                    </m:num>
                    <m:den>
                      <m:r>
                        <a:rPr lang="it-IT" sz="1400" b="0" i="1">
                          <a:solidFill>
                            <a:srgbClr val="FF0000"/>
                          </a:solidFill>
                          <a:latin typeface="Cambria Math" panose="02040503050406030204" pitchFamily="18" charset="0"/>
                          <a:ea typeface="Cambria Math" panose="02040503050406030204" pitchFamily="18" charset="0"/>
                        </a:rPr>
                        <m:t>𝜎</m:t>
                      </m:r>
                    </m:den>
                  </m:f>
                  <m:d>
                    <m:dPr>
                      <m:ctrlPr>
                        <a:rPr lang="it-IT" sz="1400" b="0" i="1">
                          <a:solidFill>
                            <a:srgbClr val="FF0000"/>
                          </a:solidFill>
                          <a:latin typeface="Cambria Math" panose="02040503050406030204" pitchFamily="18" charset="0"/>
                        </a:rPr>
                      </m:ctrlPr>
                    </m:dPr>
                    <m:e>
                      <m:f>
                        <m:fPr>
                          <m:ctrlPr>
                            <a:rPr lang="it-IT" sz="1400" b="0" i="1">
                              <a:solidFill>
                                <a:srgbClr val="FF0000"/>
                              </a:solidFill>
                              <a:latin typeface="Cambria Math" panose="02040503050406030204" pitchFamily="18" charset="0"/>
                            </a:rPr>
                          </m:ctrlPr>
                        </m:fPr>
                        <m:num>
                          <m:sSup>
                            <m:sSupPr>
                              <m:ctrlPr>
                                <a:rPr lang="it-IT" sz="1400" b="0" i="1">
                                  <a:solidFill>
                                    <a:srgbClr val="FF0000"/>
                                  </a:solidFill>
                                  <a:latin typeface="Cambria Math" panose="02040503050406030204" pitchFamily="18" charset="0"/>
                                </a:rPr>
                              </m:ctrlPr>
                            </m:sSupPr>
                            <m:e>
                              <m:r>
                                <a:rPr lang="it-IT" sz="1400" b="0" i="1">
                                  <a:solidFill>
                                    <a:srgbClr val="FF0000"/>
                                  </a:solidFill>
                                  <a:latin typeface="Cambria Math" panose="02040503050406030204" pitchFamily="18" charset="0"/>
                                </a:rPr>
                                <m:t>𝑇</m:t>
                              </m:r>
                            </m:e>
                            <m:sup>
                              <m:f>
                                <m:fPr>
                                  <m:ctrlPr>
                                    <a:rPr lang="it-IT" sz="1400" b="0" i="1">
                                      <a:solidFill>
                                        <a:srgbClr val="FF0000"/>
                                      </a:solidFill>
                                      <a:latin typeface="Cambria Math" panose="02040503050406030204" pitchFamily="18" charset="0"/>
                                    </a:rPr>
                                  </m:ctrlPr>
                                </m:fPr>
                                <m:num>
                                  <m:r>
                                    <a:rPr lang="it-IT" sz="1400" b="0" i="1">
                                      <a:solidFill>
                                        <a:srgbClr val="FF0000"/>
                                      </a:solidFill>
                                      <a:latin typeface="Cambria Math" panose="02040503050406030204" pitchFamily="18" charset="0"/>
                                    </a:rPr>
                                    <m:t>3</m:t>
                                  </m:r>
                                </m:num>
                                <m:den>
                                  <m:r>
                                    <a:rPr lang="it-IT" sz="1400" b="0" i="1">
                                      <a:solidFill>
                                        <a:srgbClr val="FF0000"/>
                                      </a:solidFill>
                                      <a:latin typeface="Cambria Math" panose="02040503050406030204" pitchFamily="18" charset="0"/>
                                    </a:rPr>
                                    <m:t>2</m:t>
                                  </m:r>
                                </m:den>
                              </m:f>
                            </m:sup>
                          </m:sSup>
                        </m:num>
                        <m:den>
                          <m:rad>
                            <m:radPr>
                              <m:degHide m:val="on"/>
                              <m:ctrlPr>
                                <a:rPr lang="it-IT" sz="1400" b="0" i="1">
                                  <a:solidFill>
                                    <a:srgbClr val="FF0000"/>
                                  </a:solidFill>
                                  <a:latin typeface="Cambria Math" panose="02040503050406030204" pitchFamily="18" charset="0"/>
                                </a:rPr>
                              </m:ctrlPr>
                            </m:radPr>
                            <m:deg/>
                            <m:e>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rPr>
                                    <m:t>𝑥</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𝑦</m:t>
                                  </m:r>
                                </m:sub>
                              </m:sSub>
                              <m:sSub>
                                <m:sSubPr>
                                  <m:ctrlPr>
                                    <a:rPr lang="it-IT" sz="1400" b="0" i="1">
                                      <a:solidFill>
                                        <a:srgbClr val="FF0000"/>
                                      </a:solidFill>
                                      <a:latin typeface="Cambria Math" panose="02040503050406030204" pitchFamily="18" charset="0"/>
                                    </a:rPr>
                                  </m:ctrlPr>
                                </m:sSubPr>
                                <m:e>
                                  <m:r>
                                    <a:rPr lang="it-IT" sz="1400" b="0" i="1">
                                      <a:solidFill>
                                        <a:srgbClr val="FF0000"/>
                                      </a:solidFill>
                                      <a:latin typeface="Cambria Math" panose="02040503050406030204" pitchFamily="18" charset="0"/>
                                      <a:ea typeface="Cambria Math" panose="02040503050406030204" pitchFamily="18" charset="0"/>
                                    </a:rPr>
                                    <m:t>𝜗</m:t>
                                  </m:r>
                                </m:e>
                                <m:sub>
                                  <m:r>
                                    <a:rPr lang="it-IT" sz="1400" b="0" i="1">
                                      <a:solidFill>
                                        <a:srgbClr val="FF0000"/>
                                      </a:solidFill>
                                      <a:latin typeface="Cambria Math" panose="02040503050406030204" pitchFamily="18" charset="0"/>
                                      <a:ea typeface="Cambria Math" panose="02040503050406030204" pitchFamily="18" charset="0"/>
                                    </a:rPr>
                                    <m:t>𝑧</m:t>
                                  </m:r>
                                </m:sub>
                              </m:sSub>
                            </m:e>
                          </m:rad>
                        </m:den>
                      </m:f>
                    </m:e>
                  </m:d>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𝑖𝑠</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𝑡h𝑒</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𝑝𝑎𝑟𝑡𝑖𝑡𝑖𝑜𝑛</m:t>
                  </m:r>
                  <m:r>
                    <a:rPr lang="it-IT" sz="1400" b="0" i="1">
                      <a:solidFill>
                        <a:srgbClr val="FF0000"/>
                      </a:solidFill>
                      <a:latin typeface="Cambria Math" panose="02040503050406030204" pitchFamily="18" charset="0"/>
                    </a:rPr>
                    <m:t> </m:t>
                  </m:r>
                  <m:r>
                    <a:rPr lang="it-IT" sz="1400" b="0" i="1">
                      <a:solidFill>
                        <a:srgbClr val="FF0000"/>
                      </a:solidFill>
                      <a:latin typeface="Cambria Math" panose="02040503050406030204" pitchFamily="18" charset="0"/>
                    </a:rPr>
                    <m:t>𝑓𝑢𝑛𝑐𝑡𝑖𝑜𝑛</m:t>
                  </m:r>
                </m:oMath>
              </a14:m>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Choice>
      <mc:Fallback xmlns="">
        <xdr:sp macro="" textlink="">
          <xdr:nvSpPr>
            <xdr:cNvPr id="61" name="TextBox 60">
              <a:extLst>
                <a:ext uri="{FF2B5EF4-FFF2-40B4-BE49-F238E27FC236}">
                  <a16:creationId xmlns:a16="http://schemas.microsoft.com/office/drawing/2014/main" id="{E37BFF3B-5A7B-6C4D-9DBE-AD1525E25D23}"/>
                </a:ext>
              </a:extLst>
            </xdr:cNvPr>
            <xdr:cNvSpPr txBox="1"/>
          </xdr:nvSpPr>
          <xdr:spPr>
            <a:xfrm>
              <a:off x="13241150" y="61520522"/>
              <a:ext cx="5057090" cy="11663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t-IT" sz="1400" b="0" i="0">
                  <a:solidFill>
                    <a:srgbClr val="FF0000"/>
                  </a:solidFill>
                  <a:latin typeface="Cambria Math" panose="02040503050406030204" pitchFamily="18" charset="0"/>
                </a:rPr>
                <a:t>𝑏𝑢𝑡 𝐺𝑎𝑢𝑠𝑠𝑖𝑎𝑛 𝑢𝑠𝑒𝑠 (𝑓𝑜𝑟 𝑝𝑜𝑙𝑦𝑎𝑡𝑜𝑚𝑖𝑐 𝑚𝑜𝑙𝑒𝑐𝑢𝑙𝑒𝑠):</a:t>
              </a:r>
              <a:endParaRPr lang="it-IT" sz="1400" b="0">
                <a:solidFill>
                  <a:srgbClr val="FF0000"/>
                </a:solidFill>
              </a:endParaRPr>
            </a:p>
            <a:p>
              <a:endParaRPr lang="en-US" sz="1400">
                <a:solidFill>
                  <a:srgbClr val="FF0000"/>
                </a:solidFill>
              </a:endParaRPr>
            </a:p>
            <a:p>
              <a:r>
                <a:rPr lang="it-IT" sz="1400" b="0" i="0">
                  <a:solidFill>
                    <a:srgbClr val="FF0000"/>
                  </a:solidFill>
                  <a:latin typeface="Cambria Math" panose="02040503050406030204" pitchFamily="18" charset="0"/>
                </a:rPr>
                <a:t>𝑅⁡(ln(𝑞_𝑟 )+3/2)</a:t>
              </a:r>
              <a:r>
                <a:rPr lang="en-US" sz="1400">
                  <a:solidFill>
                    <a:srgbClr val="FF0000"/>
                  </a:solidFill>
                </a:rPr>
                <a:t> where </a:t>
              </a:r>
              <a:r>
                <a:rPr lang="it-IT" sz="1400" b="0" i="0">
                  <a:solidFill>
                    <a:srgbClr val="FF0000"/>
                  </a:solidFill>
                  <a:latin typeface="Cambria Math" panose="02040503050406030204" pitchFamily="18" charset="0"/>
                </a:rPr>
                <a:t>𝑞</a:t>
              </a:r>
              <a:r>
                <a:rPr lang="en-US" sz="1400" b="0" i="0">
                  <a:solidFill>
                    <a:srgbClr val="FF0000"/>
                  </a:solidFill>
                  <a:latin typeface="Cambria Math" panose="02040503050406030204" pitchFamily="18" charset="0"/>
                </a:rPr>
                <a:t>_</a:t>
              </a:r>
              <a:r>
                <a:rPr lang="it-IT" sz="1400" b="0" i="0">
                  <a:solidFill>
                    <a:srgbClr val="FF0000"/>
                  </a:solidFill>
                  <a:latin typeface="Cambria Math" panose="02040503050406030204" pitchFamily="18" charset="0"/>
                </a:rPr>
                <a:t>𝑟=√</a:t>
              </a:r>
              <a:r>
                <a:rPr lang="it-IT" sz="1400" b="0" i="0">
                  <a:solidFill>
                    <a:srgbClr val="FF0000"/>
                  </a:solidFill>
                  <a:latin typeface="Cambria Math" panose="02040503050406030204" pitchFamily="18" charset="0"/>
                  <a:ea typeface="Cambria Math" panose="02040503050406030204" pitchFamily="18" charset="0"/>
                </a:rPr>
                <a:t>𝜋/𝜎 </a:t>
              </a:r>
              <a:r>
                <a:rPr lang="it-IT" sz="1400" b="0" i="0">
                  <a:solidFill>
                    <a:srgbClr val="FF0000"/>
                  </a:solidFill>
                  <a:latin typeface="Cambria Math" panose="02040503050406030204" pitchFamily="18" charset="0"/>
                </a:rPr>
                <a:t>(𝑇^(3/2)/√(</a:t>
              </a:r>
              <a:r>
                <a:rPr lang="it-IT" sz="1400" b="0" i="0">
                  <a:solidFill>
                    <a:srgbClr val="FF0000"/>
                  </a:solidFill>
                  <a:latin typeface="Cambria Math" panose="02040503050406030204" pitchFamily="18" charset="0"/>
                  <a:ea typeface="Cambria Math" panose="02040503050406030204" pitchFamily="18" charset="0"/>
                </a:rPr>
                <a:t>𝜗_</a:t>
              </a:r>
              <a:r>
                <a:rPr lang="it-IT" sz="1400" b="0" i="0">
                  <a:solidFill>
                    <a:srgbClr val="FF0000"/>
                  </a:solidFill>
                  <a:latin typeface="Cambria Math" panose="02040503050406030204" pitchFamily="18" charset="0"/>
                </a:rPr>
                <a:t>𝑥 </a:t>
              </a:r>
              <a:r>
                <a:rPr lang="it-IT" sz="1400" b="0" i="0">
                  <a:solidFill>
                    <a:srgbClr val="FF0000"/>
                  </a:solidFill>
                  <a:latin typeface="Cambria Math" panose="02040503050406030204" pitchFamily="18" charset="0"/>
                  <a:ea typeface="Cambria Math" panose="02040503050406030204" pitchFamily="18" charset="0"/>
                </a:rPr>
                <a:t>𝜗_𝑦 𝜗_𝑧 )) </a:t>
              </a:r>
              <a:r>
                <a:rPr lang="it-IT" sz="1400" b="0" i="0">
                  <a:solidFill>
                    <a:srgbClr val="FF0000"/>
                  </a:solidFill>
                  <a:latin typeface="Cambria Math" panose="02040503050406030204" pitchFamily="18" charset="0"/>
                </a:rPr>
                <a:t> 𝑖𝑠 𝑡ℎ𝑒 𝑝𝑎𝑟𝑡𝑖𝑡𝑖𝑜𝑛 𝑓𝑢𝑛𝑐𝑡𝑖𝑜𝑛</a:t>
              </a:r>
              <a:r>
                <a:rPr lang="en-US" sz="1400">
                  <a:solidFill>
                    <a:srgbClr val="FF0000"/>
                  </a:solidFill>
                </a:rPr>
                <a:t> </a:t>
              </a:r>
            </a:p>
            <a:p>
              <a:r>
                <a:rPr lang="en-US" sz="1400">
                  <a:solidFill>
                    <a:srgbClr val="FF0000"/>
                  </a:solidFill>
                </a:rPr>
                <a:t>(this is the one</a:t>
              </a:r>
              <a:r>
                <a:rPr lang="en-US" sz="1400" baseline="0">
                  <a:solidFill>
                    <a:srgbClr val="FF0000"/>
                  </a:solidFill>
                </a:rPr>
                <a:t> we will use</a:t>
              </a:r>
              <a:r>
                <a:rPr lang="en-US" sz="1400">
                  <a:solidFill>
                    <a:srgbClr val="FF0000"/>
                  </a:solidFill>
                </a:rPr>
                <a:t>)</a:t>
              </a:r>
            </a:p>
          </xdr:txBody>
        </xdr:sp>
      </mc:Fallback>
    </mc:AlternateContent>
    <xdr:clientData/>
  </xdr:oneCellAnchor>
  <xdr:twoCellAnchor>
    <xdr:from>
      <xdr:col>4</xdr:col>
      <xdr:colOff>628586</xdr:colOff>
      <xdr:row>173</xdr:row>
      <xdr:rowOff>89798</xdr:rowOff>
    </xdr:from>
    <xdr:to>
      <xdr:col>7</xdr:col>
      <xdr:colOff>141111</xdr:colOff>
      <xdr:row>179</xdr:row>
      <xdr:rowOff>179595</xdr:rowOff>
    </xdr:to>
    <mc:AlternateContent xmlns:mc="http://schemas.openxmlformats.org/markup-compatibility/2006" xmlns:a14="http://schemas.microsoft.com/office/drawing/2010/main">
      <mc:Choice Requires="a14">
        <xdr:sp macro="" textlink="">
          <xdr:nvSpPr>
            <xdr:cNvPr id="62" name="TextBox 61">
              <a:extLst>
                <a:ext uri="{FF2B5EF4-FFF2-40B4-BE49-F238E27FC236}">
                  <a16:creationId xmlns:a16="http://schemas.microsoft.com/office/drawing/2014/main" id="{B58DF851-DA13-4B45-B0ED-8416A81C3291}"/>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i="1" baseline="0">
                        <a:solidFill>
                          <a:srgbClr val="FF0000"/>
                        </a:solidFill>
                        <a:latin typeface="Cambria Math" panose="02040503050406030204" pitchFamily="18" charset="0"/>
                      </a:rPr>
                      <m:t>2</m:t>
                    </m:r>
                    <m:r>
                      <m:rPr>
                        <m:sty m:val="p"/>
                      </m:rPr>
                      <a:rPr lang="en-US" sz="1600" i="1" baseline="0">
                        <a:solidFill>
                          <a:srgbClr val="FF0000"/>
                        </a:solidFill>
                        <a:latin typeface="Cambria Math" panose="02040503050406030204" pitchFamily="18" charset="0"/>
                      </a:rPr>
                      <m:t>S</m:t>
                    </m:r>
                    <m:r>
                      <a:rPr lang="en-US" sz="1600" i="1" baseline="0">
                        <a:solidFill>
                          <a:srgbClr val="FF0000"/>
                        </a:solidFill>
                        <a:latin typeface="Cambria Math" panose="02040503050406030204" pitchFamily="18" charset="0"/>
                      </a:rPr>
                      <m:t> + 1 = 1 +1 =2</m:t>
                    </m:r>
                  </m:oMath>
                </m:oMathPara>
              </a14:m>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Choice>
      <mc:Fallback xmlns="">
        <xdr:sp macro="" textlink="">
          <xdr:nvSpPr>
            <xdr:cNvPr id="62" name="TextBox 61">
              <a:extLst>
                <a:ext uri="{FF2B5EF4-FFF2-40B4-BE49-F238E27FC236}">
                  <a16:creationId xmlns:a16="http://schemas.microsoft.com/office/drawing/2014/main" id="{B58DF851-DA13-4B45-B0ED-8416A81C3291}"/>
                </a:ext>
              </a:extLst>
            </xdr:cNvPr>
            <xdr:cNvSpPr txBox="1"/>
          </xdr:nvSpPr>
          <xdr:spPr>
            <a:xfrm>
              <a:off x="6178486" y="44374698"/>
              <a:ext cx="3259025" cy="1639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FF0000"/>
                  </a:solidFill>
                </a:rPr>
                <a:t>CH3 is a radical.</a:t>
              </a:r>
              <a:r>
                <a:rPr lang="en-US" sz="1600" baseline="0">
                  <a:solidFill>
                    <a:srgbClr val="FF0000"/>
                  </a:solidFill>
                </a:rPr>
                <a:t> As such, it as an unpaired electron. The spin multiplicity then becomes:</a:t>
              </a:r>
            </a:p>
            <a:p>
              <a:pPr marL="0" marR="0" lvl="0" indent="0" defTabSz="914400" eaLnBrk="1" fontAlgn="auto" latinLnBrk="0" hangingPunct="1">
                <a:lnSpc>
                  <a:spcPct val="100000"/>
                </a:lnSpc>
                <a:spcBef>
                  <a:spcPts val="0"/>
                </a:spcBef>
                <a:spcAft>
                  <a:spcPts val="0"/>
                </a:spcAft>
                <a:buClrTx/>
                <a:buSzTx/>
                <a:buFontTx/>
                <a:buNone/>
                <a:tabLst/>
                <a:defRPr/>
              </a:pPr>
              <a:r>
                <a:rPr lang="en-US" sz="1600" i="0" baseline="0">
                  <a:solidFill>
                    <a:srgbClr val="FF0000"/>
                  </a:solidFill>
                  <a:latin typeface="Cambria Math" panose="02040503050406030204" pitchFamily="18" charset="0"/>
                </a:rPr>
                <a:t>2S + 1 = 1 +1 =2</a:t>
              </a:r>
              <a:endParaRPr lang="en-US" sz="1600"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rPr>
                <a:t>with S the total number of unpaired electrons</a:t>
              </a:r>
            </a:p>
            <a:p>
              <a:endParaRPr lang="en-US" sz="1600">
                <a:solidFill>
                  <a:srgbClr val="FF0000"/>
                </a:solidFill>
              </a:endParaRPr>
            </a:p>
          </xdr:txBody>
        </xdr:sp>
      </mc:Fallback>
    </mc:AlternateContent>
    <xdr:clientData/>
  </xdr:twoCellAnchor>
  <xdr:twoCellAnchor>
    <xdr:from>
      <xdr:col>26</xdr:col>
      <xdr:colOff>358678</xdr:colOff>
      <xdr:row>55</xdr:row>
      <xdr:rowOff>279400</xdr:rowOff>
    </xdr:from>
    <xdr:to>
      <xdr:col>27</xdr:col>
      <xdr:colOff>581891</xdr:colOff>
      <xdr:row>197</xdr:row>
      <xdr:rowOff>1539</xdr:rowOff>
    </xdr:to>
    <xdr:sp macro="" textlink="">
      <xdr:nvSpPr>
        <xdr:cNvPr id="63" name="Right Brace 62">
          <a:extLst>
            <a:ext uri="{FF2B5EF4-FFF2-40B4-BE49-F238E27FC236}">
              <a16:creationId xmlns:a16="http://schemas.microsoft.com/office/drawing/2014/main" id="{5726F9C1-C715-4549-AE1F-974681D2398B}"/>
            </a:ext>
          </a:extLst>
        </xdr:cNvPr>
        <xdr:cNvSpPr/>
      </xdr:nvSpPr>
      <xdr:spPr>
        <a:xfrm>
          <a:off x="32057878" y="15417800"/>
          <a:ext cx="1061413" cy="35815539"/>
        </a:xfrm>
        <a:prstGeom prst="rightBrace">
          <a:avLst/>
        </a:prstGeom>
        <a:ln w="57150"/>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31</xdr:col>
      <xdr:colOff>359975</xdr:colOff>
      <xdr:row>92</xdr:row>
      <xdr:rowOff>168476</xdr:rowOff>
    </xdr:from>
    <xdr:to>
      <xdr:col>33</xdr:col>
      <xdr:colOff>520551</xdr:colOff>
      <xdr:row>92</xdr:row>
      <xdr:rowOff>183073</xdr:rowOff>
    </xdr:to>
    <xdr:cxnSp macro="">
      <xdr:nvCxnSpPr>
        <xdr:cNvPr id="64" name="Straight Arrow Connector 63">
          <a:extLst>
            <a:ext uri="{FF2B5EF4-FFF2-40B4-BE49-F238E27FC236}">
              <a16:creationId xmlns:a16="http://schemas.microsoft.com/office/drawing/2014/main" id="{C0FA4B37-5F8A-4743-87FE-DBBA54CA1C3A}"/>
            </a:ext>
          </a:extLst>
        </xdr:cNvPr>
        <xdr:cNvCxnSpPr/>
      </xdr:nvCxnSpPr>
      <xdr:spPr>
        <a:xfrm>
          <a:off x="28579375" y="24069876"/>
          <a:ext cx="2281476" cy="1459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33</xdr:col>
      <xdr:colOff>708890</xdr:colOff>
      <xdr:row>91</xdr:row>
      <xdr:rowOff>229753</xdr:rowOff>
    </xdr:from>
    <xdr:ext cx="3999878" cy="315856"/>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8D4556FA-FDC6-824A-998A-8CFD0D6DE260}"/>
                </a:ext>
              </a:extLst>
            </xdr:cNvPr>
            <xdr:cNvSpPr txBox="1"/>
          </xdr:nvSpPr>
          <xdr:spPr>
            <a:xfrm>
              <a:off x="310491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𝑇𝑂𝑇</m:t>
                      </m:r>
                    </m:sub>
                  </m:sSub>
                  <m:r>
                    <a:rPr lang="it-IT" sz="2000" b="0" i="1">
                      <a:latin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𝑇𝑅𝐴𝑁𝑆𝐿</m:t>
                      </m:r>
                    </m:sub>
                  </m:sSub>
                  <m:r>
                    <a:rPr lang="it-IT" sz="2000" b="0" i="1">
                      <a:latin typeface="Cambria Math" panose="02040503050406030204" pitchFamily="18" charset="0"/>
                      <a:ea typeface="Cambria Math" panose="02040503050406030204" pitchFamily="18" charset="0"/>
                    </a:rPr>
                    <m:t>× </m:t>
                  </m:r>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𝑉𝐼𝐵</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𝑅𝑂𝑇</m:t>
                      </m:r>
                    </m:sub>
                  </m:sSub>
                  <m:r>
                    <a:rPr lang="it-IT" sz="2000" b="0" i="1">
                      <a:latin typeface="Cambria Math" panose="02040503050406030204" pitchFamily="18" charset="0"/>
                      <a:ea typeface="Cambria Math" panose="02040503050406030204" pitchFamily="18" charset="0"/>
                    </a:rPr>
                    <m:t>×</m:t>
                  </m:r>
                </m:oMath>
              </a14:m>
              <a:r>
                <a:rPr lang="en-US" sz="2000"/>
                <a:t> </a:t>
              </a:r>
              <a14:m>
                <m:oMath xmlns:m="http://schemas.openxmlformats.org/officeDocument/2006/math">
                  <m:sSub>
                    <m:sSubPr>
                      <m:ctrlPr>
                        <a:rPr lang="it-IT" sz="2000" b="0" i="1">
                          <a:latin typeface="Cambria Math" panose="02040503050406030204" pitchFamily="18" charset="0"/>
                        </a:rPr>
                      </m:ctrlPr>
                    </m:sSubPr>
                    <m:e>
                      <m:r>
                        <a:rPr lang="it-IT" sz="2000" b="0" i="1">
                          <a:latin typeface="Cambria Math" panose="02040503050406030204" pitchFamily="18" charset="0"/>
                        </a:rPr>
                        <m:t>𝑄</m:t>
                      </m:r>
                    </m:e>
                    <m:sub>
                      <m:r>
                        <a:rPr lang="it-IT" sz="2000" b="0" i="1">
                          <a:latin typeface="Cambria Math" panose="02040503050406030204" pitchFamily="18" charset="0"/>
                        </a:rPr>
                        <m:t>𝐸𝐿</m:t>
                      </m:r>
                    </m:sub>
                  </m:sSub>
                </m:oMath>
              </a14:m>
              <a:endParaRPr lang="en-US" sz="2000"/>
            </a:p>
          </xdr:txBody>
        </xdr:sp>
      </mc:Choice>
      <mc:Fallback xmlns="">
        <xdr:sp macro="" textlink="">
          <xdr:nvSpPr>
            <xdr:cNvPr id="65" name="TextBox 64">
              <a:extLst>
                <a:ext uri="{FF2B5EF4-FFF2-40B4-BE49-F238E27FC236}">
                  <a16:creationId xmlns:a16="http://schemas.microsoft.com/office/drawing/2014/main" id="{8D4556FA-FDC6-824A-998A-8CFD0D6DE260}"/>
                </a:ext>
              </a:extLst>
            </xdr:cNvPr>
            <xdr:cNvSpPr txBox="1"/>
          </xdr:nvSpPr>
          <xdr:spPr>
            <a:xfrm>
              <a:off x="31049190" y="23851753"/>
              <a:ext cx="3999878" cy="3158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2000" b="0" i="0">
                  <a:latin typeface="Cambria Math" panose="02040503050406030204" pitchFamily="18" charset="0"/>
                </a:rPr>
                <a:t>𝑄_𝑇𝑂𝑇= 𝑄_𝑇𝑅𝐴𝑁𝑆𝐿</a:t>
              </a:r>
              <a:r>
                <a:rPr lang="it-IT" sz="2000" b="0" i="0">
                  <a:latin typeface="Cambria Math" panose="02040503050406030204" pitchFamily="18" charset="0"/>
                  <a:ea typeface="Cambria Math" panose="02040503050406030204" pitchFamily="18" charset="0"/>
                </a:rPr>
                <a:t>× </a:t>
              </a:r>
              <a:r>
                <a:rPr lang="it-IT" sz="2000" b="0" i="0">
                  <a:latin typeface="Cambria Math" panose="02040503050406030204" pitchFamily="18" charset="0"/>
                </a:rPr>
                <a:t>𝑄_𝑉𝐼𝐵</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𝑄_𝑅𝑂𝑇</a:t>
              </a:r>
              <a:r>
                <a:rPr lang="it-IT" sz="2000" b="0" i="0">
                  <a:latin typeface="Cambria Math" panose="02040503050406030204" pitchFamily="18" charset="0"/>
                  <a:ea typeface="Cambria Math" panose="02040503050406030204" pitchFamily="18" charset="0"/>
                </a:rPr>
                <a:t>×</a:t>
              </a:r>
              <a:r>
                <a:rPr lang="en-US" sz="2000"/>
                <a:t> </a:t>
              </a:r>
              <a:r>
                <a:rPr lang="it-IT" sz="2000" b="0" i="0">
                  <a:latin typeface="Cambria Math" panose="02040503050406030204" pitchFamily="18" charset="0"/>
                </a:rPr>
                <a:t>𝑄_𝐸𝐿</a:t>
              </a:r>
              <a:endParaRPr lang="en-US" sz="2000"/>
            </a:p>
          </xdr:txBody>
        </xdr:sp>
      </mc:Fallback>
    </mc:AlternateContent>
    <xdr:clientData/>
  </xdr:oneCellAnchor>
  <xdr:twoCellAnchor>
    <xdr:from>
      <xdr:col>28</xdr:col>
      <xdr:colOff>856511</xdr:colOff>
      <xdr:row>96</xdr:row>
      <xdr:rowOff>14766</xdr:rowOff>
    </xdr:from>
    <xdr:to>
      <xdr:col>33</xdr:col>
      <xdr:colOff>782674</xdr:colOff>
      <xdr:row>99</xdr:row>
      <xdr:rowOff>132906</xdr:rowOff>
    </xdr:to>
    <xdr:sp macro="" textlink="">
      <xdr:nvSpPr>
        <xdr:cNvPr id="66" name="TextBox 65">
          <a:extLst>
            <a:ext uri="{FF2B5EF4-FFF2-40B4-BE49-F238E27FC236}">
              <a16:creationId xmlns:a16="http://schemas.microsoft.com/office/drawing/2014/main" id="{D9EDA73B-E656-E54D-9F9B-7BAB39FDED07}"/>
            </a:ext>
          </a:extLst>
        </xdr:cNvPr>
        <xdr:cNvSpPr txBox="1"/>
      </xdr:nvSpPr>
      <xdr:spPr>
        <a:xfrm>
          <a:off x="25545311" y="25008366"/>
          <a:ext cx="5577663" cy="867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solidFill>
                <a:srgbClr val="FF0000"/>
              </a:solidFill>
            </a:rPr>
            <a:t>NOTE:To compute Q</a:t>
          </a:r>
          <a:r>
            <a:rPr lang="en-US" sz="1600" b="1" baseline="-25000">
              <a:solidFill>
                <a:srgbClr val="FF0000"/>
              </a:solidFill>
            </a:rPr>
            <a:t>tot</a:t>
          </a:r>
          <a:r>
            <a:rPr lang="en-US" sz="1600" b="1" baseline="0">
              <a:solidFill>
                <a:srgbClr val="FF0000"/>
              </a:solidFill>
            </a:rPr>
            <a:t>, the formula used to get Q</a:t>
          </a:r>
          <a:r>
            <a:rPr lang="en-US" sz="1600" b="1" baseline="-25000">
              <a:solidFill>
                <a:srgbClr val="FF0000"/>
              </a:solidFill>
            </a:rPr>
            <a:t>rot</a:t>
          </a:r>
          <a:r>
            <a:rPr lang="en-US" sz="1600" b="1" baseline="0">
              <a:solidFill>
                <a:srgbClr val="FF0000"/>
              </a:solidFill>
            </a:rPr>
            <a:t> is the one taken form the gaussian manual</a:t>
          </a:r>
          <a:endParaRPr lang="en-US" sz="1600" b="1">
            <a:solidFill>
              <a:srgbClr val="FF0000"/>
            </a:solidFill>
          </a:endParaRPr>
        </a:p>
      </xdr:txBody>
    </xdr:sp>
    <xdr:clientData/>
  </xdr:twoCellAnchor>
  <xdr:twoCellAnchor>
    <xdr:from>
      <xdr:col>35</xdr:col>
      <xdr:colOff>831850</xdr:colOff>
      <xdr:row>110</xdr:row>
      <xdr:rowOff>133349</xdr:rowOff>
    </xdr:from>
    <xdr:to>
      <xdr:col>41</xdr:col>
      <xdr:colOff>756596</xdr:colOff>
      <xdr:row>125</xdr:row>
      <xdr:rowOff>189148</xdr:rowOff>
    </xdr:to>
    <xdr:graphicFrame macro="">
      <xdr:nvGraphicFramePr>
        <xdr:cNvPr id="67" name="Chart 66">
          <a:extLst>
            <a:ext uri="{FF2B5EF4-FFF2-40B4-BE49-F238E27FC236}">
              <a16:creationId xmlns:a16="http://schemas.microsoft.com/office/drawing/2014/main" id="{A184D51F-61E0-D34E-A522-F002C087E1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18</xdr:col>
      <xdr:colOff>372629</xdr:colOff>
      <xdr:row>92</xdr:row>
      <xdr:rowOff>235526</xdr:rowOff>
    </xdr:from>
    <xdr:ext cx="1488997" cy="778931"/>
    <mc:AlternateContent xmlns:mc="http://schemas.openxmlformats.org/markup-compatibility/2006" xmlns:a14="http://schemas.microsoft.com/office/drawing/2010/main">
      <mc:Choice Requires="a14">
        <xdr:sp macro="" textlink="">
          <xdr:nvSpPr>
            <xdr:cNvPr id="70" name="TextBox 69">
              <a:extLst>
                <a:ext uri="{FF2B5EF4-FFF2-40B4-BE49-F238E27FC236}">
                  <a16:creationId xmlns:a16="http://schemas.microsoft.com/office/drawing/2014/main" id="{4E834C6F-8C0C-FF48-AF0B-1BCC861D25D3}"/>
                </a:ext>
              </a:extLst>
            </xdr:cNvPr>
            <xdr:cNvSpPr txBox="1"/>
          </xdr:nvSpPr>
          <xdr:spPr>
            <a:xfrm>
              <a:off x="20108429" y="241369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it-IT" sz="1800" b="0" i="1">
                        <a:latin typeface="Cambria Math" panose="02040503050406030204" pitchFamily="18" charset="0"/>
                      </a:rPr>
                      <m:t>𝑍𝑃𝐸</m:t>
                    </m:r>
                    <m:r>
                      <a:rPr lang="it-IT" sz="1800" b="0" i="1">
                        <a:latin typeface="Cambria Math" panose="02040503050406030204" pitchFamily="18" charset="0"/>
                      </a:rPr>
                      <m:t>=</m:t>
                    </m:r>
                    <m:nary>
                      <m:naryPr>
                        <m:chr m:val="∑"/>
                        <m:ctrlPr>
                          <a:rPr lang="it-IT" sz="1800" b="0" i="1">
                            <a:latin typeface="Cambria Math" panose="02040503050406030204" pitchFamily="18" charset="0"/>
                          </a:rPr>
                        </m:ctrlPr>
                      </m:naryPr>
                      <m:sub>
                        <m:r>
                          <m:rPr>
                            <m:brk m:alnAt="23"/>
                          </m:rPr>
                          <a:rPr lang="it-IT" sz="1800" b="0" i="1">
                            <a:latin typeface="Cambria Math" panose="02040503050406030204" pitchFamily="18" charset="0"/>
                          </a:rPr>
                          <m:t>𝑖</m:t>
                        </m:r>
                        <m:r>
                          <a:rPr lang="it-IT" sz="1800" b="0" i="1">
                            <a:latin typeface="Cambria Math" panose="02040503050406030204" pitchFamily="18" charset="0"/>
                          </a:rPr>
                          <m:t>=1</m:t>
                        </m:r>
                      </m:sub>
                      <m:sup>
                        <m:sSub>
                          <m:sSubPr>
                            <m:ctrlPr>
                              <a:rPr lang="it-IT" sz="1800" b="0" i="1">
                                <a:latin typeface="Cambria Math" panose="02040503050406030204" pitchFamily="18" charset="0"/>
                              </a:rPr>
                            </m:ctrlPr>
                          </m:sSubPr>
                          <m:e>
                            <m:r>
                              <a:rPr lang="it-IT" sz="1800" b="0" i="1">
                                <a:latin typeface="Cambria Math" panose="02040503050406030204" pitchFamily="18" charset="0"/>
                              </a:rPr>
                              <m:t>𝑁</m:t>
                            </m:r>
                          </m:e>
                          <m:sub>
                            <m:r>
                              <a:rPr lang="it-IT" sz="1800" b="0" i="1">
                                <a:latin typeface="Cambria Math" panose="02040503050406030204" pitchFamily="18" charset="0"/>
                              </a:rPr>
                              <m:t>𝑣𝑖𝑏</m:t>
                            </m:r>
                          </m:sub>
                        </m:sSub>
                      </m:sup>
                      <m:e>
                        <m:f>
                          <m:fPr>
                            <m:ctrlPr>
                              <a:rPr lang="it-IT" sz="1800" b="0" i="1">
                                <a:latin typeface="Cambria Math" panose="02040503050406030204" pitchFamily="18" charset="0"/>
                              </a:rPr>
                            </m:ctrlPr>
                          </m:fPr>
                          <m:num>
                            <m:r>
                              <a:rPr lang="it-IT" sz="1800" b="0" i="1">
                                <a:latin typeface="Cambria Math" panose="02040503050406030204" pitchFamily="18" charset="0"/>
                              </a:rPr>
                              <m:t>h</m:t>
                            </m:r>
                            <m:sSub>
                              <m:sSubPr>
                                <m:ctrlPr>
                                  <a:rPr lang="it-IT" sz="1800" b="0" i="1">
                                    <a:latin typeface="Cambria Math" panose="02040503050406030204" pitchFamily="18" charset="0"/>
                                  </a:rPr>
                                </m:ctrlPr>
                              </m:sSubPr>
                              <m:e>
                                <m:r>
                                  <a:rPr lang="it-IT" sz="1800" b="0" i="1">
                                    <a:latin typeface="Cambria Math" panose="02040503050406030204" pitchFamily="18" charset="0"/>
                                    <a:ea typeface="Cambria Math" panose="02040503050406030204" pitchFamily="18" charset="0"/>
                                  </a:rPr>
                                  <m:t>𝜐</m:t>
                                </m:r>
                              </m:e>
                              <m:sub>
                                <m:r>
                                  <a:rPr lang="it-IT" sz="1800" b="0" i="1">
                                    <a:latin typeface="Cambria Math" panose="02040503050406030204" pitchFamily="18" charset="0"/>
                                  </a:rPr>
                                  <m:t>𝑖</m:t>
                                </m:r>
                              </m:sub>
                            </m:sSub>
                          </m:num>
                          <m:den>
                            <m:r>
                              <a:rPr lang="it-IT" sz="1800" b="0" i="1">
                                <a:latin typeface="Cambria Math" panose="02040503050406030204" pitchFamily="18" charset="0"/>
                              </a:rPr>
                              <m:t>2</m:t>
                            </m:r>
                          </m:den>
                        </m:f>
                      </m:e>
                    </m:nary>
                  </m:oMath>
                </m:oMathPara>
              </a14:m>
              <a:endParaRPr lang="en-US" sz="1800"/>
            </a:p>
          </xdr:txBody>
        </xdr:sp>
      </mc:Choice>
      <mc:Fallback xmlns="">
        <xdr:sp macro="" textlink="">
          <xdr:nvSpPr>
            <xdr:cNvPr id="70" name="TextBox 69">
              <a:extLst>
                <a:ext uri="{FF2B5EF4-FFF2-40B4-BE49-F238E27FC236}">
                  <a16:creationId xmlns:a16="http://schemas.microsoft.com/office/drawing/2014/main" id="{4E834C6F-8C0C-FF48-AF0B-1BCC861D25D3}"/>
                </a:ext>
              </a:extLst>
            </xdr:cNvPr>
            <xdr:cNvSpPr txBox="1"/>
          </xdr:nvSpPr>
          <xdr:spPr>
            <a:xfrm>
              <a:off x="20108429" y="24136926"/>
              <a:ext cx="1488997" cy="778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𝑍𝑃𝐸=∑24_(𝑖=1)^(𝑁_𝑣𝑖𝑏)▒(ℎ</a:t>
              </a:r>
              <a:r>
                <a:rPr lang="it-IT" sz="1800" b="0" i="0">
                  <a:latin typeface="Cambria Math" panose="02040503050406030204" pitchFamily="18" charset="0"/>
                  <a:ea typeface="Cambria Math" panose="02040503050406030204" pitchFamily="18" charset="0"/>
                </a:rPr>
                <a:t>𝜐_</a:t>
              </a:r>
              <a:r>
                <a:rPr lang="it-IT" sz="1800" b="0" i="0">
                  <a:latin typeface="Cambria Math" panose="02040503050406030204" pitchFamily="18" charset="0"/>
                </a:rPr>
                <a:t>𝑖)/2</a:t>
              </a:r>
              <a:endParaRPr lang="en-US" sz="1800"/>
            </a:p>
          </xdr:txBody>
        </xdr:sp>
      </mc:Fallback>
    </mc:AlternateContent>
    <xdr:clientData/>
  </xdr:oneCellAnchor>
  <xdr:twoCellAnchor>
    <xdr:from>
      <xdr:col>19</xdr:col>
      <xdr:colOff>114157</xdr:colOff>
      <xdr:row>90</xdr:row>
      <xdr:rowOff>71349</xdr:rowOff>
    </xdr:from>
    <xdr:to>
      <xdr:col>19</xdr:col>
      <xdr:colOff>499438</xdr:colOff>
      <xdr:row>92</xdr:row>
      <xdr:rowOff>199775</xdr:rowOff>
    </xdr:to>
    <xdr:cxnSp macro="">
      <xdr:nvCxnSpPr>
        <xdr:cNvPr id="72" name="Straight Arrow Connector 71">
          <a:extLst>
            <a:ext uri="{FF2B5EF4-FFF2-40B4-BE49-F238E27FC236}">
              <a16:creationId xmlns:a16="http://schemas.microsoft.com/office/drawing/2014/main" id="{B187108A-B168-54E8-7741-7A01AFAC44D9}"/>
            </a:ext>
          </a:extLst>
        </xdr:cNvPr>
        <xdr:cNvCxnSpPr/>
      </xdr:nvCxnSpPr>
      <xdr:spPr>
        <a:xfrm flipH="1">
          <a:off x="24429663" y="23630562"/>
          <a:ext cx="385281" cy="613595"/>
        </a:xfrm>
        <a:prstGeom prst="straightConnector1">
          <a:avLst/>
        </a:prstGeom>
        <a:ln>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570786</xdr:colOff>
      <xdr:row>88</xdr:row>
      <xdr:rowOff>185507</xdr:rowOff>
    </xdr:from>
    <xdr:to>
      <xdr:col>21</xdr:col>
      <xdr:colOff>699214</xdr:colOff>
      <xdr:row>90</xdr:row>
      <xdr:rowOff>156967</xdr:rowOff>
    </xdr:to>
    <xdr:sp macro="" textlink="">
      <xdr:nvSpPr>
        <xdr:cNvPr id="73" name="TextBox 72">
          <a:extLst>
            <a:ext uri="{FF2B5EF4-FFF2-40B4-BE49-F238E27FC236}">
              <a16:creationId xmlns:a16="http://schemas.microsoft.com/office/drawing/2014/main" id="{4DA8CE1A-4387-6B10-CAA7-96A95A7A68CE}"/>
            </a:ext>
          </a:extLst>
        </xdr:cNvPr>
        <xdr:cNvSpPr txBox="1"/>
      </xdr:nvSpPr>
      <xdr:spPr>
        <a:xfrm>
          <a:off x="24886292" y="23345170"/>
          <a:ext cx="2682697" cy="371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just</a:t>
          </a:r>
          <a:r>
            <a:rPr lang="en-US" sz="1400" baseline="0"/>
            <a:t> the real valued frequencies</a:t>
          </a:r>
          <a:endParaRPr lang="en-US" sz="14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30</xdr:col>
      <xdr:colOff>546100</xdr:colOff>
      <xdr:row>3</xdr:row>
      <xdr:rowOff>139700</xdr:rowOff>
    </xdr:from>
    <xdr:to>
      <xdr:col>31</xdr:col>
      <xdr:colOff>749300</xdr:colOff>
      <xdr:row>3</xdr:row>
      <xdr:rowOff>139700</xdr:rowOff>
    </xdr:to>
    <xdr:cxnSp macro="">
      <xdr:nvCxnSpPr>
        <xdr:cNvPr id="3" name="Straight Arrow Connector 2">
          <a:extLst>
            <a:ext uri="{FF2B5EF4-FFF2-40B4-BE49-F238E27FC236}">
              <a16:creationId xmlns:a16="http://schemas.microsoft.com/office/drawing/2014/main" id="{37B2855C-1A07-7B2A-73E5-3D18E1C4B7BA}"/>
            </a:ext>
          </a:extLst>
        </xdr:cNvPr>
        <xdr:cNvCxnSpPr/>
      </xdr:nvCxnSpPr>
      <xdr:spPr>
        <a:xfrm>
          <a:off x="21244872" y="763560"/>
          <a:ext cx="1027586" cy="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32</xdr:col>
      <xdr:colOff>63500</xdr:colOff>
      <xdr:row>3</xdr:row>
      <xdr:rowOff>0</xdr:rowOff>
    </xdr:from>
    <xdr:to>
      <xdr:col>36</xdr:col>
      <xdr:colOff>774700</xdr:colOff>
      <xdr:row>4</xdr:row>
      <xdr:rowOff>50800</xdr:rowOff>
    </xdr:to>
    <xdr:sp macro="" textlink="">
      <xdr:nvSpPr>
        <xdr:cNvPr id="5" name="TextBox 4">
          <a:extLst>
            <a:ext uri="{FF2B5EF4-FFF2-40B4-BE49-F238E27FC236}">
              <a16:creationId xmlns:a16="http://schemas.microsoft.com/office/drawing/2014/main" id="{776A1A19-4C8E-618D-C93B-FFA6DADD6BBD}"/>
            </a:ext>
          </a:extLst>
        </xdr:cNvPr>
        <xdr:cNvSpPr txBox="1"/>
      </xdr:nvSpPr>
      <xdr:spPr>
        <a:xfrm>
          <a:off x="8432800" y="609600"/>
          <a:ext cx="401320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https://www.cup.uni-muenchen.de/ch/compchem/geom/scan.html</a:t>
          </a:r>
        </a:p>
      </xdr:txBody>
    </xdr:sp>
    <xdr:clientData/>
  </xdr:twoCellAnchor>
  <xdr:twoCellAnchor editAs="oneCell">
    <xdr:from>
      <xdr:col>21</xdr:col>
      <xdr:colOff>472173</xdr:colOff>
      <xdr:row>29</xdr:row>
      <xdr:rowOff>1160</xdr:rowOff>
    </xdr:from>
    <xdr:to>
      <xdr:col>29</xdr:col>
      <xdr:colOff>28605</xdr:colOff>
      <xdr:row>46</xdr:row>
      <xdr:rowOff>18618</xdr:rowOff>
    </xdr:to>
    <xdr:pic>
      <xdr:nvPicPr>
        <xdr:cNvPr id="9" name="Picture 8">
          <a:extLst>
            <a:ext uri="{FF2B5EF4-FFF2-40B4-BE49-F238E27FC236}">
              <a16:creationId xmlns:a16="http://schemas.microsoft.com/office/drawing/2014/main" id="{86073B84-10A6-7A5C-B3F3-4E901CFDD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678220" y="6321625"/>
          <a:ext cx="6172245" cy="3753621"/>
        </a:xfrm>
        <a:prstGeom prst="rect">
          <a:avLst/>
        </a:prstGeom>
      </xdr:spPr>
    </xdr:pic>
    <xdr:clientData/>
  </xdr:twoCellAnchor>
  <xdr:twoCellAnchor>
    <xdr:from>
      <xdr:col>25</xdr:col>
      <xdr:colOff>620136</xdr:colOff>
      <xdr:row>26</xdr:row>
      <xdr:rowOff>10949</xdr:rowOff>
    </xdr:from>
    <xdr:to>
      <xdr:col>26</xdr:col>
      <xdr:colOff>301079</xdr:colOff>
      <xdr:row>28</xdr:row>
      <xdr:rowOff>151000</xdr:rowOff>
    </xdr:to>
    <xdr:cxnSp macro="">
      <xdr:nvCxnSpPr>
        <xdr:cNvPr id="11" name="Curved Connector 10">
          <a:extLst>
            <a:ext uri="{FF2B5EF4-FFF2-40B4-BE49-F238E27FC236}">
              <a16:creationId xmlns:a16="http://schemas.microsoft.com/office/drawing/2014/main" id="{CFED80F7-2C43-F5ED-4E6C-23F1A0E75FEF}"/>
            </a:ext>
          </a:extLst>
        </xdr:cNvPr>
        <xdr:cNvCxnSpPr/>
      </xdr:nvCxnSpPr>
      <xdr:spPr>
        <a:xfrm rot="5400000">
          <a:off x="25070733" y="5635266"/>
          <a:ext cx="545137" cy="507537"/>
        </a:xfrm>
        <a:prstGeom prst="curved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29</xdr:col>
      <xdr:colOff>767907</xdr:colOff>
      <xdr:row>26</xdr:row>
      <xdr:rowOff>29534</xdr:rowOff>
    </xdr:from>
    <xdr:to>
      <xdr:col>32</xdr:col>
      <xdr:colOff>437800</xdr:colOff>
      <xdr:row>29</xdr:row>
      <xdr:rowOff>73837</xdr:rowOff>
    </xdr:to>
    <xdr:cxnSp macro="">
      <xdr:nvCxnSpPr>
        <xdr:cNvPr id="13" name="Curved Connector 12">
          <a:extLst>
            <a:ext uri="{FF2B5EF4-FFF2-40B4-BE49-F238E27FC236}">
              <a16:creationId xmlns:a16="http://schemas.microsoft.com/office/drawing/2014/main" id="{64157CB3-DCF0-DE46-82ED-A7D1A8FC1122}"/>
            </a:ext>
          </a:extLst>
        </xdr:cNvPr>
        <xdr:cNvCxnSpPr>
          <a:endCxn id="7" idx="0"/>
        </xdr:cNvCxnSpPr>
      </xdr:nvCxnSpPr>
      <xdr:spPr>
        <a:xfrm>
          <a:off x="28589767" y="5729767"/>
          <a:ext cx="2150824" cy="664535"/>
        </a:xfrm>
        <a:prstGeom prst="curved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28</xdr:col>
      <xdr:colOff>822880</xdr:colOff>
      <xdr:row>29</xdr:row>
      <xdr:rowOff>73837</xdr:rowOff>
    </xdr:from>
    <xdr:to>
      <xdr:col>36</xdr:col>
      <xdr:colOff>52720</xdr:colOff>
      <xdr:row>45</xdr:row>
      <xdr:rowOff>154346</xdr:rowOff>
    </xdr:to>
    <xdr:pic>
      <xdr:nvPicPr>
        <xdr:cNvPr id="7" name="Picture 6">
          <a:extLst>
            <a:ext uri="{FF2B5EF4-FFF2-40B4-BE49-F238E27FC236}">
              <a16:creationId xmlns:a16="http://schemas.microsoft.com/office/drawing/2014/main" id="{8B6AF141-6C97-A9C5-85E2-5230A815AE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817764" y="6394302"/>
          <a:ext cx="5845654" cy="3536091"/>
        </a:xfrm>
        <a:prstGeom prst="rect">
          <a:avLst/>
        </a:prstGeom>
      </xdr:spPr>
    </xdr:pic>
    <xdr:clientData/>
  </xdr:twoCellAnchor>
  <xdr:twoCellAnchor editAs="oneCell">
    <xdr:from>
      <xdr:col>31</xdr:col>
      <xdr:colOff>711854</xdr:colOff>
      <xdr:row>4</xdr:row>
      <xdr:rowOff>73836</xdr:rowOff>
    </xdr:from>
    <xdr:to>
      <xdr:col>41</xdr:col>
      <xdr:colOff>90314</xdr:colOff>
      <xdr:row>25</xdr:row>
      <xdr:rowOff>120513</xdr:rowOff>
    </xdr:to>
    <xdr:pic>
      <xdr:nvPicPr>
        <xdr:cNvPr id="21" name="Picture 20">
          <a:extLst>
            <a:ext uri="{FF2B5EF4-FFF2-40B4-BE49-F238E27FC236}">
              <a16:creationId xmlns:a16="http://schemas.microsoft.com/office/drawing/2014/main" id="{F4640737-7054-FE0D-F7C8-567FAC4E20A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8180629" y="947275"/>
          <a:ext cx="7610869" cy="4530576"/>
        </a:xfrm>
        <a:prstGeom prst="rect">
          <a:avLst/>
        </a:prstGeom>
      </xdr:spPr>
    </xdr:pic>
    <xdr:clientData/>
  </xdr:twoCellAnchor>
  <xdr:twoCellAnchor editAs="oneCell">
    <xdr:from>
      <xdr:col>22</xdr:col>
      <xdr:colOff>17337</xdr:colOff>
      <xdr:row>46</xdr:row>
      <xdr:rowOff>132907</xdr:rowOff>
    </xdr:from>
    <xdr:to>
      <xdr:col>27</xdr:col>
      <xdr:colOff>219796</xdr:colOff>
      <xdr:row>67</xdr:row>
      <xdr:rowOff>111572</xdr:rowOff>
    </xdr:to>
    <xdr:pic>
      <xdr:nvPicPr>
        <xdr:cNvPr id="24" name="Picture 23">
          <a:extLst>
            <a:ext uri="{FF2B5EF4-FFF2-40B4-BE49-F238E27FC236}">
              <a16:creationId xmlns:a16="http://schemas.microsoft.com/office/drawing/2014/main" id="{1790C173-9D08-7F3A-53EF-E207CC93CF1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32221" y="9716977"/>
          <a:ext cx="4337345" cy="4433656"/>
        </a:xfrm>
        <a:prstGeom prst="rect">
          <a:avLst/>
        </a:prstGeom>
      </xdr:spPr>
    </xdr:pic>
    <xdr:clientData/>
  </xdr:twoCellAnchor>
  <xdr:twoCellAnchor editAs="oneCell">
    <xdr:from>
      <xdr:col>27</xdr:col>
      <xdr:colOff>667289</xdr:colOff>
      <xdr:row>48</xdr:row>
      <xdr:rowOff>107626</xdr:rowOff>
    </xdr:from>
    <xdr:to>
      <xdr:col>36</xdr:col>
      <xdr:colOff>620795</xdr:colOff>
      <xdr:row>66</xdr:row>
      <xdr:rowOff>949</xdr:rowOff>
    </xdr:to>
    <xdr:pic>
      <xdr:nvPicPr>
        <xdr:cNvPr id="26" name="Picture 25">
          <a:extLst>
            <a:ext uri="{FF2B5EF4-FFF2-40B4-BE49-F238E27FC236}">
              <a16:creationId xmlns:a16="http://schemas.microsoft.com/office/drawing/2014/main" id="{A660AA09-257B-C2D6-4A74-15A3642A89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905425" y="9514236"/>
          <a:ext cx="7315200" cy="3492500"/>
        </a:xfrm>
        <a:prstGeom prst="rect">
          <a:avLst/>
        </a:prstGeom>
      </xdr:spPr>
    </xdr:pic>
    <xdr:clientData/>
  </xdr:twoCellAnchor>
  <xdr:twoCellAnchor editAs="oneCell">
    <xdr:from>
      <xdr:col>37</xdr:col>
      <xdr:colOff>63899</xdr:colOff>
      <xdr:row>49</xdr:row>
      <xdr:rowOff>85422</xdr:rowOff>
    </xdr:from>
    <xdr:to>
      <xdr:col>44</xdr:col>
      <xdr:colOff>27734</xdr:colOff>
      <xdr:row>64</xdr:row>
      <xdr:rowOff>152542</xdr:rowOff>
    </xdr:to>
    <xdr:pic>
      <xdr:nvPicPr>
        <xdr:cNvPr id="28" name="Picture 27">
          <a:extLst>
            <a:ext uri="{FF2B5EF4-FFF2-40B4-BE49-F238E27FC236}">
              <a16:creationId xmlns:a16="http://schemas.microsoft.com/office/drawing/2014/main" id="{5A1430E7-E7EA-6140-8366-B1A6DF9EA67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481696" y="9685761"/>
          <a:ext cx="5689600" cy="3073400"/>
        </a:xfrm>
        <a:prstGeom prst="rect">
          <a:avLst/>
        </a:prstGeom>
      </xdr:spPr>
    </xdr:pic>
    <xdr:clientData/>
  </xdr:twoCellAnchor>
  <xdr:twoCellAnchor editAs="oneCell">
    <xdr:from>
      <xdr:col>36</xdr:col>
      <xdr:colOff>76392</xdr:colOff>
      <xdr:row>27</xdr:row>
      <xdr:rowOff>66843</xdr:rowOff>
    </xdr:from>
    <xdr:to>
      <xdr:col>42</xdr:col>
      <xdr:colOff>754360</xdr:colOff>
      <xdr:row>47</xdr:row>
      <xdr:rowOff>134</xdr:rowOff>
    </xdr:to>
    <xdr:pic>
      <xdr:nvPicPr>
        <xdr:cNvPr id="30" name="Picture 29">
          <a:extLst>
            <a:ext uri="{FF2B5EF4-FFF2-40B4-BE49-F238E27FC236}">
              <a16:creationId xmlns:a16="http://schemas.microsoft.com/office/drawing/2014/main" id="{8EFD7523-B4DD-609B-AB60-FEA03E9F3E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749700" y="5576542"/>
          <a:ext cx="5605188" cy="4173428"/>
        </a:xfrm>
        <a:prstGeom prst="rect">
          <a:avLst/>
        </a:prstGeom>
      </xdr:spPr>
    </xdr:pic>
    <xdr:clientData/>
  </xdr:twoCellAnchor>
  <xdr:twoCellAnchor>
    <xdr:from>
      <xdr:col>39</xdr:col>
      <xdr:colOff>724911</xdr:colOff>
      <xdr:row>36</xdr:row>
      <xdr:rowOff>157345</xdr:rowOff>
    </xdr:from>
    <xdr:to>
      <xdr:col>40</xdr:col>
      <xdr:colOff>573186</xdr:colOff>
      <xdr:row>36</xdr:row>
      <xdr:rowOff>168584</xdr:rowOff>
    </xdr:to>
    <xdr:cxnSp macro="">
      <xdr:nvCxnSpPr>
        <xdr:cNvPr id="32" name="Straight Arrow Connector 31">
          <a:extLst>
            <a:ext uri="{FF2B5EF4-FFF2-40B4-BE49-F238E27FC236}">
              <a16:creationId xmlns:a16="http://schemas.microsoft.com/office/drawing/2014/main" id="{9BA366A1-26A3-203C-6DCD-892D82E7E562}"/>
            </a:ext>
          </a:extLst>
        </xdr:cNvPr>
        <xdr:cNvCxnSpPr/>
      </xdr:nvCxnSpPr>
      <xdr:spPr>
        <a:xfrm flipV="1">
          <a:off x="23967035" y="7513230"/>
          <a:ext cx="674337" cy="11239"/>
        </a:xfrm>
        <a:prstGeom prst="straightConnector1">
          <a:avLst/>
        </a:prstGeom>
        <a:ln>
          <a:solidFill>
            <a:srgbClr val="FF0000"/>
          </a:solidFill>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35</xdr:col>
      <xdr:colOff>811824</xdr:colOff>
      <xdr:row>27</xdr:row>
      <xdr:rowOff>41365</xdr:rowOff>
    </xdr:from>
    <xdr:to>
      <xdr:col>36</xdr:col>
      <xdr:colOff>660099</xdr:colOff>
      <xdr:row>27</xdr:row>
      <xdr:rowOff>52604</xdr:rowOff>
    </xdr:to>
    <xdr:cxnSp macro="">
      <xdr:nvCxnSpPr>
        <xdr:cNvPr id="33" name="Straight Arrow Connector 32">
          <a:extLst>
            <a:ext uri="{FF2B5EF4-FFF2-40B4-BE49-F238E27FC236}">
              <a16:creationId xmlns:a16="http://schemas.microsoft.com/office/drawing/2014/main" id="{F573067D-AD73-754D-B2DC-54FF05E874E1}"/>
            </a:ext>
          </a:extLst>
        </xdr:cNvPr>
        <xdr:cNvCxnSpPr/>
      </xdr:nvCxnSpPr>
      <xdr:spPr>
        <a:xfrm flipV="1">
          <a:off x="20749700" y="5576542"/>
          <a:ext cx="674337" cy="11239"/>
        </a:xfrm>
        <a:prstGeom prst="straightConnector1">
          <a:avLst/>
        </a:prstGeom>
        <a:ln>
          <a:solidFill>
            <a:srgbClr val="FF0000"/>
          </a:solidFill>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38</xdr:col>
      <xdr:colOff>365266</xdr:colOff>
      <xdr:row>36</xdr:row>
      <xdr:rowOff>157345</xdr:rowOff>
    </xdr:from>
    <xdr:to>
      <xdr:col>39</xdr:col>
      <xdr:colOff>516991</xdr:colOff>
      <xdr:row>36</xdr:row>
      <xdr:rowOff>168584</xdr:rowOff>
    </xdr:to>
    <xdr:cxnSp macro="">
      <xdr:nvCxnSpPr>
        <xdr:cNvPr id="34" name="Straight Arrow Connector 33">
          <a:extLst>
            <a:ext uri="{FF2B5EF4-FFF2-40B4-BE49-F238E27FC236}">
              <a16:creationId xmlns:a16="http://schemas.microsoft.com/office/drawing/2014/main" id="{8BDFE5C1-6F2C-104A-A2F2-D40F0FB159BD}"/>
            </a:ext>
          </a:extLst>
        </xdr:cNvPr>
        <xdr:cNvCxnSpPr/>
      </xdr:nvCxnSpPr>
      <xdr:spPr>
        <a:xfrm flipV="1">
          <a:off x="22781328" y="7513230"/>
          <a:ext cx="977787" cy="11239"/>
        </a:xfrm>
        <a:prstGeom prst="straightConnector1">
          <a:avLst/>
        </a:prstGeom>
        <a:ln>
          <a:solidFill>
            <a:srgbClr val="FF0000"/>
          </a:solidFill>
          <a:headEnd type="triangle"/>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40</xdr:col>
      <xdr:colOff>5619</xdr:colOff>
      <xdr:row>35</xdr:row>
      <xdr:rowOff>39335</xdr:rowOff>
    </xdr:from>
    <xdr:to>
      <xdr:col>40</xdr:col>
      <xdr:colOff>415841</xdr:colOff>
      <xdr:row>36</xdr:row>
      <xdr:rowOff>22477</xdr:rowOff>
    </xdr:to>
    <xdr:sp macro="" textlink="">
      <xdr:nvSpPr>
        <xdr:cNvPr id="36" name="TextBox 35">
          <a:extLst>
            <a:ext uri="{FF2B5EF4-FFF2-40B4-BE49-F238E27FC236}">
              <a16:creationId xmlns:a16="http://schemas.microsoft.com/office/drawing/2014/main" id="{012C1086-8FE5-2D65-9154-0C1E731F65B7}"/>
            </a:ext>
          </a:extLst>
        </xdr:cNvPr>
        <xdr:cNvSpPr txBox="1"/>
      </xdr:nvSpPr>
      <xdr:spPr>
        <a:xfrm>
          <a:off x="24073805" y="7192919"/>
          <a:ext cx="410222" cy="185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hh7</a:t>
          </a:r>
        </a:p>
        <a:p>
          <a:endParaRPr lang="en-US" sz="1100">
            <a:solidFill>
              <a:srgbClr val="FF0000"/>
            </a:solidFill>
          </a:endParaRPr>
        </a:p>
      </xdr:txBody>
    </xdr:sp>
    <xdr:clientData/>
  </xdr:twoCellAnchor>
  <xdr:twoCellAnchor>
    <xdr:from>
      <xdr:col>38</xdr:col>
      <xdr:colOff>573860</xdr:colOff>
      <xdr:row>35</xdr:row>
      <xdr:rowOff>45628</xdr:rowOff>
    </xdr:from>
    <xdr:to>
      <xdr:col>39</xdr:col>
      <xdr:colOff>158020</xdr:colOff>
      <xdr:row>36</xdr:row>
      <xdr:rowOff>28770</xdr:rowOff>
    </xdr:to>
    <xdr:sp macro="" textlink="">
      <xdr:nvSpPr>
        <xdr:cNvPr id="37" name="TextBox 36">
          <a:extLst>
            <a:ext uri="{FF2B5EF4-FFF2-40B4-BE49-F238E27FC236}">
              <a16:creationId xmlns:a16="http://schemas.microsoft.com/office/drawing/2014/main" id="{F795E22D-75A4-AC4B-A82A-8201BFE8BA01}"/>
            </a:ext>
          </a:extLst>
        </xdr:cNvPr>
        <xdr:cNvSpPr txBox="1"/>
      </xdr:nvSpPr>
      <xdr:spPr>
        <a:xfrm>
          <a:off x="22989922" y="7199212"/>
          <a:ext cx="410222" cy="185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hc5</a:t>
          </a:r>
        </a:p>
        <a:p>
          <a:endParaRPr lang="en-US" sz="1100">
            <a:solidFill>
              <a:srgbClr val="FF0000"/>
            </a:solidFill>
          </a:endParaRPr>
        </a:p>
        <a:p>
          <a:endParaRPr lang="en-US" sz="1100">
            <a:solidFill>
              <a:srgbClr val="FF0000"/>
            </a:solidFill>
          </a:endParaRPr>
        </a:p>
      </xdr:txBody>
    </xdr:sp>
    <xdr:clientData/>
  </xdr:twoCellAnchor>
  <xdr:twoCellAnchor>
    <xdr:from>
      <xdr:col>33</xdr:col>
      <xdr:colOff>710168</xdr:colOff>
      <xdr:row>19</xdr:row>
      <xdr:rowOff>93802</xdr:rowOff>
    </xdr:from>
    <xdr:to>
      <xdr:col>34</xdr:col>
      <xdr:colOff>132460</xdr:colOff>
      <xdr:row>20</xdr:row>
      <xdr:rowOff>136137</xdr:rowOff>
    </xdr:to>
    <xdr:sp macro="" textlink="">
      <xdr:nvSpPr>
        <xdr:cNvPr id="38" name="Oval 37">
          <a:extLst>
            <a:ext uri="{FF2B5EF4-FFF2-40B4-BE49-F238E27FC236}">
              <a16:creationId xmlns:a16="http://schemas.microsoft.com/office/drawing/2014/main" id="{4E8DB2B9-CDA8-C720-6DCC-42D45856EBFD}"/>
            </a:ext>
          </a:extLst>
        </xdr:cNvPr>
        <xdr:cNvSpPr/>
      </xdr:nvSpPr>
      <xdr:spPr>
        <a:xfrm>
          <a:off x="19825425" y="4019257"/>
          <a:ext cx="245533" cy="243125"/>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71148</xdr:colOff>
      <xdr:row>20</xdr:row>
      <xdr:rowOff>78375</xdr:rowOff>
    </xdr:from>
    <xdr:to>
      <xdr:col>34</xdr:col>
      <xdr:colOff>403321</xdr:colOff>
      <xdr:row>21</xdr:row>
      <xdr:rowOff>186032</xdr:rowOff>
    </xdr:to>
    <xdr:sp macro="" textlink="">
      <xdr:nvSpPr>
        <xdr:cNvPr id="39" name="Oval 38">
          <a:extLst>
            <a:ext uri="{FF2B5EF4-FFF2-40B4-BE49-F238E27FC236}">
              <a16:creationId xmlns:a16="http://schemas.microsoft.com/office/drawing/2014/main" id="{A84CD4AE-2E24-524C-AEA8-2548CEBBF779}"/>
            </a:ext>
          </a:extLst>
        </xdr:cNvPr>
        <xdr:cNvSpPr/>
      </xdr:nvSpPr>
      <xdr:spPr>
        <a:xfrm>
          <a:off x="20009646" y="4204620"/>
          <a:ext cx="332173" cy="308448"/>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883881</xdr:colOff>
      <xdr:row>5</xdr:row>
      <xdr:rowOff>54591</xdr:rowOff>
    </xdr:from>
    <xdr:ext cx="3522118" cy="284373"/>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B4669083-B0B1-C76F-6CF6-B4B720A06C94}"/>
                </a:ext>
              </a:extLst>
            </xdr:cNvPr>
            <xdr:cNvSpPr txBox="1"/>
          </xdr:nvSpPr>
          <xdr:spPr>
            <a:xfrm>
              <a:off x="1708433" y="1125561"/>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ea typeface="Cambria Math" panose="02040503050406030204" pitchFamily="18" charset="0"/>
                          </a:rPr>
                          <m:t>≠</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rPr>
                          <m:t>𝑅</m:t>
                        </m:r>
                      </m:sub>
                    </m:sSub>
                  </m:oMath>
                </m:oMathPara>
              </a14:m>
              <a:endParaRPr lang="en-US" sz="1800"/>
            </a:p>
          </xdr:txBody>
        </xdr:sp>
      </mc:Choice>
      <mc:Fallback xmlns="">
        <xdr:sp macro="" textlink="">
          <xdr:nvSpPr>
            <xdr:cNvPr id="40" name="TextBox 39">
              <a:extLst>
                <a:ext uri="{FF2B5EF4-FFF2-40B4-BE49-F238E27FC236}">
                  <a16:creationId xmlns:a16="http://schemas.microsoft.com/office/drawing/2014/main" id="{B4669083-B0B1-C76F-6CF6-B4B720A06C94}"/>
                </a:ext>
              </a:extLst>
            </xdr:cNvPr>
            <xdr:cNvSpPr txBox="1"/>
          </xdr:nvSpPr>
          <xdr:spPr>
            <a:xfrm>
              <a:off x="1708433" y="1125561"/>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𝐸</a:t>
              </a:r>
              <a:r>
                <a:rPr lang="en-US" sz="1800" b="0" i="0">
                  <a:latin typeface="Cambria Math" panose="02040503050406030204" pitchFamily="18" charset="0"/>
                </a:rPr>
                <a:t>_</a:t>
              </a:r>
              <a:r>
                <a:rPr lang="it-IT" sz="1800" b="0" i="0">
                  <a:latin typeface="Cambria Math" panose="02040503050406030204" pitchFamily="18" charset="0"/>
                </a:rPr>
                <a:t>𝑎=(𝐸_𝑒𝑙+𝑍𝑃𝐸)_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−(𝐸_𝑒𝑙+𝑍𝑃𝐸)_𝑅</a:t>
              </a:r>
              <a:endParaRPr lang="en-US" sz="1800"/>
            </a:p>
          </xdr:txBody>
        </xdr:sp>
      </mc:Fallback>
    </mc:AlternateContent>
    <xdr:clientData/>
  </xdr:oneCellAnchor>
  <xdr:oneCellAnchor>
    <xdr:from>
      <xdr:col>1</xdr:col>
      <xdr:colOff>616870</xdr:colOff>
      <xdr:row>12</xdr:row>
      <xdr:rowOff>11813</xdr:rowOff>
    </xdr:from>
    <xdr:ext cx="4844916" cy="741806"/>
    <mc:AlternateContent xmlns:mc="http://schemas.openxmlformats.org/markup-compatibility/2006" xmlns:a14="http://schemas.microsoft.com/office/drawing/2010/main">
      <mc:Choice Requires="a14">
        <xdr:sp macro="" textlink="">
          <xdr:nvSpPr>
            <xdr:cNvPr id="42" name="TextBox 41">
              <a:extLst>
                <a:ext uri="{FF2B5EF4-FFF2-40B4-BE49-F238E27FC236}">
                  <a16:creationId xmlns:a16="http://schemas.microsoft.com/office/drawing/2014/main" id="{610F16DE-5BAB-8B4D-0384-6C1C3717B6E6}"/>
                </a:ext>
              </a:extLst>
            </xdr:cNvPr>
            <xdr:cNvSpPr txBox="1"/>
          </xdr:nvSpPr>
          <xdr:spPr>
            <a:xfrm>
              <a:off x="1439887" y="2679522"/>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𝑐</m:t>
                        </m:r>
                      </m:sub>
                    </m:sSub>
                    <m:r>
                      <a:rPr lang="it-IT" sz="1800" b="0" i="1">
                        <a:latin typeface="Cambria Math" panose="02040503050406030204" pitchFamily="18" charset="0"/>
                      </a:rPr>
                      <m:t>=</m:t>
                    </m:r>
                    <m:f>
                      <m:fPr>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num>
                      <m:den>
                        <m:r>
                          <a:rPr lang="it-IT" sz="1800" b="0" i="1">
                            <a:latin typeface="Cambria Math" panose="02040503050406030204" pitchFamily="18" charset="0"/>
                          </a:rPr>
                          <m:t>h</m:t>
                        </m:r>
                      </m:den>
                    </m:f>
                    <m:f>
                      <m:fPr>
                        <m:ctrlPr>
                          <a:rPr lang="it-IT" sz="1800" b="0" i="1">
                            <a:latin typeface="Cambria Math" panose="02040503050406030204" pitchFamily="18" charset="0"/>
                          </a:rPr>
                        </m:ctrlPr>
                      </m:fPr>
                      <m:num>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𝑒𝑙</m:t>
                            </m:r>
                          </m:sup>
                        </m:sSubSup>
                        <m:r>
                          <m:rPr>
                            <m:sty m:val="p"/>
                          </m:rPr>
                          <a:rPr lang="it-IT" sz="1800" b="0" i="0">
                            <a:latin typeface="Cambria Math" panose="02040503050406030204" pitchFamily="18" charset="0"/>
                          </a:rPr>
                          <m:t>exp</m:t>
                        </m:r>
                        <m:r>
                          <a:rPr lang="it-IT" sz="1800" b="0" i="1">
                            <a:latin typeface="Cambria Math" panose="02040503050406030204" pitchFamily="18" charset="0"/>
                          </a:rPr>
                          <m:t>⁡(−</m:t>
                        </m:r>
                        <m:f>
                          <m:fPr>
                            <m:type m:val="lin"/>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num>
                          <m:den>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den>
                        </m:f>
                        <m:r>
                          <a:rPr lang="it-IT" sz="1800" b="0" i="1">
                            <a:latin typeface="Cambria Math" panose="02040503050406030204" pitchFamily="18" charset="0"/>
                          </a:rPr>
                          <m:t>)</m:t>
                        </m:r>
                      </m:num>
                      <m:den>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rPr>
                              <m:t>𝑅</m:t>
                            </m:r>
                          </m:sub>
                          <m:sup>
                            <m:r>
                              <a:rPr lang="it-IT" sz="1800" b="0" i="1">
                                <a:latin typeface="Cambria Math" panose="02040503050406030204" pitchFamily="18" charset="0"/>
                              </a:rPr>
                              <m:t>𝑒𝑙</m:t>
                            </m:r>
                          </m:sup>
                        </m:sSubSup>
                      </m:den>
                    </m:f>
                  </m:oMath>
                </m:oMathPara>
              </a14:m>
              <a:endParaRPr lang="en-US" sz="1800"/>
            </a:p>
          </xdr:txBody>
        </xdr:sp>
      </mc:Choice>
      <mc:Fallback xmlns="">
        <xdr:sp macro="" textlink="">
          <xdr:nvSpPr>
            <xdr:cNvPr id="42" name="TextBox 41">
              <a:extLst>
                <a:ext uri="{FF2B5EF4-FFF2-40B4-BE49-F238E27FC236}">
                  <a16:creationId xmlns:a16="http://schemas.microsoft.com/office/drawing/2014/main" id="{610F16DE-5BAB-8B4D-0384-6C1C3717B6E6}"/>
                </a:ext>
              </a:extLst>
            </xdr:cNvPr>
            <xdr:cNvSpPr txBox="1"/>
          </xdr:nvSpPr>
          <xdr:spPr>
            <a:xfrm>
              <a:off x="1439887" y="2679522"/>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𝑘</a:t>
              </a:r>
              <a:r>
                <a:rPr lang="en-US" sz="1800" b="0" i="0">
                  <a:latin typeface="Cambria Math" panose="02040503050406030204" pitchFamily="18" charset="0"/>
                </a:rPr>
                <a:t>_</a:t>
              </a:r>
              <a:r>
                <a:rPr lang="it-IT" sz="1800" b="0" i="0">
                  <a:latin typeface="Cambria Math" panose="02040503050406030204" pitchFamily="18" charset="0"/>
                </a:rPr>
                <a:t>𝑐=(𝑘_𝑏 𝑇)/ℎ  (𝑄_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exp⁡(−𝐸_𝑎∕〖𝑘_𝑏 𝑇〗))/(𝑄_𝑅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𝑄_𝑅</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𝑄_𝑅</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a:t>
              </a:r>
              <a:endParaRPr lang="en-US" sz="1800"/>
            </a:p>
          </xdr:txBody>
        </xdr:sp>
      </mc:Fallback>
    </mc:AlternateContent>
    <xdr:clientData/>
  </xdr:oneCellAnchor>
  <xdr:twoCellAnchor>
    <xdr:from>
      <xdr:col>16</xdr:col>
      <xdr:colOff>218319</xdr:colOff>
      <xdr:row>3</xdr:row>
      <xdr:rowOff>113694</xdr:rowOff>
    </xdr:from>
    <xdr:to>
      <xdr:col>21</xdr:col>
      <xdr:colOff>469901</xdr:colOff>
      <xdr:row>17</xdr:row>
      <xdr:rowOff>84968</xdr:rowOff>
    </xdr:to>
    <xdr:graphicFrame macro="">
      <xdr:nvGraphicFramePr>
        <xdr:cNvPr id="45" name="Chart 44">
          <a:extLst>
            <a:ext uri="{FF2B5EF4-FFF2-40B4-BE49-F238E27FC236}">
              <a16:creationId xmlns:a16="http://schemas.microsoft.com/office/drawing/2014/main" id="{C8FBE6AA-9849-4823-9C06-70A5F82DE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883881</xdr:colOff>
      <xdr:row>42</xdr:row>
      <xdr:rowOff>54591</xdr:rowOff>
    </xdr:from>
    <xdr:ext cx="3522118" cy="284373"/>
    <mc:AlternateContent xmlns:mc="http://schemas.openxmlformats.org/markup-compatibility/2006" xmlns:a14="http://schemas.microsoft.com/office/drawing/2010/main">
      <mc:Choice Requires="a14">
        <xdr:sp macro="" textlink="">
          <xdr:nvSpPr>
            <xdr:cNvPr id="46" name="TextBox 45">
              <a:extLst>
                <a:ext uri="{FF2B5EF4-FFF2-40B4-BE49-F238E27FC236}">
                  <a16:creationId xmlns:a16="http://schemas.microsoft.com/office/drawing/2014/main" id="{E8E68B4B-606A-614F-9EEA-72E562CF90EA}"/>
                </a:ext>
              </a:extLst>
            </xdr:cNvPr>
            <xdr:cNvSpPr txBox="1"/>
          </xdr:nvSpPr>
          <xdr:spPr>
            <a:xfrm>
              <a:off x="1705646" y="1175179"/>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ea typeface="Cambria Math" panose="02040503050406030204" pitchFamily="18" charset="0"/>
                          </a:rPr>
                          <m:t>≠</m:t>
                        </m:r>
                      </m:sub>
                    </m:sSub>
                    <m:r>
                      <a:rPr lang="it-IT" sz="1800" b="0" i="1">
                        <a:latin typeface="Cambria Math" panose="02040503050406030204" pitchFamily="18" charset="0"/>
                      </a:rPr>
                      <m:t>−</m:t>
                    </m:r>
                    <m:sSub>
                      <m:sSubPr>
                        <m:ctrlPr>
                          <a:rPr lang="it-IT" sz="1800" b="0" i="1">
                            <a:latin typeface="Cambria Math" panose="02040503050406030204" pitchFamily="18" charset="0"/>
                          </a:rPr>
                        </m:ctrlPr>
                      </m:sSubPr>
                      <m:e>
                        <m:d>
                          <m:dPr>
                            <m:ctrlPr>
                              <a:rPr lang="it-IT" sz="1800" b="0" i="1">
                                <a:latin typeface="Cambria Math" panose="02040503050406030204" pitchFamily="18" charset="0"/>
                              </a:rPr>
                            </m:ctrlPr>
                          </m:dPr>
                          <m:e>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𝑒𝑙</m:t>
                                </m:r>
                              </m:sub>
                            </m:sSub>
                            <m:r>
                              <a:rPr lang="it-IT" sz="1800" b="0" i="1">
                                <a:latin typeface="Cambria Math" panose="02040503050406030204" pitchFamily="18" charset="0"/>
                              </a:rPr>
                              <m:t>+</m:t>
                            </m:r>
                            <m:r>
                              <a:rPr lang="it-IT" sz="1800" b="0" i="1">
                                <a:latin typeface="Cambria Math" panose="02040503050406030204" pitchFamily="18" charset="0"/>
                              </a:rPr>
                              <m:t>𝑍𝑃𝐸</m:t>
                            </m:r>
                          </m:e>
                        </m:d>
                      </m:e>
                      <m:sub>
                        <m:r>
                          <a:rPr lang="it-IT" sz="1800" b="0" i="1">
                            <a:latin typeface="Cambria Math" panose="02040503050406030204" pitchFamily="18" charset="0"/>
                          </a:rPr>
                          <m:t>𝑅</m:t>
                        </m:r>
                      </m:sub>
                    </m:sSub>
                  </m:oMath>
                </m:oMathPara>
              </a14:m>
              <a:endParaRPr lang="en-US" sz="1800"/>
            </a:p>
          </xdr:txBody>
        </xdr:sp>
      </mc:Choice>
      <mc:Fallback xmlns="">
        <xdr:sp macro="" textlink="">
          <xdr:nvSpPr>
            <xdr:cNvPr id="46" name="TextBox 45">
              <a:extLst>
                <a:ext uri="{FF2B5EF4-FFF2-40B4-BE49-F238E27FC236}">
                  <a16:creationId xmlns:a16="http://schemas.microsoft.com/office/drawing/2014/main" id="{E8E68B4B-606A-614F-9EEA-72E562CF90EA}"/>
                </a:ext>
              </a:extLst>
            </xdr:cNvPr>
            <xdr:cNvSpPr txBox="1"/>
          </xdr:nvSpPr>
          <xdr:spPr>
            <a:xfrm>
              <a:off x="1705646" y="1175179"/>
              <a:ext cx="3522118" cy="284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𝐸</a:t>
              </a:r>
              <a:r>
                <a:rPr lang="en-US" sz="1800" b="0" i="0">
                  <a:latin typeface="Cambria Math" panose="02040503050406030204" pitchFamily="18" charset="0"/>
                </a:rPr>
                <a:t>_</a:t>
              </a:r>
              <a:r>
                <a:rPr lang="it-IT" sz="1800" b="0" i="0">
                  <a:latin typeface="Cambria Math" panose="02040503050406030204" pitchFamily="18" charset="0"/>
                </a:rPr>
                <a:t>𝑎=(𝐸_𝑒𝑙+𝑍𝑃𝐸)_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−(𝐸_𝑒𝑙+𝑍𝑃𝐸)_𝑅</a:t>
              </a:r>
              <a:endParaRPr lang="en-US" sz="1800"/>
            </a:p>
          </xdr:txBody>
        </xdr:sp>
      </mc:Fallback>
    </mc:AlternateContent>
    <xdr:clientData/>
  </xdr:oneCellAnchor>
  <xdr:oneCellAnchor>
    <xdr:from>
      <xdr:col>1</xdr:col>
      <xdr:colOff>616870</xdr:colOff>
      <xdr:row>49</xdr:row>
      <xdr:rowOff>11813</xdr:rowOff>
    </xdr:from>
    <xdr:ext cx="4844916" cy="741806"/>
    <mc:AlternateContent xmlns:mc="http://schemas.openxmlformats.org/markup-compatibility/2006" xmlns:a14="http://schemas.microsoft.com/office/drawing/2010/main">
      <mc:Choice Requires="a14">
        <xdr:sp macro="" textlink="">
          <xdr:nvSpPr>
            <xdr:cNvPr id="47" name="TextBox 46">
              <a:extLst>
                <a:ext uri="{FF2B5EF4-FFF2-40B4-BE49-F238E27FC236}">
                  <a16:creationId xmlns:a16="http://schemas.microsoft.com/office/drawing/2014/main" id="{542BA64D-34EC-EF4D-9059-CD8FDE230C0B}"/>
                </a:ext>
              </a:extLst>
            </xdr:cNvPr>
            <xdr:cNvSpPr txBox="1"/>
          </xdr:nvSpPr>
          <xdr:spPr>
            <a:xfrm>
              <a:off x="1438635" y="2701225"/>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𝑐</m:t>
                        </m:r>
                      </m:sub>
                    </m:sSub>
                    <m:r>
                      <a:rPr lang="it-IT" sz="1800" b="0" i="1">
                        <a:latin typeface="Cambria Math" panose="02040503050406030204" pitchFamily="18" charset="0"/>
                      </a:rPr>
                      <m:t>=</m:t>
                    </m:r>
                    <m:f>
                      <m:fPr>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num>
                      <m:den>
                        <m:r>
                          <a:rPr lang="it-IT" sz="1800" b="0" i="1">
                            <a:latin typeface="Cambria Math" panose="02040503050406030204" pitchFamily="18" charset="0"/>
                          </a:rPr>
                          <m:t>h</m:t>
                        </m:r>
                      </m:den>
                    </m:f>
                    <m:f>
                      <m:fPr>
                        <m:ctrlPr>
                          <a:rPr lang="it-IT" sz="1800" b="0" i="1">
                            <a:latin typeface="Cambria Math" panose="02040503050406030204" pitchFamily="18" charset="0"/>
                          </a:rPr>
                        </m:ctrlPr>
                      </m:fPr>
                      <m:num>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ea typeface="Cambria Math" panose="02040503050406030204" pitchFamily="18" charset="0"/>
                              </a:rPr>
                              <m:t>≠</m:t>
                            </m:r>
                          </m:sub>
                          <m:sup>
                            <m:r>
                              <a:rPr lang="it-IT" sz="1800" b="0" i="1">
                                <a:latin typeface="Cambria Math" panose="02040503050406030204" pitchFamily="18" charset="0"/>
                              </a:rPr>
                              <m:t>𝑒𝑙</m:t>
                            </m:r>
                          </m:sup>
                        </m:sSubSup>
                        <m:r>
                          <m:rPr>
                            <m:sty m:val="p"/>
                          </m:rPr>
                          <a:rPr lang="it-IT" sz="1800" b="0" i="0">
                            <a:latin typeface="Cambria Math" panose="02040503050406030204" pitchFamily="18" charset="0"/>
                          </a:rPr>
                          <m:t>exp</m:t>
                        </m:r>
                        <m:r>
                          <a:rPr lang="it-IT" sz="1800" b="0" i="1">
                            <a:latin typeface="Cambria Math" panose="02040503050406030204" pitchFamily="18" charset="0"/>
                          </a:rPr>
                          <m:t>⁡(−</m:t>
                        </m:r>
                        <m:f>
                          <m:fPr>
                            <m:type m:val="lin"/>
                            <m:ctrlPr>
                              <a:rPr lang="it-IT" sz="1800" b="0" i="1">
                                <a:latin typeface="Cambria Math" panose="02040503050406030204" pitchFamily="18" charset="0"/>
                              </a:rPr>
                            </m:ctrlPr>
                          </m:fPr>
                          <m:num>
                            <m:sSub>
                              <m:sSubPr>
                                <m:ctrlPr>
                                  <a:rPr lang="it-IT" sz="1800" b="0" i="1">
                                    <a:latin typeface="Cambria Math" panose="02040503050406030204" pitchFamily="18" charset="0"/>
                                  </a:rPr>
                                </m:ctrlPr>
                              </m:sSubPr>
                              <m:e>
                                <m:r>
                                  <a:rPr lang="it-IT" sz="1800" b="0" i="1">
                                    <a:latin typeface="Cambria Math" panose="02040503050406030204" pitchFamily="18" charset="0"/>
                                  </a:rPr>
                                  <m:t>𝐸</m:t>
                                </m:r>
                              </m:e>
                              <m:sub>
                                <m:r>
                                  <a:rPr lang="it-IT" sz="1800" b="0" i="1">
                                    <a:latin typeface="Cambria Math" panose="02040503050406030204" pitchFamily="18" charset="0"/>
                                  </a:rPr>
                                  <m:t>𝑎</m:t>
                                </m:r>
                              </m:sub>
                            </m:sSub>
                          </m:num>
                          <m:den>
                            <m:sSub>
                              <m:sSubPr>
                                <m:ctrlPr>
                                  <a:rPr lang="it-IT" sz="1800" b="0" i="1">
                                    <a:latin typeface="Cambria Math" panose="02040503050406030204" pitchFamily="18" charset="0"/>
                                  </a:rPr>
                                </m:ctrlPr>
                              </m:sSubPr>
                              <m:e>
                                <m:r>
                                  <a:rPr lang="it-IT" sz="1800" b="0" i="1">
                                    <a:latin typeface="Cambria Math" panose="02040503050406030204" pitchFamily="18" charset="0"/>
                                  </a:rPr>
                                  <m:t>𝑘</m:t>
                                </m:r>
                              </m:e>
                              <m:sub>
                                <m:r>
                                  <a:rPr lang="it-IT" sz="1800" b="0" i="1">
                                    <a:latin typeface="Cambria Math" panose="02040503050406030204" pitchFamily="18" charset="0"/>
                                  </a:rPr>
                                  <m:t>𝑏</m:t>
                                </m:r>
                              </m:sub>
                            </m:sSub>
                            <m:r>
                              <a:rPr lang="it-IT" sz="1800" b="0" i="1">
                                <a:latin typeface="Cambria Math" panose="02040503050406030204" pitchFamily="18" charset="0"/>
                              </a:rPr>
                              <m:t>𝑇</m:t>
                            </m:r>
                          </m:den>
                        </m:f>
                        <m:r>
                          <a:rPr lang="it-IT" sz="1800" b="0" i="1">
                            <a:latin typeface="Cambria Math" panose="02040503050406030204" pitchFamily="18" charset="0"/>
                          </a:rPr>
                          <m:t>)</m:t>
                        </m:r>
                      </m:num>
                      <m:den>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rPr>
                              <m:t>𝑡𝑟𝑎𝑠𝑙</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𝑟𝑜𝑡</m:t>
                            </m:r>
                          </m:sup>
                        </m:sSubSup>
                        <m:r>
                          <a:rPr lang="it-IT" sz="1800" b="0" i="1">
                            <a:latin typeface="Cambria Math" panose="02040503050406030204" pitchFamily="18" charset="0"/>
                          </a:rPr>
                          <m:t> </m:t>
                        </m:r>
                        <m:sSubSup>
                          <m:sSubSupPr>
                            <m:ctrlPr>
                              <a:rPr lang="it-IT" sz="1800" b="0" i="1">
                                <a:latin typeface="Cambria Math" panose="02040503050406030204" pitchFamily="18" charset="0"/>
                              </a:rPr>
                            </m:ctrlPr>
                          </m:sSubSupPr>
                          <m:e>
                            <m:r>
                              <a:rPr lang="it-IT" sz="1800" b="0" i="1">
                                <a:latin typeface="Cambria Math" panose="02040503050406030204" pitchFamily="18" charset="0"/>
                              </a:rPr>
                              <m:t>𝑄</m:t>
                            </m:r>
                          </m:e>
                          <m:sub>
                            <m:r>
                              <a:rPr lang="it-IT" sz="1800" b="0" i="1">
                                <a:latin typeface="Cambria Math" panose="02040503050406030204" pitchFamily="18" charset="0"/>
                              </a:rPr>
                              <m:t>𝑅</m:t>
                            </m:r>
                          </m:sub>
                          <m:sup>
                            <m:r>
                              <a:rPr lang="it-IT" sz="1800" b="0" i="1">
                                <a:latin typeface="Cambria Math" panose="02040503050406030204" pitchFamily="18" charset="0"/>
                                <a:ea typeface="Cambria Math" panose="02040503050406030204" pitchFamily="18" charset="0"/>
                              </a:rPr>
                              <m:t>𝑣𝑖𝑏</m:t>
                            </m:r>
                            <m:r>
                              <a:rPr lang="it-IT" sz="1800" b="0" i="1">
                                <a:latin typeface="Cambria Math" panose="02040503050406030204" pitchFamily="18" charset="0"/>
                                <a:ea typeface="Cambria Math" panose="02040503050406030204" pitchFamily="18" charset="0"/>
                              </a:rPr>
                              <m:t>(</m:t>
                            </m:r>
                            <m:r>
                              <a:rPr lang="it-IT" sz="1800" b="0" i="1">
                                <a:latin typeface="Cambria Math" panose="02040503050406030204" pitchFamily="18" charset="0"/>
                                <a:ea typeface="Cambria Math" panose="02040503050406030204" pitchFamily="18" charset="0"/>
                              </a:rPr>
                              <m:t>𝜐</m:t>
                            </m:r>
                            <m:r>
                              <a:rPr lang="it-IT" sz="1800" b="0" i="1">
                                <a:latin typeface="Cambria Math" panose="02040503050406030204" pitchFamily="18" charset="0"/>
                                <a:ea typeface="Cambria Math" panose="02040503050406030204" pitchFamily="18" charset="0"/>
                              </a:rPr>
                              <m:t>=0)</m:t>
                            </m:r>
                          </m:sup>
                        </m:sSubSup>
                        <m:sSubSup>
                          <m:sSubSupPr>
                            <m:ctrlPr>
                              <a:rPr lang="it-IT" sz="1800" b="0" i="1">
                                <a:latin typeface="Cambria Math" panose="02040503050406030204" pitchFamily="18" charset="0"/>
                              </a:rPr>
                            </m:ctrlPr>
                          </m:sSubSupPr>
                          <m:e>
                            <m:r>
                              <a:rPr lang="it-IT" sz="1800" b="0" i="1">
                                <a:latin typeface="Cambria Math" panose="02040503050406030204" pitchFamily="18" charset="0"/>
                              </a:rPr>
                              <m:t>𝑔</m:t>
                            </m:r>
                          </m:e>
                          <m:sub>
                            <m:r>
                              <a:rPr lang="it-IT" sz="1800" b="0" i="1">
                                <a:latin typeface="Cambria Math" panose="02040503050406030204" pitchFamily="18" charset="0"/>
                              </a:rPr>
                              <m:t>𝑅</m:t>
                            </m:r>
                          </m:sub>
                          <m:sup>
                            <m:r>
                              <a:rPr lang="it-IT" sz="1800" b="0" i="1">
                                <a:latin typeface="Cambria Math" panose="02040503050406030204" pitchFamily="18" charset="0"/>
                              </a:rPr>
                              <m:t>𝑒𝑙</m:t>
                            </m:r>
                          </m:sup>
                        </m:sSubSup>
                      </m:den>
                    </m:f>
                  </m:oMath>
                </m:oMathPara>
              </a14:m>
              <a:endParaRPr lang="en-US" sz="1800"/>
            </a:p>
          </xdr:txBody>
        </xdr:sp>
      </mc:Choice>
      <mc:Fallback xmlns="">
        <xdr:sp macro="" textlink="">
          <xdr:nvSpPr>
            <xdr:cNvPr id="47" name="TextBox 46">
              <a:extLst>
                <a:ext uri="{FF2B5EF4-FFF2-40B4-BE49-F238E27FC236}">
                  <a16:creationId xmlns:a16="http://schemas.microsoft.com/office/drawing/2014/main" id="{542BA64D-34EC-EF4D-9059-CD8FDE230C0B}"/>
                </a:ext>
              </a:extLst>
            </xdr:cNvPr>
            <xdr:cNvSpPr txBox="1"/>
          </xdr:nvSpPr>
          <xdr:spPr>
            <a:xfrm>
              <a:off x="1438635" y="2701225"/>
              <a:ext cx="4844916" cy="74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it-IT" sz="1800" b="0" i="0">
                  <a:latin typeface="Cambria Math" panose="02040503050406030204" pitchFamily="18" charset="0"/>
                </a:rPr>
                <a:t>𝑘</a:t>
              </a:r>
              <a:r>
                <a:rPr lang="en-US" sz="1800" b="0" i="0">
                  <a:latin typeface="Cambria Math" panose="02040503050406030204" pitchFamily="18" charset="0"/>
                </a:rPr>
                <a:t>_</a:t>
              </a:r>
              <a:r>
                <a:rPr lang="it-IT" sz="1800" b="0" i="0">
                  <a:latin typeface="Cambria Math" panose="02040503050406030204" pitchFamily="18" charset="0"/>
                </a:rPr>
                <a:t>𝑐=(𝑘_𝑏 𝑇)/ℎ  (𝑄_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exp⁡(−𝐸_𝑎∕〖𝑘_𝑏 𝑇〗))/(𝑄_𝑅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𝑡𝑟𝑎𝑠𝑙  𝑄_𝑅</a:t>
              </a:r>
              <a:r>
                <a:rPr lang="it-IT" sz="1800" b="0" i="0">
                  <a:latin typeface="Cambria Math" panose="02040503050406030204" pitchFamily="18" charset="0"/>
                  <a:ea typeface="Cambria Math" panose="02040503050406030204" pitchFamily="18" charset="0"/>
                </a:rPr>
                <a:t>^𝑟𝑜𝑡 </a:t>
              </a:r>
              <a:r>
                <a:rPr lang="it-IT" sz="1800" b="0" i="0">
                  <a:latin typeface="Cambria Math" panose="02040503050406030204" pitchFamily="18" charset="0"/>
                </a:rPr>
                <a:t> 𝑄_𝑅</a:t>
              </a:r>
              <a:r>
                <a:rPr lang="it-IT" sz="1800" b="0" i="0">
                  <a:latin typeface="Cambria Math" panose="02040503050406030204" pitchFamily="18" charset="0"/>
                  <a:ea typeface="Cambria Math" panose="02040503050406030204" pitchFamily="18" charset="0"/>
                </a:rPr>
                <a:t>^(𝑣𝑖𝑏(𝜐=0)) </a:t>
              </a:r>
              <a:r>
                <a:rPr lang="it-IT" sz="1800" b="0" i="0">
                  <a:latin typeface="Cambria Math" panose="02040503050406030204" pitchFamily="18" charset="0"/>
                </a:rPr>
                <a:t>𝑔_𝑅</a:t>
              </a:r>
              <a:r>
                <a:rPr lang="it-IT" sz="1800" b="0" i="0">
                  <a:latin typeface="Cambria Math" panose="02040503050406030204" pitchFamily="18" charset="0"/>
                  <a:ea typeface="Cambria Math" panose="02040503050406030204" pitchFamily="18" charset="0"/>
                </a:rPr>
                <a:t>^</a:t>
              </a:r>
              <a:r>
                <a:rPr lang="it-IT" sz="1800" b="0" i="0">
                  <a:latin typeface="Cambria Math" panose="02040503050406030204" pitchFamily="18" charset="0"/>
                </a:rPr>
                <a:t>𝑒𝑙 )</a:t>
              </a:r>
              <a:endParaRPr lang="en-US" sz="1800"/>
            </a:p>
          </xdr:txBody>
        </xdr:sp>
      </mc:Fallback>
    </mc:AlternateContent>
    <xdr:clientData/>
  </xdr:oneCellAnchor>
  <xdr:twoCellAnchor>
    <xdr:from>
      <xdr:col>16</xdr:col>
      <xdr:colOff>162835</xdr:colOff>
      <xdr:row>40</xdr:row>
      <xdr:rowOff>133203</xdr:rowOff>
    </xdr:from>
    <xdr:to>
      <xdr:col>21</xdr:col>
      <xdr:colOff>420126</xdr:colOff>
      <xdr:row>54</xdr:row>
      <xdr:rowOff>104476</xdr:rowOff>
    </xdr:to>
    <xdr:graphicFrame macro="">
      <xdr:nvGraphicFramePr>
        <xdr:cNvPr id="48" name="Chart 47">
          <a:extLst>
            <a:ext uri="{FF2B5EF4-FFF2-40B4-BE49-F238E27FC236}">
              <a16:creationId xmlns:a16="http://schemas.microsoft.com/office/drawing/2014/main" id="{9D1A454D-E99A-DA46-988D-582BEC4A5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59764</xdr:colOff>
      <xdr:row>79</xdr:row>
      <xdr:rowOff>179294</xdr:rowOff>
    </xdr:from>
    <xdr:to>
      <xdr:col>15</xdr:col>
      <xdr:colOff>381000</xdr:colOff>
      <xdr:row>100</xdr:row>
      <xdr:rowOff>25400</xdr:rowOff>
    </xdr:to>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B01874EE-56C2-7CA8-9931-4BB4081F527F}"/>
                </a:ext>
              </a:extLst>
            </xdr:cNvPr>
            <xdr:cNvSpPr txBox="1"/>
          </xdr:nvSpPr>
          <xdr:spPr>
            <a:xfrm>
              <a:off x="885264" y="17019494"/>
              <a:ext cx="13897536" cy="41133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Quantum tunneling contributions can be accounted for in the estimation of reaction rate constants by incorporating corrections to classical transition state theory.</a:t>
              </a:r>
            </a:p>
            <a:p>
              <a:r>
                <a:rPr lang="en-US" sz="1600"/>
                <a:t>In TST, reaction rates are primarily determined by the </a:t>
              </a:r>
              <a:r>
                <a:rPr lang="en-US" sz="1600" b="1"/>
                <a:t>activation energy barrier </a:t>
              </a:r>
              <a:r>
                <a:rPr lang="en-US" sz="1600"/>
                <a:t>between reactants and products. However, quantum tunneling allows particles</a:t>
              </a:r>
              <a:r>
                <a:rPr lang="en-US" sz="1600" baseline="0"/>
                <a:t> </a:t>
              </a:r>
              <a:r>
                <a:rPr lang="en-US" sz="1600"/>
                <a:t>to penetrate the energy barrier even if they don't have sufficient thermal energy.</a:t>
              </a:r>
              <a:r>
                <a:rPr lang="en-US" sz="1600" baseline="0"/>
                <a:t> This is especially true if:</a:t>
              </a:r>
            </a:p>
            <a:p>
              <a:r>
                <a:rPr lang="en-US" sz="1600" b="1" baseline="0"/>
                <a:t>1. </a:t>
              </a:r>
              <a:r>
                <a:rPr lang="en-US" sz="1600" b="0" baseline="0"/>
                <a:t>R</a:t>
              </a:r>
              <a:r>
                <a:rPr lang="en-US" sz="1600" baseline="0"/>
                <a:t>eacting systems (the portition in realtive motion) are composed primarly by </a:t>
              </a:r>
              <a:r>
                <a:rPr lang="en-US" sz="1600" b="1" baseline="0"/>
                <a:t>ligher particles, lile hydrogen</a:t>
              </a:r>
              <a:r>
                <a:rPr lang="en-US" sz="1600" b="0" baseline="0"/>
                <a:t>.</a:t>
              </a:r>
            </a:p>
            <a:p>
              <a:r>
                <a:rPr lang="en-US" sz="1600" b="1"/>
                <a:t>2.</a:t>
              </a:r>
              <a:r>
                <a:rPr lang="en-US" sz="1600" b="1" baseline="0"/>
                <a:t> </a:t>
              </a:r>
              <a:r>
                <a:rPr lang="en-US" sz="1600" b="0" baseline="0"/>
                <a:t>The </a:t>
              </a:r>
              <a:r>
                <a:rPr lang="en-US" sz="1600" b="1" baseline="0"/>
                <a:t>extension of the energy barrier is small.</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Both can be easily shown by solving the Scrhodinger equation over a potential barrier system, that in those cases the tunneling is favoured.</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Particularly for the second case, the first indication of the possibility of quantum effects is the immaginary frequency at the transition state.</a:t>
              </a:r>
              <a:endParaRPr lang="en-US" sz="1600" b="1"/>
            </a:p>
            <a:p>
              <a:endParaRPr lang="en-US" sz="1600"/>
            </a:p>
            <a:p>
              <a:r>
                <a:rPr lang="en-US" sz="1600"/>
                <a:t>To account for these</a:t>
              </a:r>
              <a:r>
                <a:rPr lang="en-US" sz="1600" baseline="0"/>
                <a:t> effects</a:t>
              </a:r>
              <a:r>
                <a:rPr lang="en-US" sz="1600"/>
                <a:t>, corrections such as the </a:t>
              </a:r>
              <a:r>
                <a:rPr lang="en-US" sz="1600" b="1"/>
                <a:t>Wigner tunneling correction</a:t>
              </a:r>
              <a:r>
                <a:rPr lang="en-US" sz="1600"/>
                <a:t> or more advanced </a:t>
              </a:r>
              <a:r>
                <a:rPr lang="en-US" sz="1600" b="1"/>
                <a:t>Eckart tunneling correction</a:t>
              </a:r>
              <a:r>
                <a:rPr lang="en-US" sz="1600"/>
                <a:t> can be applied to the rate constants. These corrections modify the classical rate by introducing a tunneling factor (partition function) based on the shape of the potential energy barrier and the masses of the reacting particles, refining the estimate of the reaction rate using molecular partition functions</a:t>
              </a:r>
              <a:r>
                <a:rPr lang="en-US" sz="1600" baseline="0"/>
                <a:t>. In general, those bring about an increase for the reaction rate, so that Q</a:t>
              </a:r>
              <a:r>
                <a:rPr lang="en-US" sz="1600" baseline="30000"/>
                <a:t> tunnel </a:t>
              </a:r>
              <a:r>
                <a:rPr lang="en-US" sz="1600" baseline="0"/>
                <a:t>are defined as &gt; 1.</a:t>
              </a:r>
            </a:p>
            <a:p>
              <a:endParaRPr lang="en-US" sz="1600" baseline="0"/>
            </a:p>
            <a:p>
              <a:pPr marL="0" marR="0" indent="0" defTabSz="914400" eaLnBrk="1" fontAlgn="auto" latinLnBrk="0" hangingPunct="1">
                <a:lnSpc>
                  <a:spcPct val="100000"/>
                </a:lnSpc>
                <a:spcBef>
                  <a:spcPts val="0"/>
                </a:spcBef>
                <a:spcAft>
                  <a:spcPts val="0"/>
                </a:spcAft>
                <a:buClrTx/>
                <a:buSzTx/>
                <a:buFontTx/>
                <a:buNone/>
                <a:tabLst/>
                <a:defRPr/>
              </a:pPr>
              <a:r>
                <a:rPr lang="en-US" sz="1600" baseline="0"/>
                <a:t>For example, Wigner-Shavitt factor is </a:t>
              </a:r>
              <a14:m>
                <m:oMath xmlns:m="http://schemas.openxmlformats.org/officeDocument/2006/math">
                  <m:sSub>
                    <m:sSubPr>
                      <m:ctrlPr>
                        <a:rPr lang="en-US" sz="1400" i="1" baseline="0">
                          <a:latin typeface="Cambria Math" panose="02040503050406030204" pitchFamily="18" charset="0"/>
                        </a:rPr>
                      </m:ctrlPr>
                    </m:sSubPr>
                    <m:e>
                      <m:r>
                        <a:rPr lang="it-IT" sz="1400" b="0" i="1" baseline="0">
                          <a:latin typeface="Cambria Math" panose="02040503050406030204" pitchFamily="18" charset="0"/>
                        </a:rPr>
                        <m:t>𝑄</m:t>
                      </m:r>
                    </m:e>
                    <m:sub>
                      <m:r>
                        <a:rPr lang="it-IT" sz="1400" b="0" i="1" baseline="0">
                          <a:latin typeface="Cambria Math" panose="02040503050406030204" pitchFamily="18" charset="0"/>
                        </a:rPr>
                        <m:t>𝑡𝑢𝑛𝑛𝑒𝑙</m:t>
                      </m:r>
                    </m:sub>
                  </m:sSub>
                  <m:r>
                    <a:rPr lang="it-IT" sz="1400" b="0" i="1" baseline="0">
                      <a:latin typeface="Cambria Math" panose="02040503050406030204" pitchFamily="18" charset="0"/>
                    </a:rPr>
                    <m:t>=1−</m:t>
                  </m:r>
                  <m:f>
                    <m:fPr>
                      <m:ctrlPr>
                        <a:rPr lang="it-IT" sz="1400" b="0" i="1" baseline="0">
                          <a:latin typeface="Cambria Math" panose="02040503050406030204" pitchFamily="18" charset="0"/>
                        </a:rPr>
                      </m:ctrlPr>
                    </m:fPr>
                    <m:num>
                      <m:r>
                        <a:rPr lang="it-IT" sz="1400" b="0" i="1" baseline="0">
                          <a:latin typeface="Cambria Math" panose="02040503050406030204" pitchFamily="18" charset="0"/>
                        </a:rPr>
                        <m:t>1</m:t>
                      </m:r>
                    </m:num>
                    <m:den>
                      <m:r>
                        <a:rPr lang="it-IT" sz="1400" b="0" i="1" baseline="0">
                          <a:latin typeface="Cambria Math" panose="02040503050406030204" pitchFamily="18" charset="0"/>
                        </a:rPr>
                        <m:t>24</m:t>
                      </m:r>
                    </m:den>
                  </m:f>
                  <m:d>
                    <m:dPr>
                      <m:ctrlPr>
                        <a:rPr lang="it-IT" sz="1400" b="0" i="1" baseline="0">
                          <a:latin typeface="Cambria Math" panose="02040503050406030204" pitchFamily="18" charset="0"/>
                        </a:rPr>
                      </m:ctrlPr>
                    </m:dPr>
                    <m:e>
                      <m:f>
                        <m:fPr>
                          <m:ctrlPr>
                            <a:rPr lang="it-IT" sz="1400" b="0" i="1" baseline="0">
                              <a:latin typeface="Cambria Math" panose="02040503050406030204" pitchFamily="18" charset="0"/>
                            </a:rPr>
                          </m:ctrlPr>
                        </m:fPr>
                        <m:num>
                          <m:r>
                            <a:rPr lang="it-IT" sz="1400" b="0" i="1" baseline="0">
                              <a:latin typeface="Cambria Math" panose="02040503050406030204" pitchFamily="18" charset="0"/>
                            </a:rPr>
                            <m:t>h</m:t>
                          </m:r>
                          <m:r>
                            <a:rPr lang="it-IT" sz="1400" b="0" i="1" baseline="0">
                              <a:latin typeface="Cambria Math" panose="02040503050406030204" pitchFamily="18" charset="0"/>
                              <a:ea typeface="Cambria Math" panose="02040503050406030204" pitchFamily="18" charset="0"/>
                            </a:rPr>
                            <m:t>𝜈</m:t>
                          </m:r>
                        </m:num>
                        <m:den>
                          <m:sSub>
                            <m:sSubPr>
                              <m:ctrlPr>
                                <a:rPr lang="it-IT" sz="1400" b="0" i="1" baseline="0">
                                  <a:latin typeface="Cambria Math" panose="02040503050406030204" pitchFamily="18" charset="0"/>
                                </a:rPr>
                              </m:ctrlPr>
                            </m:sSubPr>
                            <m:e>
                              <m:r>
                                <a:rPr lang="it-IT" sz="1400" b="0" i="1" baseline="0">
                                  <a:latin typeface="Cambria Math" panose="02040503050406030204" pitchFamily="18" charset="0"/>
                                </a:rPr>
                                <m:t>𝑘</m:t>
                              </m:r>
                            </m:e>
                            <m:sub>
                              <m:r>
                                <a:rPr lang="it-IT" sz="1400" b="0" i="1" baseline="0">
                                  <a:latin typeface="Cambria Math" panose="02040503050406030204" pitchFamily="18" charset="0"/>
                                </a:rPr>
                                <m:t>𝑏</m:t>
                              </m:r>
                            </m:sub>
                          </m:sSub>
                          <m:r>
                            <a:rPr lang="it-IT" sz="1400" b="0" i="1" baseline="0">
                              <a:latin typeface="Cambria Math" panose="02040503050406030204" pitchFamily="18" charset="0"/>
                            </a:rPr>
                            <m:t>𝑇</m:t>
                          </m:r>
                        </m:den>
                      </m:f>
                    </m:e>
                  </m:d>
                  <m:d>
                    <m:dPr>
                      <m:ctrlPr>
                        <a:rPr lang="it-IT" sz="1400" b="0" i="1" baseline="0">
                          <a:latin typeface="Cambria Math" panose="02040503050406030204" pitchFamily="18" charset="0"/>
                        </a:rPr>
                      </m:ctrlPr>
                    </m:dPr>
                    <m:e>
                      <m:r>
                        <a:rPr lang="it-IT" sz="1400" b="0" i="1" baseline="0">
                          <a:latin typeface="Cambria Math" panose="02040503050406030204" pitchFamily="18" charset="0"/>
                        </a:rPr>
                        <m:t>1+</m:t>
                      </m:r>
                      <m:f>
                        <m:fPr>
                          <m:ctrlPr>
                            <a:rPr lang="it-IT" sz="1400" b="0" i="1" baseline="0">
                              <a:latin typeface="Cambria Math" panose="02040503050406030204" pitchFamily="18" charset="0"/>
                            </a:rPr>
                          </m:ctrlPr>
                        </m:fPr>
                        <m:num>
                          <m:sSub>
                            <m:sSubPr>
                              <m:ctrlPr>
                                <a:rPr lang="it-IT" sz="1400" b="0" i="1" baseline="0">
                                  <a:latin typeface="Cambria Math" panose="02040503050406030204" pitchFamily="18" charset="0"/>
                                </a:rPr>
                              </m:ctrlPr>
                            </m:sSubPr>
                            <m:e>
                              <m:r>
                                <a:rPr lang="it-IT" sz="1400" b="0" i="1" baseline="0">
                                  <a:latin typeface="Cambria Math" panose="02040503050406030204" pitchFamily="18" charset="0"/>
                                </a:rPr>
                                <m:t>𝑘</m:t>
                              </m:r>
                            </m:e>
                            <m:sub>
                              <m:r>
                                <a:rPr lang="it-IT" sz="1400" b="0" i="1" baseline="0">
                                  <a:latin typeface="Cambria Math" panose="02040503050406030204" pitchFamily="18" charset="0"/>
                                </a:rPr>
                                <m:t>𝑏</m:t>
                              </m:r>
                            </m:sub>
                          </m:sSub>
                          <m:r>
                            <a:rPr lang="it-IT" sz="1400" b="0" i="1" baseline="0">
                              <a:latin typeface="Cambria Math" panose="02040503050406030204" pitchFamily="18" charset="0"/>
                            </a:rPr>
                            <m:t>𝑇</m:t>
                          </m:r>
                        </m:num>
                        <m:den>
                          <m:sSub>
                            <m:sSubPr>
                              <m:ctrlPr>
                                <a:rPr lang="it-IT" sz="1400" b="0" i="1" baseline="0">
                                  <a:latin typeface="Cambria Math" panose="02040503050406030204" pitchFamily="18" charset="0"/>
                                </a:rPr>
                              </m:ctrlPr>
                            </m:sSubPr>
                            <m:e>
                              <m:r>
                                <a:rPr lang="it-IT" sz="1400" b="0" i="1" baseline="0">
                                  <a:latin typeface="Cambria Math" panose="02040503050406030204" pitchFamily="18" charset="0"/>
                                </a:rPr>
                                <m:t>𝐸</m:t>
                              </m:r>
                            </m:e>
                            <m:sub>
                              <m:r>
                                <a:rPr lang="it-IT" sz="1400" b="0" i="1" baseline="0">
                                  <a:latin typeface="Cambria Math" panose="02040503050406030204" pitchFamily="18" charset="0"/>
                                </a:rPr>
                                <m:t>𝑎</m:t>
                              </m:r>
                            </m:sub>
                          </m:sSub>
                        </m:den>
                      </m:f>
                    </m:e>
                  </m:d>
                  <m:r>
                    <a:rPr lang="it-IT" sz="1400" b="0" i="0" baseline="0">
                      <a:latin typeface="Cambria Math" panose="02040503050406030204" pitchFamily="18" charset="0"/>
                    </a:rPr>
                    <m:t>  , </m:t>
                  </m:r>
                  <m:sSub>
                    <m:sSubPr>
                      <m:ctrlPr>
                        <a:rPr lang="en-US" sz="1400" i="1">
                          <a:latin typeface="Cambria Math" panose="02040503050406030204" pitchFamily="18" charset="0"/>
                        </a:rPr>
                      </m:ctrlPr>
                    </m:sSubPr>
                    <m:e>
                      <m:r>
                        <a:rPr lang="it-IT" sz="1400" b="0" i="1">
                          <a:latin typeface="Cambria Math" panose="02040503050406030204" pitchFamily="18" charset="0"/>
                        </a:rPr>
                        <m:t>𝑘</m:t>
                      </m:r>
                    </m:e>
                    <m:sub>
                      <m:r>
                        <a:rPr lang="it-IT" sz="1400" b="0" i="1">
                          <a:latin typeface="Cambria Math" panose="02040503050406030204" pitchFamily="18" charset="0"/>
                        </a:rPr>
                        <m:t>𝑐</m:t>
                      </m:r>
                    </m:sub>
                  </m:sSub>
                  <m:r>
                    <a:rPr lang="it-IT" sz="1400" b="0" i="1">
                      <a:latin typeface="Cambria Math" panose="02040503050406030204" pitchFamily="18" charset="0"/>
                    </a:rPr>
                    <m:t>=</m:t>
                  </m:r>
                  <m:f>
                    <m:fPr>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rPr>
                            <m:t>𝑘</m:t>
                          </m:r>
                        </m:e>
                        <m:sub>
                          <m:r>
                            <a:rPr lang="it-IT" sz="1400" b="0" i="1">
                              <a:latin typeface="Cambria Math" panose="02040503050406030204" pitchFamily="18" charset="0"/>
                            </a:rPr>
                            <m:t>𝑏</m:t>
                          </m:r>
                        </m:sub>
                      </m:sSub>
                      <m:r>
                        <a:rPr lang="it-IT" sz="1400" b="0" i="1">
                          <a:latin typeface="Cambria Math" panose="02040503050406030204" pitchFamily="18" charset="0"/>
                        </a:rPr>
                        <m:t>𝑇</m:t>
                      </m:r>
                    </m:num>
                    <m:den>
                      <m:r>
                        <a:rPr lang="it-IT" sz="1400" b="0" i="1">
                          <a:latin typeface="Cambria Math" panose="02040503050406030204" pitchFamily="18" charset="0"/>
                        </a:rPr>
                        <m:t>h</m:t>
                      </m:r>
                    </m:den>
                  </m:f>
                  <m:sSub>
                    <m:sSubPr>
                      <m:ctrlPr>
                        <a:rPr lang="en-US" sz="1400" i="1" baseline="0">
                          <a:latin typeface="Cambria Math" panose="02040503050406030204" pitchFamily="18" charset="0"/>
                        </a:rPr>
                      </m:ctrlPr>
                    </m:sSubPr>
                    <m:e>
                      <m:r>
                        <a:rPr lang="it-IT" sz="1400" b="0" i="1" baseline="0">
                          <a:latin typeface="Cambria Math" panose="02040503050406030204" pitchFamily="18" charset="0"/>
                        </a:rPr>
                        <m:t>𝑄</m:t>
                      </m:r>
                    </m:e>
                    <m:sub>
                      <m:r>
                        <a:rPr lang="it-IT" sz="1400" b="0" i="1" baseline="0">
                          <a:latin typeface="Cambria Math" panose="02040503050406030204" pitchFamily="18" charset="0"/>
                        </a:rPr>
                        <m:t>𝑡𝑢𝑛𝑛𝑒𝑙</m:t>
                      </m:r>
                    </m:sub>
                  </m:sSub>
                  <m:f>
                    <m:fPr>
                      <m:ctrlPr>
                        <a:rPr lang="it-IT" sz="1400" b="0" i="1">
                          <a:latin typeface="Cambria Math" panose="02040503050406030204" pitchFamily="18" charset="0"/>
                        </a:rPr>
                      </m:ctrlPr>
                    </m:fPr>
                    <m:num>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rPr>
                            <m:t>𝑡𝑟𝑎𝑠𝑙</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ea typeface="Cambria Math" panose="02040503050406030204" pitchFamily="18" charset="0"/>
                            </a:rPr>
                            <m:t>𝑟𝑜𝑡</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ea typeface="Cambria Math" panose="02040503050406030204" pitchFamily="18" charset="0"/>
                            </a:rPr>
                            <m:t>𝑣𝑖𝑏</m:t>
                          </m:r>
                          <m:r>
                            <a:rPr lang="it-IT" sz="1400" b="0" i="1">
                              <a:latin typeface="Cambria Math" panose="02040503050406030204" pitchFamily="18" charset="0"/>
                              <a:ea typeface="Cambria Math" panose="02040503050406030204" pitchFamily="18" charset="0"/>
                            </a:rPr>
                            <m:t>(</m:t>
                          </m:r>
                          <m:r>
                            <a:rPr lang="it-IT" sz="1400" b="0" i="1">
                              <a:latin typeface="Cambria Math" panose="02040503050406030204" pitchFamily="18" charset="0"/>
                              <a:ea typeface="Cambria Math" panose="02040503050406030204" pitchFamily="18" charset="0"/>
                            </a:rPr>
                            <m:t>𝜐</m:t>
                          </m:r>
                          <m:r>
                            <a:rPr lang="it-IT" sz="1400" b="0" i="1">
                              <a:latin typeface="Cambria Math" panose="02040503050406030204" pitchFamily="18" charset="0"/>
                              <a:ea typeface="Cambria Math" panose="02040503050406030204" pitchFamily="18" charset="0"/>
                            </a:rPr>
                            <m:t>=0)</m:t>
                          </m:r>
                        </m:sup>
                      </m:sSubSup>
                      <m:sSubSup>
                        <m:sSubSupPr>
                          <m:ctrlPr>
                            <a:rPr lang="it-IT" sz="1400" b="0" i="1">
                              <a:latin typeface="Cambria Math" panose="02040503050406030204" pitchFamily="18" charset="0"/>
                            </a:rPr>
                          </m:ctrlPr>
                        </m:sSubSupPr>
                        <m:e>
                          <m:r>
                            <a:rPr lang="it-IT" sz="1400" b="0" i="1">
                              <a:latin typeface="Cambria Math" panose="02040503050406030204" pitchFamily="18" charset="0"/>
                            </a:rPr>
                            <m:t>𝑔</m:t>
                          </m:r>
                        </m:e>
                        <m:sub>
                          <m:r>
                            <a:rPr lang="it-IT" sz="1400" b="0" i="1">
                              <a:latin typeface="Cambria Math" panose="02040503050406030204" pitchFamily="18" charset="0"/>
                              <a:ea typeface="Cambria Math" panose="02040503050406030204" pitchFamily="18" charset="0"/>
                            </a:rPr>
                            <m:t>≠</m:t>
                          </m:r>
                        </m:sub>
                        <m:sup>
                          <m:r>
                            <a:rPr lang="it-IT" sz="1400" b="0" i="1">
                              <a:latin typeface="Cambria Math" panose="02040503050406030204" pitchFamily="18" charset="0"/>
                            </a:rPr>
                            <m:t>𝑒𝑙</m:t>
                          </m:r>
                        </m:sup>
                      </m:sSubSup>
                      <m:r>
                        <m:rPr>
                          <m:sty m:val="p"/>
                        </m:rPr>
                        <a:rPr lang="it-IT" sz="1400" b="0" i="0">
                          <a:latin typeface="Cambria Math" panose="02040503050406030204" pitchFamily="18" charset="0"/>
                        </a:rPr>
                        <m:t>exp</m:t>
                      </m:r>
                      <m:r>
                        <a:rPr lang="it-IT" sz="1400" b="0" i="1">
                          <a:latin typeface="Cambria Math" panose="02040503050406030204" pitchFamily="18" charset="0"/>
                        </a:rPr>
                        <m:t>⁡(−</m:t>
                      </m:r>
                      <m:f>
                        <m:fPr>
                          <m:type m:val="lin"/>
                          <m:ctrlPr>
                            <a:rPr lang="it-IT" sz="1400" b="0" i="1">
                              <a:latin typeface="Cambria Math" panose="02040503050406030204" pitchFamily="18" charset="0"/>
                            </a:rPr>
                          </m:ctrlPr>
                        </m:fPr>
                        <m:num>
                          <m:sSub>
                            <m:sSubPr>
                              <m:ctrlPr>
                                <a:rPr lang="it-IT" sz="1400" b="0" i="1">
                                  <a:latin typeface="Cambria Math" panose="02040503050406030204" pitchFamily="18" charset="0"/>
                                </a:rPr>
                              </m:ctrlPr>
                            </m:sSubPr>
                            <m:e>
                              <m:r>
                                <a:rPr lang="it-IT" sz="1400" b="0" i="1">
                                  <a:latin typeface="Cambria Math" panose="02040503050406030204" pitchFamily="18" charset="0"/>
                                </a:rPr>
                                <m:t>𝐸</m:t>
                              </m:r>
                            </m:e>
                            <m:sub>
                              <m:r>
                                <a:rPr lang="it-IT" sz="1400" b="0" i="1">
                                  <a:latin typeface="Cambria Math" panose="02040503050406030204" pitchFamily="18" charset="0"/>
                                </a:rPr>
                                <m:t>𝑎</m:t>
                              </m:r>
                            </m:sub>
                          </m:sSub>
                        </m:num>
                        <m:den>
                          <m:sSub>
                            <m:sSubPr>
                              <m:ctrlPr>
                                <a:rPr lang="it-IT" sz="1400" b="0" i="1">
                                  <a:latin typeface="Cambria Math" panose="02040503050406030204" pitchFamily="18" charset="0"/>
                                </a:rPr>
                              </m:ctrlPr>
                            </m:sSubPr>
                            <m:e>
                              <m:r>
                                <a:rPr lang="it-IT" sz="1400" b="0" i="1">
                                  <a:latin typeface="Cambria Math" panose="02040503050406030204" pitchFamily="18" charset="0"/>
                                </a:rPr>
                                <m:t>𝑘</m:t>
                              </m:r>
                            </m:e>
                            <m:sub>
                              <m:r>
                                <a:rPr lang="it-IT" sz="1400" b="0" i="1">
                                  <a:latin typeface="Cambria Math" panose="02040503050406030204" pitchFamily="18" charset="0"/>
                                </a:rPr>
                                <m:t>𝑏</m:t>
                              </m:r>
                            </m:sub>
                          </m:sSub>
                          <m:r>
                            <a:rPr lang="it-IT" sz="1400" b="0" i="1">
                              <a:latin typeface="Cambria Math" panose="02040503050406030204" pitchFamily="18" charset="0"/>
                            </a:rPr>
                            <m:t>𝑇</m:t>
                          </m:r>
                        </m:den>
                      </m:f>
                      <m:r>
                        <a:rPr lang="it-IT" sz="1400" b="0" i="1">
                          <a:latin typeface="Cambria Math" panose="02040503050406030204" pitchFamily="18" charset="0"/>
                        </a:rPr>
                        <m:t>)</m:t>
                      </m:r>
                    </m:num>
                    <m:den>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rPr>
                            <m:t>𝑅</m:t>
                          </m:r>
                        </m:sub>
                        <m:sup>
                          <m:r>
                            <a:rPr lang="it-IT" sz="1400" b="0" i="1">
                              <a:latin typeface="Cambria Math" panose="02040503050406030204" pitchFamily="18" charset="0"/>
                            </a:rPr>
                            <m:t>𝑡𝑟𝑎𝑠𝑙</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rPr>
                            <m:t>𝑅</m:t>
                          </m:r>
                        </m:sub>
                        <m:sup>
                          <m:r>
                            <a:rPr lang="it-IT" sz="1400" b="0" i="1">
                              <a:latin typeface="Cambria Math" panose="02040503050406030204" pitchFamily="18" charset="0"/>
                              <a:ea typeface="Cambria Math" panose="02040503050406030204" pitchFamily="18" charset="0"/>
                            </a:rPr>
                            <m:t>𝑟𝑜𝑡</m:t>
                          </m:r>
                        </m:sup>
                      </m:sSubSup>
                      <m:r>
                        <a:rPr lang="it-IT" sz="1400" b="0" i="1">
                          <a:latin typeface="Cambria Math" panose="02040503050406030204" pitchFamily="18" charset="0"/>
                        </a:rPr>
                        <m:t> </m:t>
                      </m:r>
                      <m:sSubSup>
                        <m:sSubSupPr>
                          <m:ctrlPr>
                            <a:rPr lang="it-IT" sz="1400" b="0" i="1">
                              <a:latin typeface="Cambria Math" panose="02040503050406030204" pitchFamily="18" charset="0"/>
                            </a:rPr>
                          </m:ctrlPr>
                        </m:sSubSupPr>
                        <m:e>
                          <m:r>
                            <a:rPr lang="it-IT" sz="1400" b="0" i="1">
                              <a:latin typeface="Cambria Math" panose="02040503050406030204" pitchFamily="18" charset="0"/>
                            </a:rPr>
                            <m:t>𝑄</m:t>
                          </m:r>
                        </m:e>
                        <m:sub>
                          <m:r>
                            <a:rPr lang="it-IT" sz="1400" b="0" i="1">
                              <a:latin typeface="Cambria Math" panose="02040503050406030204" pitchFamily="18" charset="0"/>
                            </a:rPr>
                            <m:t>𝑅</m:t>
                          </m:r>
                        </m:sub>
                        <m:sup>
                          <m:r>
                            <a:rPr lang="it-IT" sz="1400" b="0" i="1">
                              <a:latin typeface="Cambria Math" panose="02040503050406030204" pitchFamily="18" charset="0"/>
                              <a:ea typeface="Cambria Math" panose="02040503050406030204" pitchFamily="18" charset="0"/>
                            </a:rPr>
                            <m:t>𝑣𝑖𝑏</m:t>
                          </m:r>
                          <m:r>
                            <a:rPr lang="it-IT" sz="1400" b="0" i="1">
                              <a:latin typeface="Cambria Math" panose="02040503050406030204" pitchFamily="18" charset="0"/>
                              <a:ea typeface="Cambria Math" panose="02040503050406030204" pitchFamily="18" charset="0"/>
                            </a:rPr>
                            <m:t>(</m:t>
                          </m:r>
                          <m:r>
                            <a:rPr lang="it-IT" sz="1400" b="0" i="1">
                              <a:latin typeface="Cambria Math" panose="02040503050406030204" pitchFamily="18" charset="0"/>
                              <a:ea typeface="Cambria Math" panose="02040503050406030204" pitchFamily="18" charset="0"/>
                            </a:rPr>
                            <m:t>𝜐</m:t>
                          </m:r>
                          <m:r>
                            <a:rPr lang="it-IT" sz="1400" b="0" i="1">
                              <a:latin typeface="Cambria Math" panose="02040503050406030204" pitchFamily="18" charset="0"/>
                              <a:ea typeface="Cambria Math" panose="02040503050406030204" pitchFamily="18" charset="0"/>
                            </a:rPr>
                            <m:t>=0)</m:t>
                          </m:r>
                        </m:sup>
                      </m:sSubSup>
                      <m:sSubSup>
                        <m:sSubSupPr>
                          <m:ctrlPr>
                            <a:rPr lang="it-IT" sz="1400" b="0" i="1">
                              <a:latin typeface="Cambria Math" panose="02040503050406030204" pitchFamily="18" charset="0"/>
                            </a:rPr>
                          </m:ctrlPr>
                        </m:sSubSupPr>
                        <m:e>
                          <m:r>
                            <a:rPr lang="it-IT" sz="1400" b="0" i="1">
                              <a:latin typeface="Cambria Math" panose="02040503050406030204" pitchFamily="18" charset="0"/>
                            </a:rPr>
                            <m:t>𝑔</m:t>
                          </m:r>
                        </m:e>
                        <m:sub>
                          <m:r>
                            <a:rPr lang="it-IT" sz="1400" b="0" i="1">
                              <a:latin typeface="Cambria Math" panose="02040503050406030204" pitchFamily="18" charset="0"/>
                            </a:rPr>
                            <m:t>𝑅</m:t>
                          </m:r>
                        </m:sub>
                        <m:sup>
                          <m:r>
                            <a:rPr lang="it-IT" sz="1400" b="0" i="1">
                              <a:latin typeface="Cambria Math" panose="02040503050406030204" pitchFamily="18" charset="0"/>
                            </a:rPr>
                            <m:t>𝑒𝑙</m:t>
                          </m:r>
                        </m:sup>
                      </m:sSubSup>
                    </m:den>
                  </m:f>
                  <m:r>
                    <a:rPr lang="it-IT" sz="1400" b="0" i="0" baseline="0">
                      <a:latin typeface="Cambria Math" panose="02040503050406030204" pitchFamily="18" charset="0"/>
                    </a:rPr>
                    <m:t> </m:t>
                  </m:r>
                </m:oMath>
              </a14:m>
              <a:endParaRPr lang="en-US" sz="1400" baseline="30000"/>
            </a:p>
          </xdr:txBody>
        </xdr:sp>
      </mc:Choice>
      <mc:Fallback xmlns="">
        <xdr:sp macro="" textlink="">
          <xdr:nvSpPr>
            <xdr:cNvPr id="51" name="TextBox 50">
              <a:extLst>
                <a:ext uri="{FF2B5EF4-FFF2-40B4-BE49-F238E27FC236}">
                  <a16:creationId xmlns:a16="http://schemas.microsoft.com/office/drawing/2014/main" id="{B01874EE-56C2-7CA8-9931-4BB4081F527F}"/>
                </a:ext>
              </a:extLst>
            </xdr:cNvPr>
            <xdr:cNvSpPr txBox="1"/>
          </xdr:nvSpPr>
          <xdr:spPr>
            <a:xfrm>
              <a:off x="885264" y="17019494"/>
              <a:ext cx="13897536" cy="41133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Quantum tunneling contributions can be accounted for in the estimation of reaction rate constants by incorporating corrections to classical transition state theory.</a:t>
              </a:r>
            </a:p>
            <a:p>
              <a:r>
                <a:rPr lang="en-US" sz="1600"/>
                <a:t>In TST, reaction rates are primarily determined by the </a:t>
              </a:r>
              <a:r>
                <a:rPr lang="en-US" sz="1600" b="1"/>
                <a:t>activation energy barrier </a:t>
              </a:r>
              <a:r>
                <a:rPr lang="en-US" sz="1600"/>
                <a:t>between reactants and products. However, quantum tunneling allows particles</a:t>
              </a:r>
              <a:r>
                <a:rPr lang="en-US" sz="1600" baseline="0"/>
                <a:t> </a:t>
              </a:r>
              <a:r>
                <a:rPr lang="en-US" sz="1600"/>
                <a:t>to penetrate the energy barrier even if they don't have sufficient thermal energy.</a:t>
              </a:r>
              <a:r>
                <a:rPr lang="en-US" sz="1600" baseline="0"/>
                <a:t> This is especially true if:</a:t>
              </a:r>
            </a:p>
            <a:p>
              <a:r>
                <a:rPr lang="en-US" sz="1600" b="1" baseline="0"/>
                <a:t>1. </a:t>
              </a:r>
              <a:r>
                <a:rPr lang="en-US" sz="1600" b="0" baseline="0"/>
                <a:t>R</a:t>
              </a:r>
              <a:r>
                <a:rPr lang="en-US" sz="1600" baseline="0"/>
                <a:t>eacting systems (the portition in realtive motion) are composed primarly by </a:t>
              </a:r>
              <a:r>
                <a:rPr lang="en-US" sz="1600" b="1" baseline="0"/>
                <a:t>ligher particles, lile hydrogen</a:t>
              </a:r>
              <a:r>
                <a:rPr lang="en-US" sz="1600" b="0" baseline="0"/>
                <a:t>.</a:t>
              </a:r>
            </a:p>
            <a:p>
              <a:r>
                <a:rPr lang="en-US" sz="1600" b="1"/>
                <a:t>2.</a:t>
              </a:r>
              <a:r>
                <a:rPr lang="en-US" sz="1600" b="1" baseline="0"/>
                <a:t> </a:t>
              </a:r>
              <a:r>
                <a:rPr lang="en-US" sz="1600" b="0" baseline="0"/>
                <a:t>The </a:t>
              </a:r>
              <a:r>
                <a:rPr lang="en-US" sz="1600" b="1" baseline="0"/>
                <a:t>extension of the energy barrier is small.</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Both can be easily shown by solving the Scrhodinger equation over a potential barrier system, that in those cases the tunneling is favoured.</a:t>
              </a:r>
            </a:p>
            <a:p>
              <a:pPr marL="0" marR="0" lvl="0" indent="0" defTabSz="914400" eaLnBrk="1" fontAlgn="auto" latinLnBrk="0" hangingPunct="1">
                <a:lnSpc>
                  <a:spcPct val="100000"/>
                </a:lnSpc>
                <a:spcBef>
                  <a:spcPts val="0"/>
                </a:spcBef>
                <a:spcAft>
                  <a:spcPts val="0"/>
                </a:spcAft>
                <a:buClrTx/>
                <a:buSzTx/>
                <a:buFontTx/>
                <a:buNone/>
                <a:tabLst/>
                <a:defRPr/>
              </a:pPr>
              <a:r>
                <a:rPr lang="en-US" sz="1600" b="0" baseline="0"/>
                <a:t>Particularly for the second case, the first indication of the possibility of quantum effects is the immaginary frequency at the transition state.</a:t>
              </a:r>
              <a:endParaRPr lang="en-US" sz="1600" b="1"/>
            </a:p>
            <a:p>
              <a:endParaRPr lang="en-US" sz="1600"/>
            </a:p>
            <a:p>
              <a:r>
                <a:rPr lang="en-US" sz="1600"/>
                <a:t>To account for these</a:t>
              </a:r>
              <a:r>
                <a:rPr lang="en-US" sz="1600" baseline="0"/>
                <a:t> effects</a:t>
              </a:r>
              <a:r>
                <a:rPr lang="en-US" sz="1600"/>
                <a:t>, corrections such as the </a:t>
              </a:r>
              <a:r>
                <a:rPr lang="en-US" sz="1600" b="1"/>
                <a:t>Wigner tunneling correction</a:t>
              </a:r>
              <a:r>
                <a:rPr lang="en-US" sz="1600"/>
                <a:t> or more advanced </a:t>
              </a:r>
              <a:r>
                <a:rPr lang="en-US" sz="1600" b="1"/>
                <a:t>Eckart tunneling correction</a:t>
              </a:r>
              <a:r>
                <a:rPr lang="en-US" sz="1600"/>
                <a:t> can be applied to the rate constants. These corrections modify the classical rate by introducing a tunneling factor (partition function) based on the shape of the potential energy barrier and the masses of the reacting particles, refining the estimate of the reaction rate using molecular partition functions</a:t>
              </a:r>
              <a:r>
                <a:rPr lang="en-US" sz="1600" baseline="0"/>
                <a:t>. In general, those bring about an increase for the reaction rate, so that Q</a:t>
              </a:r>
              <a:r>
                <a:rPr lang="en-US" sz="1600" baseline="30000"/>
                <a:t> tunnel </a:t>
              </a:r>
              <a:r>
                <a:rPr lang="en-US" sz="1600" baseline="0"/>
                <a:t>are defined as &gt; 1.</a:t>
              </a:r>
            </a:p>
            <a:p>
              <a:endParaRPr lang="en-US" sz="1600" baseline="0"/>
            </a:p>
            <a:p>
              <a:pPr marL="0" marR="0" indent="0" defTabSz="914400" eaLnBrk="1" fontAlgn="auto" latinLnBrk="0" hangingPunct="1">
                <a:lnSpc>
                  <a:spcPct val="100000"/>
                </a:lnSpc>
                <a:spcBef>
                  <a:spcPts val="0"/>
                </a:spcBef>
                <a:spcAft>
                  <a:spcPts val="0"/>
                </a:spcAft>
                <a:buClrTx/>
                <a:buSzTx/>
                <a:buFontTx/>
                <a:buNone/>
                <a:tabLst/>
                <a:defRPr/>
              </a:pPr>
              <a:r>
                <a:rPr lang="en-US" sz="1600" baseline="0"/>
                <a:t>For example, Wigner-Shavitt factor is </a:t>
              </a:r>
              <a:r>
                <a:rPr lang="it-IT" sz="1400" b="0" i="0" baseline="0">
                  <a:latin typeface="Cambria Math" panose="02040503050406030204" pitchFamily="18" charset="0"/>
                </a:rPr>
                <a:t>𝑄</a:t>
              </a:r>
              <a:r>
                <a:rPr lang="en-US" sz="1400" b="0" i="0" baseline="0">
                  <a:latin typeface="Cambria Math" panose="02040503050406030204" pitchFamily="18" charset="0"/>
                </a:rPr>
                <a:t>_</a:t>
              </a:r>
              <a:r>
                <a:rPr lang="it-IT" sz="1400" b="0" i="0" baseline="0">
                  <a:latin typeface="Cambria Math" panose="02040503050406030204" pitchFamily="18" charset="0"/>
                </a:rPr>
                <a:t>𝑡𝑢𝑛𝑛𝑒𝑙=1−1/24 (ℎ</a:t>
              </a:r>
              <a:r>
                <a:rPr lang="it-IT" sz="1400" b="0" i="0" baseline="0">
                  <a:latin typeface="Cambria Math" panose="02040503050406030204" pitchFamily="18" charset="0"/>
                  <a:ea typeface="Cambria Math" panose="02040503050406030204" pitchFamily="18" charset="0"/>
                </a:rPr>
                <a:t>𝜈/(</a:t>
              </a:r>
              <a:r>
                <a:rPr lang="it-IT" sz="1400" b="0" i="0" baseline="0">
                  <a:latin typeface="Cambria Math" panose="02040503050406030204" pitchFamily="18" charset="0"/>
                </a:rPr>
                <a:t>𝑘_𝑏 𝑇))(1+(𝑘_𝑏 𝑇)/𝐸_𝑎 )   , </a:t>
              </a:r>
              <a:r>
                <a:rPr lang="it-IT" sz="1400" b="0" i="0">
                  <a:latin typeface="Cambria Math" panose="02040503050406030204" pitchFamily="18" charset="0"/>
                </a:rPr>
                <a:t>𝑘</a:t>
              </a:r>
              <a:r>
                <a:rPr lang="en-US" sz="1400" b="0" i="0">
                  <a:latin typeface="Cambria Math" panose="02040503050406030204" pitchFamily="18" charset="0"/>
                </a:rPr>
                <a:t>_</a:t>
              </a:r>
              <a:r>
                <a:rPr lang="it-IT" sz="1400" b="0" i="0">
                  <a:latin typeface="Cambria Math" panose="02040503050406030204" pitchFamily="18" charset="0"/>
                </a:rPr>
                <a:t>𝑐=(𝑘_𝑏 𝑇)/ℎ</a:t>
              </a:r>
              <a:r>
                <a:rPr lang="en-US" sz="1400" b="0" i="0" baseline="0">
                  <a:latin typeface="Cambria Math" panose="02040503050406030204" pitchFamily="18" charset="0"/>
                </a:rPr>
                <a:t> </a:t>
              </a:r>
              <a:r>
                <a:rPr lang="it-IT" sz="1400" b="0" i="0" baseline="0">
                  <a:latin typeface="Cambria Math" panose="02040503050406030204" pitchFamily="18" charset="0"/>
                </a:rPr>
                <a:t>𝑄</a:t>
              </a:r>
              <a:r>
                <a:rPr lang="en-US" sz="1400" b="0" i="0" baseline="0">
                  <a:latin typeface="Cambria Math" panose="02040503050406030204" pitchFamily="18" charset="0"/>
                </a:rPr>
                <a:t>_</a:t>
              </a:r>
              <a:r>
                <a:rPr lang="it-IT" sz="1400" b="0" i="0" baseline="0">
                  <a:latin typeface="Cambria Math" panose="02040503050406030204" pitchFamily="18" charset="0"/>
                </a:rPr>
                <a:t>𝑡𝑢𝑛𝑛𝑒𝑙 </a:t>
              </a:r>
              <a:r>
                <a:rPr lang="it-IT" sz="1400" b="0" i="0">
                  <a:latin typeface="Cambria Math" panose="02040503050406030204" pitchFamily="18" charset="0"/>
                </a:rPr>
                <a:t> (𝑄_</a:t>
              </a:r>
              <a:r>
                <a:rPr lang="it-IT" sz="1400" b="0" i="0">
                  <a:latin typeface="Cambria Math" panose="02040503050406030204" pitchFamily="18" charset="0"/>
                  <a:ea typeface="Cambria Math" panose="02040503050406030204" pitchFamily="18" charset="0"/>
                </a:rPr>
                <a:t>≠^</a:t>
              </a:r>
              <a:r>
                <a:rPr lang="it-IT" sz="1400" b="0" i="0">
                  <a:latin typeface="Cambria Math" panose="02040503050406030204" pitchFamily="18" charset="0"/>
                </a:rPr>
                <a:t>𝑡𝑟𝑎𝑠𝑙  𝑄_</a:t>
              </a:r>
              <a:r>
                <a:rPr lang="it-IT" sz="1400" b="0" i="0">
                  <a:latin typeface="Cambria Math" panose="02040503050406030204" pitchFamily="18" charset="0"/>
                  <a:ea typeface="Cambria Math" panose="02040503050406030204" pitchFamily="18" charset="0"/>
                </a:rPr>
                <a:t>≠^𝑟𝑜𝑡 </a:t>
              </a:r>
              <a:r>
                <a:rPr lang="it-IT" sz="1400" b="0" i="0">
                  <a:latin typeface="Cambria Math" panose="02040503050406030204" pitchFamily="18" charset="0"/>
                </a:rPr>
                <a:t> 𝑄_</a:t>
              </a:r>
              <a:r>
                <a:rPr lang="it-IT" sz="1400" b="0" i="0">
                  <a:latin typeface="Cambria Math" panose="02040503050406030204" pitchFamily="18" charset="0"/>
                  <a:ea typeface="Cambria Math" panose="02040503050406030204" pitchFamily="18" charset="0"/>
                </a:rPr>
                <a:t>≠^(𝑣𝑖𝑏(𝜐=0)) </a:t>
              </a:r>
              <a:r>
                <a:rPr lang="it-IT" sz="1400" b="0" i="0">
                  <a:latin typeface="Cambria Math" panose="02040503050406030204" pitchFamily="18" charset="0"/>
                </a:rPr>
                <a:t>𝑔_</a:t>
              </a:r>
              <a:r>
                <a:rPr lang="it-IT" sz="1400" b="0" i="0">
                  <a:latin typeface="Cambria Math" panose="02040503050406030204" pitchFamily="18" charset="0"/>
                  <a:ea typeface="Cambria Math" panose="02040503050406030204" pitchFamily="18" charset="0"/>
                </a:rPr>
                <a:t>≠^</a:t>
              </a:r>
              <a:r>
                <a:rPr lang="it-IT" sz="1400" b="0" i="0">
                  <a:latin typeface="Cambria Math" panose="02040503050406030204" pitchFamily="18" charset="0"/>
                </a:rPr>
                <a:t>𝑒𝑙 exp⁡(−𝐸_𝑎∕〖𝑘_𝑏 𝑇〗))/(𝑄_𝑅^𝑡𝑟𝑎𝑠𝑙  𝑄_𝑅^</a:t>
              </a:r>
              <a:r>
                <a:rPr lang="it-IT" sz="1400" b="0" i="0">
                  <a:latin typeface="Cambria Math" panose="02040503050406030204" pitchFamily="18" charset="0"/>
                  <a:ea typeface="Cambria Math" panose="02040503050406030204" pitchFamily="18" charset="0"/>
                </a:rPr>
                <a:t>𝑟𝑜𝑡 </a:t>
              </a:r>
              <a:r>
                <a:rPr lang="it-IT" sz="1400" b="0" i="0">
                  <a:latin typeface="Cambria Math" panose="02040503050406030204" pitchFamily="18" charset="0"/>
                </a:rPr>
                <a:t> 𝑄_𝑅^(</a:t>
              </a:r>
              <a:r>
                <a:rPr lang="it-IT" sz="1400" b="0" i="0">
                  <a:latin typeface="Cambria Math" panose="02040503050406030204" pitchFamily="18" charset="0"/>
                  <a:ea typeface="Cambria Math" panose="02040503050406030204" pitchFamily="18" charset="0"/>
                </a:rPr>
                <a:t>𝑣𝑖𝑏(𝜐=0)) </a:t>
              </a:r>
              <a:r>
                <a:rPr lang="it-IT" sz="1400" b="0" i="0">
                  <a:latin typeface="Cambria Math" panose="02040503050406030204" pitchFamily="18" charset="0"/>
                </a:rPr>
                <a:t>𝑔_𝑅^𝑒𝑙 )</a:t>
              </a:r>
              <a:r>
                <a:rPr lang="it-IT" sz="1400" b="0" i="0" baseline="0">
                  <a:latin typeface="Cambria Math" panose="02040503050406030204" pitchFamily="18" charset="0"/>
                </a:rPr>
                <a:t>  </a:t>
              </a:r>
              <a:endParaRPr lang="en-US" sz="1400" baseline="30000"/>
            </a:p>
          </xdr:txBody>
        </xdr:sp>
      </mc:Fallback>
    </mc:AlternateContent>
    <xdr:clientData/>
  </xdr:twoCellAnchor>
  <xdr:twoCellAnchor>
    <xdr:from>
      <xdr:col>11</xdr:col>
      <xdr:colOff>626534</xdr:colOff>
      <xdr:row>101</xdr:row>
      <xdr:rowOff>118534</xdr:rowOff>
    </xdr:from>
    <xdr:to>
      <xdr:col>17</xdr:col>
      <xdr:colOff>1233716</xdr:colOff>
      <xdr:row>116</xdr:row>
      <xdr:rowOff>39008</xdr:rowOff>
    </xdr:to>
    <xdr:graphicFrame macro="">
      <xdr:nvGraphicFramePr>
        <xdr:cNvPr id="52" name="Chart 51">
          <a:extLst>
            <a:ext uri="{FF2B5EF4-FFF2-40B4-BE49-F238E27FC236}">
              <a16:creationId xmlns:a16="http://schemas.microsoft.com/office/drawing/2014/main" id="{33B9DE1E-5B10-B946-AF33-7D64EDECEB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660400</xdr:colOff>
      <xdr:row>117</xdr:row>
      <xdr:rowOff>135467</xdr:rowOff>
    </xdr:from>
    <xdr:to>
      <xdr:col>17</xdr:col>
      <xdr:colOff>1273291</xdr:colOff>
      <xdr:row>132</xdr:row>
      <xdr:rowOff>123674</xdr:rowOff>
    </xdr:to>
    <xdr:graphicFrame macro="">
      <xdr:nvGraphicFramePr>
        <xdr:cNvPr id="53" name="Chart 52">
          <a:extLst>
            <a:ext uri="{FF2B5EF4-FFF2-40B4-BE49-F238E27FC236}">
              <a16:creationId xmlns:a16="http://schemas.microsoft.com/office/drawing/2014/main" id="{4036B934-BAD1-DE4C-91B1-075F0BCAD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1200728</xdr:colOff>
      <xdr:row>37</xdr:row>
      <xdr:rowOff>127001</xdr:rowOff>
    </xdr:from>
    <xdr:to>
      <xdr:col>21</xdr:col>
      <xdr:colOff>311728</xdr:colOff>
      <xdr:row>38</xdr:row>
      <xdr:rowOff>127000</xdr:rowOff>
    </xdr:to>
    <xdr:sp macro="" textlink="">
      <xdr:nvSpPr>
        <xdr:cNvPr id="2" name="TextBox 1">
          <a:extLst>
            <a:ext uri="{FF2B5EF4-FFF2-40B4-BE49-F238E27FC236}">
              <a16:creationId xmlns:a16="http://schemas.microsoft.com/office/drawing/2014/main" id="{98590301-776E-D540-20C4-1437A559E9BA}"/>
            </a:ext>
          </a:extLst>
        </xdr:cNvPr>
        <xdr:cNvSpPr txBox="1"/>
      </xdr:nvSpPr>
      <xdr:spPr>
        <a:xfrm>
          <a:off x="18415001" y="8139546"/>
          <a:ext cx="3913909" cy="2078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https://kinetics.nist.gov/kinetics/Detail?id=1986TSA/HAM1087:24</a:t>
          </a:r>
        </a:p>
      </xdr:txBody>
    </xdr:sp>
    <xdr:clientData/>
  </xdr:twoCellAnchor>
  <xdr:twoCellAnchor>
    <xdr:from>
      <xdr:col>17</xdr:col>
      <xdr:colOff>1422401</xdr:colOff>
      <xdr:row>75</xdr:row>
      <xdr:rowOff>13855</xdr:rowOff>
    </xdr:from>
    <xdr:to>
      <xdr:col>21</xdr:col>
      <xdr:colOff>533401</xdr:colOff>
      <xdr:row>76</xdr:row>
      <xdr:rowOff>13855</xdr:rowOff>
    </xdr:to>
    <xdr:sp macro="" textlink="">
      <xdr:nvSpPr>
        <xdr:cNvPr id="4" name="TextBox 3">
          <a:extLst>
            <a:ext uri="{FF2B5EF4-FFF2-40B4-BE49-F238E27FC236}">
              <a16:creationId xmlns:a16="http://schemas.microsoft.com/office/drawing/2014/main" id="{3873238D-1862-E64D-910F-CB47B51FB646}"/>
            </a:ext>
          </a:extLst>
        </xdr:cNvPr>
        <xdr:cNvSpPr txBox="1"/>
      </xdr:nvSpPr>
      <xdr:spPr>
        <a:xfrm>
          <a:off x="18636674" y="16235219"/>
          <a:ext cx="3913909" cy="2078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https://kinetics.nist.gov/kinetics/Detail?id=1986TSA/HAM1087:94</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edoardocabiati/Desktop/Cose_brutte_PoliMI/V_anno/II_semestre/Molecular_Modeling_for_Process_Engineering/MMfP/Project5/Project5.xlsx" TargetMode="External"/><Relationship Id="rId1" Type="http://schemas.openxmlformats.org/officeDocument/2006/relationships/externalLinkPath" Target="/Users/edoardocabiati/Desktop/Cose_brutte_PoliMI/V_anno/II_semestre/Molecular_Modeling_for_Process_Engineering/MMfP/Project5/Project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4"/>
      <sheetName val="H"/>
      <sheetName val="CH3"/>
      <sheetName val="Keq"/>
    </sheetNames>
    <sheetDataSet>
      <sheetData sheetId="0"/>
      <sheetData sheetId="1"/>
      <sheetData sheetId="2">
        <row r="102">
          <cell r="U102">
            <v>298.14999999999998</v>
          </cell>
          <cell r="Z102">
            <v>4.0102420045868308E-6</v>
          </cell>
        </row>
        <row r="103">
          <cell r="U103">
            <v>300</v>
          </cell>
          <cell r="Z103">
            <v>5.0023103638718323E-6</v>
          </cell>
        </row>
        <row r="104">
          <cell r="U104">
            <v>400</v>
          </cell>
          <cell r="Z104">
            <v>4.4427768877759413E-2</v>
          </cell>
        </row>
        <row r="105">
          <cell r="U105">
            <v>500</v>
          </cell>
          <cell r="Z105">
            <v>13.423631185476241</v>
          </cell>
        </row>
        <row r="106">
          <cell r="U106">
            <v>600</v>
          </cell>
          <cell r="Z106">
            <v>725.20635571074808</v>
          </cell>
        </row>
        <row r="107">
          <cell r="U107">
            <v>700</v>
          </cell>
          <cell r="Z107">
            <v>14388.831842912245</v>
          </cell>
        </row>
        <row r="108">
          <cell r="U108">
            <v>800</v>
          </cell>
          <cell r="Z108">
            <v>150907.32802266433</v>
          </cell>
        </row>
        <row r="109">
          <cell r="U109">
            <v>900</v>
          </cell>
          <cell r="Z109">
            <v>1026621.6350634171</v>
          </cell>
        </row>
        <row r="110">
          <cell r="U110">
            <v>1000</v>
          </cell>
          <cell r="Z110">
            <v>5129514.1396994386</v>
          </cell>
        </row>
        <row r="111">
          <cell r="U111">
            <v>1100</v>
          </cell>
          <cell r="Z111">
            <v>20390066.526725184</v>
          </cell>
        </row>
        <row r="112">
          <cell r="U112">
            <v>1200</v>
          </cell>
          <cell r="Z112">
            <v>68048965.630663425</v>
          </cell>
        </row>
        <row r="113">
          <cell r="U113">
            <v>1300</v>
          </cell>
          <cell r="Z113">
            <v>197987375.19490969</v>
          </cell>
        </row>
        <row r="114">
          <cell r="U114">
            <v>1400</v>
          </cell>
          <cell r="Z114">
            <v>516015674.90561867</v>
          </cell>
        </row>
        <row r="115">
          <cell r="U115">
            <v>1500</v>
          </cell>
          <cell r="Z115">
            <v>1229233714.166389</v>
          </cell>
        </row>
        <row r="116">
          <cell r="U116">
            <v>1600</v>
          </cell>
          <cell r="Z116">
            <v>2717511995.3463597</v>
          </cell>
        </row>
        <row r="117">
          <cell r="U117">
            <v>1700</v>
          </cell>
          <cell r="Z117">
            <v>5641429587.1678038</v>
          </cell>
        </row>
        <row r="118">
          <cell r="U118">
            <v>1800</v>
          </cell>
          <cell r="Z118">
            <v>11099670351.951281</v>
          </cell>
        </row>
        <row r="119">
          <cell r="U119">
            <v>1900</v>
          </cell>
          <cell r="Z119">
            <v>20851952797.502457</v>
          </cell>
        </row>
        <row r="120">
          <cell r="U120">
            <v>2000</v>
          </cell>
          <cell r="Z120">
            <v>37627078707.740967</v>
          </cell>
        </row>
      </sheetData>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0BBB6-95DE-0641-ABA1-A4EF37405EF0}">
  <dimension ref="A3:AM280"/>
  <sheetViews>
    <sheetView topLeftCell="E49" zoomScale="144" zoomScaleNormal="144" workbookViewId="0">
      <selection activeCell="G69" sqref="G69"/>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1.33203125" customWidth="1"/>
    <col min="9" max="9" width="10.83203125" customWidth="1"/>
    <col min="10" max="10" width="14.6640625" customWidth="1"/>
    <col min="11" max="11" width="14.33203125" customWidth="1"/>
    <col min="12" max="12" width="14.1640625" customWidth="1"/>
    <col min="13" max="13" width="16" customWidth="1"/>
    <col min="14" max="14" width="17.5" customWidth="1"/>
    <col min="15" max="15" width="14.1640625" customWidth="1"/>
    <col min="16" max="16" width="24" customWidth="1"/>
    <col min="17" max="17" width="21" customWidth="1"/>
    <col min="18" max="18" width="20" customWidth="1"/>
    <col min="19" max="19" width="14.6640625" customWidth="1"/>
    <col min="26" max="26" width="20.5" customWidth="1"/>
    <col min="27" max="27" width="17.5" customWidth="1"/>
    <col min="28" max="29" width="17.6640625" customWidth="1"/>
    <col min="30" max="30" width="17" customWidth="1"/>
    <col min="31" max="31" width="19" customWidth="1"/>
    <col min="35" max="36" width="15.83203125" customWidth="1"/>
    <col min="37" max="37" width="18.16406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14">
        <v>1</v>
      </c>
      <c r="F7" s="315">
        <v>27.210699999999999</v>
      </c>
      <c r="G7" s="315">
        <v>219474.63</v>
      </c>
      <c r="H7" s="315">
        <v>627.50300000000004</v>
      </c>
      <c r="I7" s="315">
        <v>2625.5</v>
      </c>
      <c r="J7" s="315">
        <v>315777</v>
      </c>
      <c r="K7" s="315">
        <v>4.3599999999999999E-18</v>
      </c>
      <c r="L7" s="316">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17">
        <v>3.6750199999999997E-2</v>
      </c>
      <c r="F8" s="318">
        <v>1</v>
      </c>
      <c r="G8" s="318">
        <v>8065.73</v>
      </c>
      <c r="H8" s="318">
        <v>23.0609</v>
      </c>
      <c r="I8" s="318">
        <v>96.486900000000006</v>
      </c>
      <c r="J8" s="318">
        <v>11604.9</v>
      </c>
      <c r="K8" s="319">
        <v>1.5999999999999999E-19</v>
      </c>
      <c r="L8" s="320">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17">
        <v>4.5563300000000003E-6</v>
      </c>
      <c r="F9" s="318">
        <v>1.23981E-4</v>
      </c>
      <c r="G9" s="318">
        <v>1</v>
      </c>
      <c r="H9" s="318">
        <v>2.8590999999999998E-3</v>
      </c>
      <c r="I9" s="318">
        <v>1.1963E-2</v>
      </c>
      <c r="J9" s="318">
        <v>1.42879</v>
      </c>
      <c r="K9" s="318">
        <v>1.9863000000000001E-23</v>
      </c>
      <c r="L9" s="320">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17">
        <v>1.59362E-3</v>
      </c>
      <c r="F10" s="318">
        <v>4.3363400000000003E-2</v>
      </c>
      <c r="G10" s="318">
        <v>349.75700000000001</v>
      </c>
      <c r="H10" s="318">
        <v>1</v>
      </c>
      <c r="I10" s="318">
        <v>4.1840000000000002</v>
      </c>
      <c r="J10" s="318">
        <v>503.22800000000001</v>
      </c>
      <c r="K10" s="318">
        <v>6.9500000000000005E-21</v>
      </c>
      <c r="L10" s="320">
        <v>10485400000000</v>
      </c>
    </row>
    <row r="11" spans="1:22" ht="22" x14ac:dyDescent="0.3">
      <c r="A11" s="26" t="s">
        <v>25</v>
      </c>
      <c r="B11" s="48">
        <v>8.8541799999999997E-12</v>
      </c>
      <c r="D11" s="28" t="s">
        <v>10</v>
      </c>
      <c r="E11" s="317">
        <v>3.8088E-4</v>
      </c>
      <c r="F11" s="318">
        <v>1.0364099999999999E-2</v>
      </c>
      <c r="G11" s="318">
        <v>83.593000000000004</v>
      </c>
      <c r="H11" s="318">
        <v>0.23900099999999999</v>
      </c>
      <c r="I11" s="318">
        <v>1</v>
      </c>
      <c r="J11" s="318">
        <v>120.274</v>
      </c>
      <c r="K11" s="318">
        <v>1.6599999999999999E-21</v>
      </c>
      <c r="L11" s="320">
        <v>2506070000000</v>
      </c>
    </row>
    <row r="12" spans="1:22" ht="22" x14ac:dyDescent="0.3">
      <c r="A12" s="46" t="s">
        <v>26</v>
      </c>
      <c r="B12" s="47">
        <v>5.2917700000000002E-12</v>
      </c>
      <c r="D12" s="49" t="s">
        <v>11</v>
      </c>
      <c r="E12" s="317">
        <v>3.1667800000000002E-6</v>
      </c>
      <c r="F12" s="318">
        <v>8.6170500000000004E-5</v>
      </c>
      <c r="G12" s="318">
        <v>0.69502799999999998</v>
      </c>
      <c r="H12" s="318">
        <v>1.9872000000000002E-3</v>
      </c>
      <c r="I12" s="318">
        <v>8.3140000000000002E-3</v>
      </c>
      <c r="J12" s="318">
        <v>1</v>
      </c>
      <c r="K12" s="318">
        <v>1.38054E-23</v>
      </c>
      <c r="L12" s="320">
        <v>20836400000</v>
      </c>
    </row>
    <row r="13" spans="1:22" ht="19" x14ac:dyDescent="0.25">
      <c r="A13" s="26" t="s">
        <v>27</v>
      </c>
      <c r="B13" s="50">
        <f>298.15</f>
        <v>298.14999999999998</v>
      </c>
      <c r="D13" s="28" t="s">
        <v>12</v>
      </c>
      <c r="E13" s="317">
        <v>2.294E+17</v>
      </c>
      <c r="F13" s="318">
        <v>6.24181E+18</v>
      </c>
      <c r="G13" s="318">
        <v>5.0344500000000003E+22</v>
      </c>
      <c r="H13" s="318">
        <v>1.44E+20</v>
      </c>
      <c r="I13" s="318">
        <v>6.02E+20</v>
      </c>
      <c r="J13" s="318">
        <v>7.2435399999999999E+22</v>
      </c>
      <c r="K13" s="318">
        <v>1</v>
      </c>
      <c r="L13" s="320">
        <v>1.5093E+33</v>
      </c>
    </row>
    <row r="14" spans="1:22" ht="20" thickBot="1" x14ac:dyDescent="0.3">
      <c r="A14" s="26" t="s">
        <v>28</v>
      </c>
      <c r="B14" s="51">
        <v>6.626068E-34</v>
      </c>
      <c r="D14" s="52" t="s">
        <v>13</v>
      </c>
      <c r="E14" s="321">
        <v>1.5198300000000001E-16</v>
      </c>
      <c r="F14" s="322">
        <v>4.13558E-15</v>
      </c>
      <c r="G14" s="322">
        <v>3.3356499999999997E-11</v>
      </c>
      <c r="H14" s="322">
        <v>9.5370000000000002E-14</v>
      </c>
      <c r="I14" s="322"/>
      <c r="J14" s="322">
        <v>4.7993E-11</v>
      </c>
      <c r="K14" s="322">
        <v>6.62561E-34</v>
      </c>
      <c r="L14" s="323">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471" t="s">
        <v>32</v>
      </c>
      <c r="B18" s="471"/>
      <c r="C18" s="471"/>
      <c r="D18" s="471"/>
      <c r="E18" s="471"/>
      <c r="F18" s="471"/>
      <c r="G18" s="471"/>
      <c r="H18" s="471"/>
      <c r="I18" s="471"/>
      <c r="J18" s="471"/>
      <c r="K18" s="471"/>
      <c r="L18" s="471"/>
      <c r="M18" s="471"/>
      <c r="N18" s="471"/>
      <c r="O18" s="471"/>
      <c r="P18" s="471"/>
      <c r="Q18" s="471"/>
      <c r="R18" s="471"/>
      <c r="S18" s="471"/>
      <c r="T18" s="471"/>
      <c r="U18" s="471"/>
      <c r="V18" s="471"/>
    </row>
    <row r="19" spans="1:27" ht="17" thickTop="1" x14ac:dyDescent="0.2"/>
    <row r="20" spans="1:27" ht="17" thickBot="1" x14ac:dyDescent="0.25"/>
    <row r="21" spans="1:27" ht="20" thickBot="1" x14ac:dyDescent="0.3">
      <c r="A21" s="55" t="s">
        <v>33</v>
      </c>
      <c r="B21" s="56"/>
      <c r="C21" s="57" t="s">
        <v>34</v>
      </c>
      <c r="D21" s="58"/>
      <c r="E21" s="58"/>
      <c r="F21" s="59"/>
      <c r="G21" s="56"/>
      <c r="H21" s="55" t="s">
        <v>35</v>
      </c>
      <c r="I21" s="56"/>
      <c r="J21" s="56"/>
      <c r="M21" s="56"/>
      <c r="N21" s="56"/>
      <c r="O21" s="60" t="s">
        <v>36</v>
      </c>
      <c r="P21" s="58"/>
      <c r="Q21" s="58"/>
      <c r="R21" s="59"/>
      <c r="S21" s="56"/>
      <c r="T21" s="56"/>
      <c r="U21" s="56"/>
      <c r="V21" s="56"/>
      <c r="W21" s="56"/>
      <c r="X21" s="56"/>
      <c r="Y21" s="56"/>
      <c r="Z21" s="56"/>
      <c r="AA21" s="56"/>
    </row>
    <row r="22" spans="1:27" ht="20" thickBot="1" x14ac:dyDescent="0.3">
      <c r="A22" s="61">
        <v>298.14999999999998</v>
      </c>
      <c r="B22" s="56"/>
      <c r="C22" s="62"/>
      <c r="D22" s="63" t="s">
        <v>37</v>
      </c>
      <c r="E22" s="64" t="s">
        <v>38</v>
      </c>
      <c r="F22" s="65" t="s">
        <v>39</v>
      </c>
      <c r="G22" s="56"/>
      <c r="H22" s="66" t="s">
        <v>40</v>
      </c>
      <c r="I22" s="67" t="s">
        <v>9</v>
      </c>
      <c r="J22" s="67" t="s">
        <v>10</v>
      </c>
      <c r="K22" s="68" t="s">
        <v>7</v>
      </c>
      <c r="L22" s="69" t="s">
        <v>12</v>
      </c>
      <c r="M22" s="56"/>
      <c r="N22" s="56"/>
      <c r="O22" s="70"/>
      <c r="P22" s="71" t="s">
        <v>41</v>
      </c>
      <c r="Q22" s="72" t="s">
        <v>42</v>
      </c>
      <c r="R22" s="73" t="s">
        <v>43</v>
      </c>
      <c r="S22" s="56"/>
      <c r="T22" s="56"/>
      <c r="U22" s="56"/>
      <c r="V22" s="56"/>
      <c r="W22" s="56"/>
      <c r="X22" s="56"/>
      <c r="Y22" s="56"/>
      <c r="Z22" s="56"/>
      <c r="AA22" s="56"/>
    </row>
    <row r="23" spans="1:27" ht="22" thickBot="1" x14ac:dyDescent="0.3">
      <c r="A23" s="56"/>
      <c r="B23" s="56"/>
      <c r="C23" s="74" t="s">
        <v>44</v>
      </c>
      <c r="D23" s="75">
        <v>11.460050000000001</v>
      </c>
      <c r="E23" s="76">
        <v>11.46124</v>
      </c>
      <c r="F23" s="77">
        <v>11.46124</v>
      </c>
      <c r="G23" s="56"/>
      <c r="H23" s="78">
        <v>4.4782000000000002E-2</v>
      </c>
      <c r="I23" s="79">
        <f>H23*$H$7</f>
        <v>28.100839346000004</v>
      </c>
      <c r="J23" s="79">
        <f>H23*$I$7</f>
        <v>117.575141</v>
      </c>
      <c r="K23" s="80">
        <f>H23*$F$7</f>
        <v>1.2185495674</v>
      </c>
      <c r="L23" s="81">
        <f>H23*$K$7</f>
        <v>1.9524952E-19</v>
      </c>
      <c r="M23" s="56"/>
      <c r="N23" s="56"/>
      <c r="O23" s="82" t="s">
        <v>45</v>
      </c>
      <c r="P23" s="83">
        <v>29.901</v>
      </c>
      <c r="Q23" s="84">
        <v>6.4610000000000003</v>
      </c>
      <c r="R23" s="85">
        <v>47.235999999999997</v>
      </c>
      <c r="S23" s="56"/>
      <c r="T23" s="56"/>
      <c r="U23" s="56"/>
      <c r="V23" s="56"/>
      <c r="W23" s="56"/>
      <c r="X23" s="56"/>
      <c r="Y23" s="56"/>
      <c r="Z23" s="56"/>
      <c r="AA23" s="56"/>
    </row>
    <row r="24" spans="1:27" ht="22" thickBot="1" x14ac:dyDescent="0.3">
      <c r="A24" s="55" t="s">
        <v>46</v>
      </c>
      <c r="B24" s="56"/>
      <c r="C24" s="86" t="s">
        <v>47</v>
      </c>
      <c r="D24" s="246">
        <f>D23*$U$9</f>
        <v>1.9023682999999999E-26</v>
      </c>
      <c r="E24" s="223">
        <f t="shared" ref="E24:F24" si="0">E23*$U$9</f>
        <v>1.9025658399999998E-26</v>
      </c>
      <c r="F24" s="324">
        <f t="shared" si="0"/>
        <v>1.9025658399999998E-26</v>
      </c>
      <c r="G24" s="56"/>
      <c r="M24" s="56"/>
      <c r="N24" s="56"/>
      <c r="O24" s="88" t="s">
        <v>48</v>
      </c>
      <c r="P24" s="83">
        <v>0</v>
      </c>
      <c r="Q24" s="84">
        <v>0</v>
      </c>
      <c r="R24" s="85">
        <v>0</v>
      </c>
      <c r="S24" s="56"/>
      <c r="T24" s="56"/>
      <c r="U24" s="56"/>
      <c r="V24" s="56"/>
      <c r="W24" s="56"/>
      <c r="X24" s="56"/>
      <c r="Y24" s="56"/>
      <c r="Z24" s="56"/>
      <c r="AA24" s="56"/>
    </row>
    <row r="25" spans="1:27" ht="22" thickBot="1" x14ac:dyDescent="0.3">
      <c r="A25" s="61">
        <v>1</v>
      </c>
      <c r="B25" s="56"/>
      <c r="C25" s="89" t="s">
        <v>49</v>
      </c>
      <c r="D25" s="90">
        <f>D24*($Q$8)^2</f>
        <v>1.9023682999999999E-46</v>
      </c>
      <c r="E25" s="91">
        <f>E24*($Q$8)^2</f>
        <v>1.9025658400000001E-46</v>
      </c>
      <c r="F25" s="92">
        <f t="shared" ref="F25" si="1">F24*($Q$8)^2</f>
        <v>1.9025658400000001E-46</v>
      </c>
      <c r="G25" s="56"/>
      <c r="M25" s="56"/>
      <c r="N25" s="56"/>
      <c r="O25" s="88" t="s">
        <v>50</v>
      </c>
      <c r="P25" s="83">
        <v>0.88900000000000001</v>
      </c>
      <c r="Q25" s="84">
        <v>2.9809999999999999</v>
      </c>
      <c r="R25" s="85">
        <v>34.261000000000003</v>
      </c>
      <c r="S25" s="56"/>
      <c r="T25" s="56"/>
      <c r="U25" s="56"/>
      <c r="V25" s="56"/>
      <c r="W25" s="56"/>
      <c r="X25" s="56"/>
      <c r="Y25" s="56"/>
      <c r="Z25" s="56"/>
      <c r="AA25" s="56"/>
    </row>
    <row r="26" spans="1:27" ht="20" thickBot="1" x14ac:dyDescent="0.3">
      <c r="A26" s="56"/>
      <c r="B26" s="56"/>
      <c r="C26" s="56"/>
      <c r="D26" s="56"/>
      <c r="E26" s="56"/>
      <c r="F26" s="56"/>
      <c r="G26" s="56"/>
      <c r="H26" s="55" t="s">
        <v>51</v>
      </c>
      <c r="I26" s="56"/>
      <c r="J26" s="56"/>
      <c r="K26" s="56"/>
      <c r="M26" s="56"/>
      <c r="N26" s="56"/>
      <c r="O26" s="88" t="s">
        <v>52</v>
      </c>
      <c r="P26" s="83">
        <v>0.88900000000000001</v>
      </c>
      <c r="Q26" s="84">
        <v>2.9809999999999999</v>
      </c>
      <c r="R26" s="85">
        <v>12.89</v>
      </c>
      <c r="S26" s="56"/>
      <c r="T26" s="56"/>
      <c r="U26" s="56"/>
      <c r="V26" s="56"/>
      <c r="W26" s="56"/>
      <c r="X26" s="56"/>
      <c r="Y26" s="56"/>
      <c r="Z26" s="56"/>
      <c r="AA26" s="56"/>
    </row>
    <row r="27" spans="1:27" ht="20" thickBot="1" x14ac:dyDescent="0.3">
      <c r="A27" s="55" t="s">
        <v>53</v>
      </c>
      <c r="B27" s="56"/>
      <c r="C27" s="55" t="s">
        <v>54</v>
      </c>
      <c r="D27" s="56"/>
      <c r="E27" s="56"/>
      <c r="F27" s="56"/>
      <c r="G27" s="56"/>
      <c r="H27" s="66" t="s">
        <v>40</v>
      </c>
      <c r="I27" s="67" t="s">
        <v>9</v>
      </c>
      <c r="J27" s="67" t="s">
        <v>10</v>
      </c>
      <c r="K27" s="68" t="s">
        <v>7</v>
      </c>
      <c r="L27" s="69" t="s">
        <v>12</v>
      </c>
      <c r="M27" s="56"/>
      <c r="N27" s="56"/>
      <c r="O27" s="93" t="s">
        <v>55</v>
      </c>
      <c r="P27" s="94">
        <v>28.123000000000001</v>
      </c>
      <c r="Q27" s="95">
        <v>0.499</v>
      </c>
      <c r="R27" s="96">
        <v>8.5000000000000006E-2</v>
      </c>
      <c r="S27" s="56"/>
      <c r="T27" s="56"/>
      <c r="U27" s="56"/>
      <c r="V27" s="56"/>
      <c r="W27" s="56"/>
      <c r="X27" s="56"/>
      <c r="Y27" s="56"/>
      <c r="Z27" s="56"/>
      <c r="AA27" s="56"/>
    </row>
    <row r="28" spans="1:27" ht="20" thickBot="1" x14ac:dyDescent="0.3">
      <c r="A28" s="61">
        <v>16.031300000000002</v>
      </c>
      <c r="B28" s="56"/>
      <c r="C28" s="97" t="s">
        <v>37</v>
      </c>
      <c r="D28" s="98" t="s">
        <v>38</v>
      </c>
      <c r="E28" s="99" t="s">
        <v>39</v>
      </c>
      <c r="F28" s="56"/>
      <c r="G28" s="56"/>
      <c r="H28" s="100">
        <v>4.7649999999999998E-2</v>
      </c>
      <c r="I28" s="79">
        <f>H28*$H$7</f>
        <v>29.900517950000001</v>
      </c>
      <c r="J28" s="79">
        <f>H28*$I$7</f>
        <v>125.105075</v>
      </c>
      <c r="K28" s="101">
        <f>H28*$F$7</f>
        <v>1.2965898549999999</v>
      </c>
      <c r="L28" s="81">
        <f>H28*$K$7</f>
        <v>2.0775399999999998E-19</v>
      </c>
      <c r="M28" s="56"/>
      <c r="N28" s="56"/>
      <c r="O28" s="56"/>
      <c r="P28" s="56"/>
      <c r="Q28" s="56"/>
      <c r="R28" s="56"/>
      <c r="S28" s="56"/>
      <c r="T28" s="56"/>
      <c r="U28" s="56"/>
      <c r="V28" s="56"/>
      <c r="W28" s="56"/>
      <c r="X28" s="56"/>
      <c r="Y28" s="56"/>
      <c r="Z28" s="56"/>
      <c r="AA28" s="56"/>
    </row>
    <row r="29" spans="1:27" ht="20" thickBot="1" x14ac:dyDescent="0.3">
      <c r="A29" s="56"/>
      <c r="B29" s="56"/>
      <c r="C29" s="100">
        <v>7.5578900000000004</v>
      </c>
      <c r="D29" s="102">
        <v>7.5571000000000002</v>
      </c>
      <c r="E29" s="103">
        <v>7.5571000000000002</v>
      </c>
      <c r="F29" s="56"/>
      <c r="G29" s="56"/>
      <c r="L29" s="56"/>
      <c r="M29" s="56"/>
      <c r="N29" s="56"/>
      <c r="O29" s="56"/>
      <c r="P29" s="56"/>
      <c r="Q29" s="56"/>
      <c r="R29" s="56"/>
      <c r="S29" s="56"/>
      <c r="T29" s="56"/>
      <c r="U29" s="56"/>
      <c r="V29" s="56"/>
      <c r="W29" s="56"/>
      <c r="X29" s="56"/>
      <c r="Y29" s="56"/>
      <c r="Z29" s="56"/>
      <c r="AA29" s="56"/>
    </row>
    <row r="30" spans="1:27" ht="20" thickBot="1" x14ac:dyDescent="0.3">
      <c r="A30" s="55" t="s">
        <v>56</v>
      </c>
      <c r="B30" s="56"/>
      <c r="F30" s="56"/>
      <c r="G30" s="56"/>
      <c r="M30" s="56"/>
      <c r="O30" s="104" t="s">
        <v>57</v>
      </c>
      <c r="P30" s="105"/>
      <c r="Q30" s="105"/>
      <c r="R30" s="106"/>
      <c r="S30" s="56"/>
      <c r="T30" s="56"/>
      <c r="U30" s="56"/>
      <c r="V30" s="56"/>
      <c r="W30" s="56"/>
      <c r="X30" s="56"/>
      <c r="Y30" s="56"/>
      <c r="Z30" s="56"/>
      <c r="AA30" s="56"/>
    </row>
    <row r="31" spans="1:27" ht="20" thickBot="1" x14ac:dyDescent="0.3">
      <c r="A31" s="61">
        <v>3</v>
      </c>
      <c r="B31" s="56"/>
      <c r="C31" s="55" t="s">
        <v>58</v>
      </c>
      <c r="D31" s="56"/>
      <c r="E31" s="56"/>
      <c r="F31" s="56"/>
      <c r="G31" s="56"/>
      <c r="H31" s="55" t="s">
        <v>59</v>
      </c>
      <c r="I31" s="56"/>
      <c r="J31" s="56"/>
      <c r="K31" s="56"/>
      <c r="L31" s="56"/>
      <c r="M31" s="56"/>
      <c r="N31" s="56"/>
      <c r="O31" s="107"/>
      <c r="P31" s="108" t="s">
        <v>60</v>
      </c>
      <c r="Q31" s="109" t="s">
        <v>61</v>
      </c>
      <c r="R31" s="110" t="s">
        <v>62</v>
      </c>
      <c r="S31" s="56"/>
      <c r="T31" s="56"/>
      <c r="U31" s="56"/>
      <c r="V31" s="56"/>
      <c r="W31" s="56"/>
      <c r="X31" s="56"/>
      <c r="Y31" s="56"/>
      <c r="Z31" s="56"/>
      <c r="AA31" s="56"/>
    </row>
    <row r="32" spans="1:27" ht="20" thickBot="1" x14ac:dyDescent="0.3">
      <c r="A32" s="56"/>
      <c r="B32" s="56"/>
      <c r="C32" s="111" t="s">
        <v>37</v>
      </c>
      <c r="D32" s="111" t="s">
        <v>38</v>
      </c>
      <c r="E32" s="111" t="s">
        <v>39</v>
      </c>
      <c r="F32" s="56"/>
      <c r="G32" s="56"/>
      <c r="H32" s="66" t="s">
        <v>40</v>
      </c>
      <c r="I32" s="67" t="s">
        <v>9</v>
      </c>
      <c r="J32" s="67" t="s">
        <v>10</v>
      </c>
      <c r="K32" s="68" t="s">
        <v>7</v>
      </c>
      <c r="L32" s="69" t="s">
        <v>12</v>
      </c>
      <c r="M32" s="56"/>
      <c r="N32" s="56"/>
      <c r="O32" s="82" t="s">
        <v>48</v>
      </c>
      <c r="P32" s="112">
        <v>1</v>
      </c>
      <c r="Q32" s="113">
        <v>0</v>
      </c>
      <c r="R32" s="113">
        <v>0</v>
      </c>
      <c r="S32" s="56"/>
      <c r="T32" s="56"/>
      <c r="U32" s="56"/>
      <c r="V32" s="56"/>
      <c r="W32" s="56"/>
      <c r="X32" s="56"/>
      <c r="Y32" s="56"/>
      <c r="Z32" s="56"/>
      <c r="AA32" s="56"/>
    </row>
    <row r="33" spans="1:27" ht="20" thickBot="1" x14ac:dyDescent="0.3">
      <c r="A33" s="56"/>
      <c r="B33" s="56"/>
      <c r="C33" s="114">
        <v>157.48105000000001</v>
      </c>
      <c r="D33" s="115">
        <v>157.46467000000001</v>
      </c>
      <c r="E33" s="116">
        <v>157.46467000000001</v>
      </c>
      <c r="F33" s="56"/>
      <c r="G33" s="56"/>
      <c r="H33" s="100">
        <v>4.8593999999999998E-2</v>
      </c>
      <c r="I33" s="79">
        <f>H33*$H$7</f>
        <v>30.492880782</v>
      </c>
      <c r="J33" s="79">
        <f>H33*$I$7</f>
        <v>127.583547</v>
      </c>
      <c r="K33" s="101">
        <f>H33*$F$7</f>
        <v>1.3222767557999999</v>
      </c>
      <c r="L33" s="81">
        <f>H33*$K$7</f>
        <v>2.1186983999999999E-19</v>
      </c>
      <c r="M33" s="56"/>
      <c r="N33" s="56"/>
      <c r="O33" s="88" t="s">
        <v>50</v>
      </c>
      <c r="P33" s="83">
        <v>2522950</v>
      </c>
      <c r="Q33" s="84">
        <v>6.4019079999999997</v>
      </c>
      <c r="R33" s="84">
        <v>14.740938999999999</v>
      </c>
      <c r="S33" s="56"/>
      <c r="T33" s="56"/>
      <c r="U33" s="56"/>
      <c r="V33" s="56"/>
      <c r="W33" s="56"/>
      <c r="X33" s="56"/>
      <c r="Y33" s="56"/>
      <c r="Z33" s="56"/>
      <c r="AA33" s="56"/>
    </row>
    <row r="34" spans="1:27" ht="19" x14ac:dyDescent="0.25">
      <c r="A34" s="56"/>
      <c r="B34" s="56"/>
      <c r="E34" s="56"/>
      <c r="F34" s="56"/>
      <c r="G34" s="56"/>
      <c r="M34" s="56"/>
      <c r="N34" s="56"/>
      <c r="O34" s="88" t="s">
        <v>52</v>
      </c>
      <c r="P34" s="83">
        <v>146.40299999999999</v>
      </c>
      <c r="Q34" s="84">
        <v>2.1655500000000001</v>
      </c>
      <c r="R34" s="84">
        <v>4.986364</v>
      </c>
      <c r="S34" s="56"/>
      <c r="T34" s="56"/>
      <c r="U34" s="56"/>
      <c r="V34" s="56"/>
      <c r="W34" s="56"/>
      <c r="X34" s="56"/>
      <c r="Y34" s="56"/>
      <c r="Z34" s="56"/>
      <c r="AA34" s="56"/>
    </row>
    <row r="35" spans="1:27" ht="19" x14ac:dyDescent="0.25">
      <c r="A35" s="56"/>
      <c r="B35" s="56"/>
      <c r="E35" s="56"/>
      <c r="F35" s="56"/>
      <c r="H35" s="56"/>
      <c r="I35" s="56"/>
      <c r="J35" s="56"/>
      <c r="K35" s="56"/>
      <c r="L35" s="56"/>
      <c r="M35" s="56"/>
      <c r="N35" s="56"/>
      <c r="O35" s="88" t="s">
        <v>63</v>
      </c>
      <c r="P35" s="83">
        <v>9.3664799999999991E-13</v>
      </c>
      <c r="Q35" s="84">
        <v>-12.028423999999999</v>
      </c>
      <c r="R35" s="84">
        <v>-27.696469</v>
      </c>
      <c r="S35" s="56"/>
      <c r="T35" s="56"/>
      <c r="U35" s="56"/>
      <c r="V35" s="56"/>
      <c r="W35" s="56"/>
      <c r="X35" s="56"/>
      <c r="Y35" s="56"/>
      <c r="Z35" s="56"/>
      <c r="AA35" s="56"/>
    </row>
    <row r="36" spans="1:27" ht="20" thickBot="1" x14ac:dyDescent="0.3">
      <c r="A36" s="56"/>
      <c r="B36" s="56"/>
      <c r="C36" s="55" t="s">
        <v>64</v>
      </c>
      <c r="D36" s="56"/>
      <c r="E36" s="56"/>
      <c r="F36" s="56"/>
      <c r="H36" s="55" t="s">
        <v>65</v>
      </c>
      <c r="I36" s="56"/>
      <c r="J36" s="56"/>
      <c r="K36" s="56"/>
      <c r="L36" s="56"/>
      <c r="M36" s="56"/>
      <c r="N36" s="56"/>
      <c r="O36" s="88" t="s">
        <v>66</v>
      </c>
      <c r="P36" s="83">
        <v>371427000</v>
      </c>
      <c r="Q36" s="84">
        <v>8.5698729999999994</v>
      </c>
      <c r="R36" s="84">
        <v>19.732862999999998</v>
      </c>
      <c r="S36" s="56"/>
      <c r="T36" s="56"/>
      <c r="U36" s="56"/>
      <c r="V36" s="56"/>
      <c r="W36" s="56"/>
      <c r="X36" s="56"/>
      <c r="Y36" s="56"/>
      <c r="Z36" s="56"/>
      <c r="AA36" s="56"/>
    </row>
    <row r="37" spans="1:27" ht="20" thickBot="1" x14ac:dyDescent="0.3">
      <c r="A37" s="56"/>
      <c r="B37" s="56"/>
      <c r="C37" s="117" t="s">
        <v>67</v>
      </c>
      <c r="D37" s="118">
        <v>117575.4</v>
      </c>
      <c r="E37" s="56"/>
      <c r="F37" s="56"/>
      <c r="H37" s="66" t="s">
        <v>40</v>
      </c>
      <c r="I37" s="67" t="s">
        <v>9</v>
      </c>
      <c r="J37" s="67" t="s">
        <v>10</v>
      </c>
      <c r="K37" s="69" t="s">
        <v>7</v>
      </c>
      <c r="L37" s="69" t="s">
        <v>12</v>
      </c>
      <c r="M37" s="56"/>
      <c r="N37" s="56"/>
      <c r="O37" s="88" t="s">
        <v>68</v>
      </c>
      <c r="P37" s="83">
        <v>2.5358200000000001E-21</v>
      </c>
      <c r="Q37" s="84">
        <v>-20.595882</v>
      </c>
      <c r="R37" s="84">
        <v>-47.423771000000002</v>
      </c>
      <c r="S37" s="56"/>
      <c r="T37" s="56"/>
      <c r="U37" s="56"/>
      <c r="V37" s="56"/>
      <c r="W37" s="56"/>
      <c r="X37" s="56"/>
      <c r="Y37" s="56"/>
      <c r="Z37" s="56"/>
      <c r="AA37" s="56"/>
    </row>
    <row r="38" spans="1:27" ht="20" thickBot="1" x14ac:dyDescent="0.3">
      <c r="A38" s="56"/>
      <c r="B38" s="56"/>
      <c r="C38" s="119" t="s">
        <v>69</v>
      </c>
      <c r="D38" s="120">
        <v>28.101199999999999</v>
      </c>
      <c r="E38" s="56"/>
      <c r="F38" s="56"/>
      <c r="H38" s="100">
        <v>2.6151000000000001E-2</v>
      </c>
      <c r="I38" s="79">
        <f>H38*$H$7</f>
        <v>16.409830953</v>
      </c>
      <c r="J38" s="79">
        <f>H38*$I$7</f>
        <v>68.659450500000005</v>
      </c>
      <c r="K38" s="101">
        <f>H38*$F$7</f>
        <v>0.71158701570000005</v>
      </c>
      <c r="L38" s="81">
        <f>H38*$K$7</f>
        <v>1.1401835999999999E-19</v>
      </c>
      <c r="M38" s="56"/>
      <c r="N38" s="56"/>
      <c r="O38" s="93" t="s">
        <v>70</v>
      </c>
      <c r="P38" s="83">
        <v>1.0055799999999999</v>
      </c>
      <c r="Q38" s="84">
        <v>2.415E-3</v>
      </c>
      <c r="R38" s="84">
        <v>5.5599999999999998E-3</v>
      </c>
      <c r="S38" s="56"/>
      <c r="T38" s="56"/>
      <c r="U38" s="56"/>
      <c r="V38" s="56"/>
      <c r="W38" s="56"/>
      <c r="X38" s="56"/>
      <c r="Y38" s="56"/>
      <c r="Z38" s="56"/>
      <c r="AA38" s="56"/>
    </row>
    <row r="39" spans="1:27" ht="19" x14ac:dyDescent="0.25">
      <c r="A39" s="56"/>
      <c r="B39" s="56"/>
      <c r="C39" s="56"/>
      <c r="D39" s="56"/>
      <c r="E39" s="56"/>
      <c r="F39" s="56"/>
      <c r="J39" s="56"/>
      <c r="K39" s="56"/>
      <c r="L39" s="56"/>
      <c r="M39" s="56"/>
      <c r="N39" s="56"/>
      <c r="O39" s="121"/>
      <c r="P39" s="56"/>
      <c r="Q39" s="56"/>
      <c r="R39" s="56"/>
      <c r="S39" s="56"/>
      <c r="T39" s="56"/>
      <c r="U39" s="56"/>
      <c r="V39" s="56"/>
      <c r="W39" s="56"/>
      <c r="X39" s="56"/>
      <c r="Y39" s="56"/>
      <c r="Z39" s="56"/>
      <c r="AA39" s="56"/>
    </row>
    <row r="40" spans="1:27" ht="20" thickBot="1" x14ac:dyDescent="0.3">
      <c r="A40" s="56"/>
      <c r="B40" s="56"/>
      <c r="C40" s="56"/>
      <c r="D40" s="56"/>
      <c r="E40" s="56"/>
      <c r="F40" s="56"/>
      <c r="J40" s="56"/>
      <c r="K40" s="56"/>
      <c r="L40" s="56"/>
      <c r="M40" s="56"/>
      <c r="N40" s="56"/>
      <c r="O40" s="121"/>
      <c r="P40" s="56"/>
      <c r="Q40" s="56"/>
      <c r="R40" s="56"/>
      <c r="S40" s="56"/>
      <c r="T40" s="56"/>
      <c r="U40" s="56"/>
      <c r="V40" s="56"/>
      <c r="W40" s="56"/>
      <c r="X40" s="56"/>
      <c r="Y40" s="56"/>
      <c r="Z40" s="56"/>
      <c r="AA40" s="56"/>
    </row>
    <row r="41" spans="1:27" ht="64" customHeight="1" thickBot="1" x14ac:dyDescent="0.3">
      <c r="A41" s="56"/>
      <c r="B41" s="56"/>
      <c r="D41" s="122" t="s">
        <v>71</v>
      </c>
      <c r="E41" s="123" t="s">
        <v>72</v>
      </c>
      <c r="F41" s="124" t="s">
        <v>73</v>
      </c>
      <c r="G41" s="125" t="s">
        <v>74</v>
      </c>
      <c r="I41" s="56"/>
      <c r="J41" s="56"/>
      <c r="K41" s="56"/>
      <c r="L41" s="56"/>
      <c r="M41" s="56"/>
      <c r="N41" s="56"/>
      <c r="O41" s="56"/>
      <c r="P41" s="56"/>
      <c r="Q41" s="56"/>
      <c r="R41" s="56"/>
      <c r="S41" s="56"/>
      <c r="T41" s="56"/>
      <c r="U41" s="56"/>
      <c r="V41" s="56"/>
      <c r="W41" s="56"/>
      <c r="X41" s="56"/>
      <c r="Y41" s="56"/>
      <c r="Z41" s="56"/>
      <c r="AA41" s="56"/>
    </row>
    <row r="42" spans="1:27" ht="19" x14ac:dyDescent="0.25">
      <c r="A42" s="56"/>
      <c r="B42" s="56"/>
      <c r="C42" s="126">
        <v>1</v>
      </c>
      <c r="D42" s="127">
        <v>1938.56</v>
      </c>
      <c r="E42" s="128">
        <v>1347.3658</v>
      </c>
      <c r="F42" s="129">
        <f>E42*$L$9</f>
        <v>40393083527940</v>
      </c>
      <c r="G42" s="130">
        <v>1.1793</v>
      </c>
      <c r="H42" s="131"/>
      <c r="K42" s="56"/>
      <c r="L42" s="56"/>
      <c r="M42" s="56"/>
      <c r="N42" s="56"/>
      <c r="O42" s="56"/>
      <c r="P42" s="56"/>
      <c r="Q42" s="56"/>
      <c r="R42" s="56"/>
      <c r="S42" s="56"/>
      <c r="T42" s="56"/>
      <c r="U42" s="56"/>
      <c r="V42" s="56"/>
      <c r="W42" s="56"/>
      <c r="X42" s="56"/>
      <c r="Y42" s="56"/>
      <c r="Z42" s="56"/>
      <c r="AA42" s="56"/>
    </row>
    <row r="43" spans="1:27" ht="19" x14ac:dyDescent="0.25">
      <c r="A43" s="56"/>
      <c r="B43" s="56"/>
      <c r="C43" s="132">
        <f>C42+1</f>
        <v>2</v>
      </c>
      <c r="D43" s="133">
        <v>1938.56</v>
      </c>
      <c r="E43" s="134">
        <v>1347.367</v>
      </c>
      <c r="F43" s="135">
        <f t="shared" ref="F43:F50" si="2">E43*$L$9</f>
        <v>40393119503100</v>
      </c>
      <c r="G43" s="136">
        <v>1.1793</v>
      </c>
      <c r="H43" s="131"/>
      <c r="K43" s="56"/>
      <c r="L43" s="56"/>
      <c r="M43" s="56"/>
      <c r="N43" s="56"/>
      <c r="O43" s="56"/>
      <c r="P43" s="56"/>
      <c r="Q43" s="56"/>
      <c r="R43" s="56"/>
      <c r="S43" s="56"/>
      <c r="T43" s="56"/>
      <c r="U43" s="56"/>
      <c r="V43" s="56"/>
      <c r="W43" s="56"/>
      <c r="X43" s="56"/>
      <c r="Y43" s="56"/>
      <c r="Z43" s="56"/>
      <c r="AA43" s="56"/>
    </row>
    <row r="44" spans="1:27" ht="20" thickBot="1" x14ac:dyDescent="0.3">
      <c r="A44" s="56"/>
      <c r="B44" s="56"/>
      <c r="C44" s="132">
        <f t="shared" ref="C44:C50" si="3">C43+1</f>
        <v>3</v>
      </c>
      <c r="D44" s="133">
        <v>1939.03</v>
      </c>
      <c r="E44" s="134">
        <v>1347.6918000000001</v>
      </c>
      <c r="F44" s="135">
        <f t="shared" si="2"/>
        <v>40402856779740</v>
      </c>
      <c r="G44" s="136">
        <v>1.1793</v>
      </c>
      <c r="H44" s="131"/>
      <c r="J44" s="137" t="s">
        <v>75</v>
      </c>
      <c r="M44" s="56"/>
      <c r="N44" s="56"/>
      <c r="O44" s="56"/>
      <c r="P44" s="56"/>
      <c r="Q44" s="56"/>
      <c r="R44" s="56"/>
      <c r="S44" s="56"/>
      <c r="T44" s="56"/>
      <c r="U44" s="56"/>
      <c r="V44" s="56"/>
      <c r="W44" s="56"/>
      <c r="X44" s="56"/>
      <c r="Y44" s="56"/>
      <c r="Z44" s="56"/>
      <c r="AA44" s="56"/>
    </row>
    <row r="45" spans="1:27" ht="20" thickBot="1" x14ac:dyDescent="0.3">
      <c r="A45" s="56"/>
      <c r="B45" s="56"/>
      <c r="C45" s="132">
        <f t="shared" si="3"/>
        <v>4</v>
      </c>
      <c r="D45" s="133">
        <v>2249.91</v>
      </c>
      <c r="E45" s="134">
        <v>1563.7654</v>
      </c>
      <c r="F45" s="135">
        <f t="shared" si="2"/>
        <v>46880592056220</v>
      </c>
      <c r="G45" s="136">
        <v>1.0078</v>
      </c>
      <c r="H45" s="131"/>
      <c r="J45" s="138">
        <v>1</v>
      </c>
      <c r="K45" s="139">
        <f>J45+1</f>
        <v>2</v>
      </c>
      <c r="L45" s="140">
        <f>K45+1</f>
        <v>3</v>
      </c>
      <c r="M45" s="56"/>
      <c r="N45" s="56"/>
      <c r="O45" s="56"/>
      <c r="P45" s="56"/>
      <c r="Q45" s="56"/>
      <c r="R45" s="56"/>
      <c r="S45" s="56"/>
      <c r="T45" s="56"/>
      <c r="U45" s="56"/>
      <c r="V45" s="56"/>
      <c r="W45" s="56"/>
      <c r="X45" s="56"/>
      <c r="Y45" s="56"/>
      <c r="Z45" s="56"/>
      <c r="AA45" s="56"/>
    </row>
    <row r="46" spans="1:27" ht="20" thickBot="1" x14ac:dyDescent="0.3">
      <c r="A46" s="56"/>
      <c r="B46" s="56"/>
      <c r="C46" s="132">
        <f t="shared" si="3"/>
        <v>5</v>
      </c>
      <c r="D46" s="133">
        <v>2249.91</v>
      </c>
      <c r="E46" s="134">
        <v>1563.7666999999999</v>
      </c>
      <c r="F46" s="135">
        <f t="shared" si="2"/>
        <v>46880631029310</v>
      </c>
      <c r="G46" s="136">
        <v>1.0078</v>
      </c>
      <c r="H46" s="131"/>
      <c r="J46" s="141">
        <v>-40.5261</v>
      </c>
      <c r="K46" s="142">
        <v>-40.5261</v>
      </c>
      <c r="L46" s="143">
        <v>-40.5261</v>
      </c>
      <c r="M46" s="56"/>
      <c r="N46" s="56"/>
      <c r="O46" s="56"/>
      <c r="P46" s="56"/>
      <c r="Q46" s="56"/>
      <c r="R46" s="56"/>
      <c r="S46" s="56"/>
      <c r="T46" s="56"/>
      <c r="U46" s="56"/>
      <c r="V46" s="56"/>
      <c r="W46" s="56"/>
      <c r="X46" s="56"/>
      <c r="Y46" s="56"/>
      <c r="Z46" s="56"/>
      <c r="AA46" s="56"/>
    </row>
    <row r="47" spans="1:27" ht="19" x14ac:dyDescent="0.25">
      <c r="A47" s="56"/>
      <c r="B47" s="56"/>
      <c r="C47" s="132">
        <f t="shared" si="3"/>
        <v>6</v>
      </c>
      <c r="D47" s="133">
        <v>4369.79</v>
      </c>
      <c r="E47" s="134">
        <v>3037.1588999999999</v>
      </c>
      <c r="F47" s="135">
        <f t="shared" si="2"/>
        <v>91051897810770</v>
      </c>
      <c r="G47" s="136">
        <v>1.0078</v>
      </c>
      <c r="H47" s="131"/>
      <c r="K47" s="56"/>
      <c r="L47" s="56"/>
      <c r="M47" s="56"/>
      <c r="N47" s="56"/>
      <c r="O47" s="56"/>
      <c r="P47" s="56"/>
      <c r="Q47" s="56"/>
      <c r="R47" s="56"/>
      <c r="S47" s="56"/>
      <c r="T47" s="56"/>
      <c r="U47" s="56"/>
      <c r="V47" s="56"/>
      <c r="W47" s="56"/>
      <c r="X47" s="56"/>
      <c r="Y47" s="56"/>
      <c r="Z47" s="56"/>
      <c r="AA47" s="56"/>
    </row>
    <row r="48" spans="1:27" ht="19" x14ac:dyDescent="0.25">
      <c r="A48" s="56"/>
      <c r="B48" s="56"/>
      <c r="C48" s="132">
        <f t="shared" si="3"/>
        <v>7</v>
      </c>
      <c r="D48" s="133">
        <v>4531.91</v>
      </c>
      <c r="E48" s="134">
        <v>3149.8386</v>
      </c>
      <c r="F48" s="135">
        <f t="shared" si="2"/>
        <v>94429956340980</v>
      </c>
      <c r="G48" s="136">
        <v>1.1013999999999999</v>
      </c>
      <c r="H48" s="131"/>
      <c r="K48" s="56"/>
      <c r="L48" s="56"/>
      <c r="M48" s="56"/>
      <c r="N48" s="56"/>
      <c r="O48" s="56"/>
      <c r="P48" s="56"/>
      <c r="Q48" s="56"/>
      <c r="R48" s="56"/>
      <c r="S48" s="56"/>
      <c r="T48" s="56"/>
      <c r="U48" s="56"/>
      <c r="V48" s="56"/>
      <c r="W48" s="56"/>
      <c r="X48" s="56"/>
      <c r="Y48" s="56"/>
      <c r="Z48" s="56"/>
      <c r="AA48" s="56"/>
    </row>
    <row r="49" spans="1:32" ht="19" x14ac:dyDescent="0.25">
      <c r="A49" s="56"/>
      <c r="B49" s="56"/>
      <c r="C49" s="132">
        <f t="shared" si="3"/>
        <v>8</v>
      </c>
      <c r="D49" s="133">
        <v>4531.91</v>
      </c>
      <c r="E49" s="134">
        <v>3149.8388</v>
      </c>
      <c r="F49" s="135">
        <f t="shared" si="2"/>
        <v>94429962336840</v>
      </c>
      <c r="G49" s="136">
        <v>1.1013999999999999</v>
      </c>
      <c r="H49" s="131"/>
      <c r="K49" s="56"/>
      <c r="L49" s="56"/>
      <c r="M49" s="56"/>
      <c r="N49" s="56"/>
      <c r="O49" s="56"/>
      <c r="P49" s="56"/>
      <c r="Q49" s="56"/>
      <c r="R49" s="56"/>
      <c r="S49" s="56"/>
      <c r="T49" s="56"/>
      <c r="U49" s="56"/>
      <c r="V49" s="56"/>
      <c r="W49" s="56"/>
      <c r="X49" s="56"/>
      <c r="Y49" s="56"/>
      <c r="Z49" s="56"/>
      <c r="AA49" s="56"/>
    </row>
    <row r="50" spans="1:32" ht="20" thickBot="1" x14ac:dyDescent="0.3">
      <c r="A50" s="56"/>
      <c r="B50" s="56"/>
      <c r="C50" s="144">
        <f t="shared" si="3"/>
        <v>9</v>
      </c>
      <c r="D50" s="145">
        <v>4532.55</v>
      </c>
      <c r="E50" s="146">
        <v>3150.2815000000001</v>
      </c>
      <c r="F50" s="147">
        <f t="shared" si="2"/>
        <v>94443234172950</v>
      </c>
      <c r="G50" s="148">
        <v>1.1013999999999999</v>
      </c>
      <c r="H50" s="131"/>
      <c r="K50" s="56"/>
      <c r="L50" s="56"/>
      <c r="M50" s="56"/>
      <c r="N50" s="56"/>
      <c r="O50" s="56"/>
      <c r="P50" s="56"/>
      <c r="Q50" s="56"/>
      <c r="R50" s="56"/>
      <c r="S50" s="56"/>
      <c r="T50" s="56"/>
      <c r="U50" s="56"/>
      <c r="V50" s="56"/>
      <c r="W50" s="56"/>
      <c r="X50" s="56"/>
      <c r="Y50" s="56"/>
      <c r="Z50" s="56"/>
      <c r="AA50" s="56"/>
    </row>
    <row r="51" spans="1:32" ht="19" x14ac:dyDescent="0.25">
      <c r="A51" s="56"/>
      <c r="B51" s="56"/>
      <c r="C51" s="56"/>
      <c r="D51" s="56"/>
      <c r="E51" s="56"/>
      <c r="F51" s="56"/>
      <c r="G51" s="56"/>
      <c r="H51" s="56"/>
      <c r="K51" s="56"/>
      <c r="L51" s="56"/>
      <c r="M51" s="56"/>
      <c r="N51" s="56"/>
      <c r="O51" s="56"/>
      <c r="P51" s="56"/>
      <c r="Q51" s="56"/>
      <c r="R51" s="56"/>
      <c r="S51" s="56"/>
      <c r="T51" s="56"/>
      <c r="U51" s="56"/>
      <c r="V51" s="56"/>
      <c r="W51" s="56"/>
      <c r="X51" s="56"/>
      <c r="Y51" s="56"/>
      <c r="Z51" s="56"/>
      <c r="AA51" s="56"/>
    </row>
    <row r="52" spans="1:32" ht="19" x14ac:dyDescent="0.2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spans="1:32" ht="34" thickBot="1" x14ac:dyDescent="0.5">
      <c r="A53" s="471" t="s">
        <v>76</v>
      </c>
      <c r="B53" s="471"/>
      <c r="C53" s="471"/>
      <c r="D53" s="471"/>
      <c r="E53" s="471"/>
      <c r="F53" s="471"/>
      <c r="G53" s="471"/>
      <c r="H53" s="471"/>
      <c r="I53" s="471"/>
      <c r="J53" s="471"/>
      <c r="K53" s="471"/>
      <c r="L53" s="471"/>
      <c r="M53" s="471"/>
      <c r="N53" s="471"/>
      <c r="O53" s="471"/>
      <c r="P53" s="471"/>
      <c r="Q53" s="471"/>
      <c r="R53" s="471"/>
      <c r="S53" s="471"/>
      <c r="T53" s="471"/>
      <c r="U53" s="471"/>
      <c r="V53" s="471"/>
      <c r="W53" s="56"/>
      <c r="X53" s="56"/>
      <c r="Y53" s="56"/>
      <c r="Z53" s="56"/>
      <c r="AA53" s="56"/>
    </row>
    <row r="54" spans="1:32" ht="20" thickTop="1"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spans="1:32" ht="19" x14ac:dyDescent="0.25">
      <c r="A55" s="56"/>
      <c r="B55" s="56"/>
      <c r="C55" s="56"/>
      <c r="D55" s="56"/>
      <c r="E55" s="56"/>
      <c r="F55" s="56" t="s">
        <v>77</v>
      </c>
      <c r="G55" s="56"/>
      <c r="H55" s="56"/>
      <c r="I55" s="56"/>
      <c r="J55" s="56"/>
      <c r="K55" s="56"/>
      <c r="L55" s="56"/>
      <c r="M55" s="56"/>
      <c r="N55" s="56"/>
      <c r="O55" s="56"/>
      <c r="Q55" s="56"/>
      <c r="R55" s="56"/>
      <c r="S55" s="56"/>
      <c r="T55" s="56"/>
      <c r="U55" s="56"/>
      <c r="V55" s="56"/>
      <c r="W55" s="56"/>
      <c r="X55" s="56"/>
      <c r="Y55" s="56"/>
      <c r="Z55" s="56"/>
      <c r="AA55" s="56"/>
      <c r="AB55" s="56"/>
      <c r="AC55" s="56"/>
      <c r="AD55" s="56"/>
      <c r="AE55" s="56"/>
      <c r="AF55" s="56"/>
    </row>
    <row r="56" spans="1:32" ht="27" x14ac:dyDescent="0.35">
      <c r="B56" s="56"/>
      <c r="C56" s="149" t="s">
        <v>78</v>
      </c>
      <c r="D56" s="150"/>
      <c r="E56" s="56"/>
      <c r="F56" s="56"/>
      <c r="G56" s="56"/>
      <c r="H56" s="56"/>
      <c r="I56" s="56"/>
      <c r="J56" s="56"/>
      <c r="K56" s="56"/>
      <c r="L56" s="56"/>
      <c r="M56" s="56"/>
      <c r="N56" s="56"/>
      <c r="O56" s="56"/>
      <c r="Q56" s="56"/>
      <c r="R56" s="56"/>
      <c r="S56" s="56"/>
      <c r="T56" s="56"/>
      <c r="U56" s="56"/>
      <c r="V56" s="56"/>
      <c r="W56" s="56"/>
      <c r="X56" s="56"/>
      <c r="Y56" s="56"/>
      <c r="Z56" s="56"/>
      <c r="AA56" s="56"/>
      <c r="AB56" s="56"/>
      <c r="AC56" s="56"/>
      <c r="AD56" s="56"/>
      <c r="AE56" s="56"/>
      <c r="AF56" s="56"/>
    </row>
    <row r="57" spans="1:32" ht="19" x14ac:dyDescent="0.25">
      <c r="B57" s="56"/>
      <c r="C57" s="56"/>
      <c r="D57" s="56"/>
      <c r="E57" s="56"/>
      <c r="F57" s="56"/>
      <c r="G57" s="56"/>
      <c r="H57" s="56"/>
      <c r="I57" s="56"/>
      <c r="J57" s="56"/>
      <c r="K57" s="56"/>
      <c r="L57" s="56"/>
      <c r="M57" s="56"/>
      <c r="N57" s="56"/>
      <c r="O57" s="56"/>
      <c r="Q57" s="56"/>
      <c r="R57" s="56"/>
      <c r="S57" s="56"/>
      <c r="T57" s="56"/>
      <c r="U57" s="56"/>
      <c r="V57" s="56"/>
      <c r="W57" s="56"/>
      <c r="X57" s="56"/>
      <c r="Y57" s="56"/>
      <c r="Z57" s="56"/>
      <c r="AA57" s="56"/>
      <c r="AB57" s="56"/>
      <c r="AC57" s="56"/>
      <c r="AD57" s="56"/>
      <c r="AE57" s="56"/>
      <c r="AF57" s="56"/>
    </row>
    <row r="58" spans="1:32" ht="19" x14ac:dyDescent="0.25">
      <c r="B58" s="56"/>
      <c r="C58" s="56"/>
      <c r="D58" s="56"/>
      <c r="E58" s="56"/>
      <c r="F58" s="56"/>
      <c r="G58" s="56"/>
      <c r="H58" s="56"/>
      <c r="I58" s="56"/>
      <c r="J58" s="56"/>
      <c r="K58" s="56"/>
      <c r="L58" s="56"/>
      <c r="M58" s="56"/>
      <c r="N58" s="56"/>
      <c r="O58" s="56"/>
      <c r="Q58" s="56"/>
      <c r="R58" s="56"/>
      <c r="S58" s="56"/>
      <c r="T58" s="56"/>
      <c r="U58" s="56"/>
      <c r="V58" s="56"/>
      <c r="W58" s="56"/>
      <c r="X58" s="56"/>
      <c r="Y58" s="56"/>
      <c r="Z58" s="56"/>
      <c r="AA58" s="56"/>
      <c r="AB58" s="56"/>
      <c r="AC58" s="56"/>
      <c r="AD58" s="56"/>
      <c r="AE58" s="56"/>
      <c r="AF58" s="56"/>
    </row>
    <row r="59" spans="1:32" ht="19" x14ac:dyDescent="0.25">
      <c r="B59" s="56"/>
      <c r="D59" s="56"/>
      <c r="E59" s="56"/>
      <c r="F59" s="56"/>
      <c r="G59" s="56"/>
      <c r="H59" s="56"/>
      <c r="I59" s="56"/>
      <c r="J59" s="56"/>
      <c r="K59" s="56"/>
      <c r="L59" s="56"/>
      <c r="M59" s="56"/>
      <c r="N59" s="56"/>
      <c r="O59" s="56"/>
      <c r="Q59" s="56"/>
      <c r="R59" s="56"/>
      <c r="S59" s="56"/>
      <c r="T59" s="56"/>
      <c r="U59" s="56"/>
      <c r="V59" s="56"/>
      <c r="W59" s="56"/>
      <c r="X59" s="56"/>
      <c r="Y59" s="56"/>
      <c r="Z59" s="56"/>
      <c r="AA59" s="56"/>
      <c r="AB59" s="56"/>
      <c r="AC59" s="56"/>
      <c r="AD59" s="56"/>
      <c r="AE59" s="56"/>
      <c r="AF59" s="56"/>
    </row>
    <row r="60" spans="1:32" ht="19" x14ac:dyDescent="0.25">
      <c r="B60" s="56"/>
      <c r="C60" s="56"/>
      <c r="D60" s="56"/>
      <c r="E60" s="56"/>
      <c r="F60" s="56"/>
      <c r="G60" s="56"/>
      <c r="H60" s="56"/>
      <c r="I60" s="56"/>
      <c r="J60" s="56"/>
      <c r="K60" s="56"/>
      <c r="L60" s="56"/>
      <c r="M60" s="56"/>
      <c r="N60" s="56"/>
      <c r="O60" s="56"/>
      <c r="Q60" s="56"/>
      <c r="R60" s="56"/>
      <c r="S60" s="56"/>
      <c r="T60" s="56"/>
      <c r="U60" s="56"/>
      <c r="V60" s="56"/>
      <c r="W60" s="56"/>
      <c r="X60" s="56"/>
      <c r="Y60" s="56"/>
      <c r="Z60" s="56"/>
      <c r="AA60" s="56"/>
      <c r="AB60" s="56"/>
      <c r="AC60" s="56"/>
      <c r="AD60" s="56"/>
      <c r="AE60" s="56"/>
      <c r="AF60" s="56"/>
    </row>
    <row r="61" spans="1:32" ht="19" x14ac:dyDescent="0.25">
      <c r="B61" s="56"/>
      <c r="C61" s="56"/>
      <c r="D61" s="56"/>
      <c r="E61" s="56"/>
      <c r="F61" s="56"/>
      <c r="G61" s="56"/>
      <c r="H61" s="56"/>
      <c r="I61" s="56"/>
      <c r="J61" s="56"/>
      <c r="K61" s="56"/>
      <c r="L61" s="56"/>
      <c r="M61" s="56"/>
      <c r="N61" s="56"/>
      <c r="O61" s="56"/>
      <c r="Q61" s="56"/>
      <c r="R61" s="56"/>
      <c r="S61" s="56"/>
      <c r="T61" s="56"/>
      <c r="U61" s="56"/>
      <c r="V61" s="56"/>
      <c r="W61" s="56"/>
      <c r="X61" s="56"/>
      <c r="Y61" s="56"/>
      <c r="Z61" s="56"/>
      <c r="AA61" s="56"/>
      <c r="AB61" s="56"/>
      <c r="AC61" s="56"/>
      <c r="AD61" s="56"/>
      <c r="AE61" s="56"/>
      <c r="AF61" s="56"/>
    </row>
    <row r="62" spans="1:32" ht="19" x14ac:dyDescent="0.25">
      <c r="B62" s="56"/>
      <c r="C62" s="56"/>
      <c r="D62" s="56"/>
      <c r="E62" s="56"/>
      <c r="F62" s="56"/>
      <c r="G62" s="56"/>
      <c r="H62" s="56"/>
      <c r="I62" s="56"/>
      <c r="J62" s="56"/>
      <c r="K62" s="56"/>
      <c r="L62" s="56"/>
      <c r="M62" s="56"/>
      <c r="N62" s="56"/>
      <c r="O62" s="56"/>
      <c r="Q62" s="56"/>
      <c r="R62" s="56"/>
      <c r="S62" s="56"/>
      <c r="T62" s="56"/>
      <c r="U62" s="56"/>
      <c r="V62" s="56"/>
      <c r="W62" s="56"/>
      <c r="X62" s="56"/>
      <c r="Y62" s="56"/>
      <c r="Z62" s="56"/>
      <c r="AA62" s="56"/>
      <c r="AB62" s="56"/>
      <c r="AC62" s="56"/>
      <c r="AD62" s="56"/>
      <c r="AE62" s="56"/>
      <c r="AF62" s="56"/>
    </row>
    <row r="63" spans="1:32" ht="20" thickBot="1" x14ac:dyDescent="0.3">
      <c r="B63" s="56"/>
      <c r="C63" s="56"/>
      <c r="D63" s="56"/>
      <c r="E63" s="56"/>
      <c r="F63" s="56"/>
      <c r="G63" s="56"/>
      <c r="H63" s="56"/>
      <c r="I63" s="56"/>
      <c r="J63" s="56"/>
      <c r="K63" s="56"/>
      <c r="L63" s="56"/>
      <c r="M63" s="56"/>
      <c r="N63" s="56"/>
      <c r="O63" s="56"/>
      <c r="Q63" s="56"/>
      <c r="R63" s="56"/>
      <c r="S63" s="56"/>
      <c r="T63" s="56"/>
      <c r="U63" s="56"/>
      <c r="V63" s="56"/>
      <c r="W63" s="56"/>
      <c r="X63" s="56"/>
      <c r="Y63" s="56"/>
      <c r="Z63" s="56"/>
      <c r="AA63" s="56"/>
      <c r="AB63" s="56"/>
      <c r="AC63" s="56"/>
      <c r="AD63" s="56"/>
      <c r="AE63" s="56"/>
      <c r="AF63" s="56"/>
    </row>
    <row r="64" spans="1:32" ht="30" customHeight="1" thickBot="1" x14ac:dyDescent="0.35">
      <c r="B64" s="56"/>
      <c r="C64" s="151" t="s">
        <v>79</v>
      </c>
      <c r="D64" s="152" t="s">
        <v>80</v>
      </c>
      <c r="E64" s="151" t="s">
        <v>81</v>
      </c>
      <c r="F64" s="56"/>
      <c r="G64" s="56"/>
      <c r="H64" s="153" t="s">
        <v>82</v>
      </c>
      <c r="I64" s="154"/>
      <c r="J64" s="154"/>
      <c r="K64" s="154"/>
      <c r="L64" s="154"/>
      <c r="M64" s="154"/>
      <c r="N64" s="154"/>
      <c r="O64" s="56"/>
      <c r="Q64" s="56"/>
      <c r="R64" s="56"/>
      <c r="S64" s="56"/>
      <c r="T64" s="56"/>
      <c r="U64" s="56"/>
      <c r="V64" s="56"/>
      <c r="W64" s="56"/>
      <c r="X64" s="56"/>
      <c r="Y64" s="56"/>
      <c r="Z64" s="56"/>
      <c r="AA64" s="56"/>
      <c r="AB64" s="56"/>
      <c r="AC64" s="56"/>
      <c r="AD64" s="56"/>
      <c r="AE64" s="56"/>
      <c r="AF64" s="56"/>
    </row>
    <row r="65" spans="2:32" ht="20" thickBot="1" x14ac:dyDescent="0.3">
      <c r="B65" s="56"/>
      <c r="C65" s="155">
        <v>298.14999999999998</v>
      </c>
      <c r="D65" s="156">
        <f t="shared" ref="D65:D83" si="4">C65*$B$8/$B$16</f>
        <v>4.0625788058228471E-26</v>
      </c>
      <c r="E65" s="157">
        <f xml:space="preserve"> (2*PI()*$A$28*$U$9*$B$8*C65/($B$14^2))^(3/2)*D65</f>
        <v>2521719.6110947789</v>
      </c>
      <c r="F65" s="158"/>
      <c r="G65" s="56"/>
      <c r="H65" s="56"/>
      <c r="I65" s="56"/>
      <c r="J65" s="56"/>
      <c r="K65" s="56"/>
      <c r="L65" s="56"/>
      <c r="M65" s="56"/>
      <c r="N65" s="56"/>
      <c r="O65" s="56"/>
      <c r="Q65" s="56"/>
      <c r="R65" s="56"/>
      <c r="S65" s="56"/>
      <c r="T65" s="56"/>
      <c r="U65" s="56"/>
      <c r="V65" s="56"/>
      <c r="W65" s="56"/>
      <c r="X65" s="56"/>
      <c r="Y65" s="56"/>
      <c r="Z65" s="56"/>
      <c r="AA65" s="56"/>
      <c r="AB65" s="56"/>
      <c r="AC65" s="56"/>
      <c r="AD65" s="56"/>
      <c r="AE65" s="56"/>
      <c r="AF65" s="56"/>
    </row>
    <row r="66" spans="2:32" ht="20" thickBot="1" x14ac:dyDescent="0.3">
      <c r="B66" s="56"/>
      <c r="C66" s="155">
        <v>300</v>
      </c>
      <c r="D66" s="156">
        <f t="shared" si="4"/>
        <v>4.0877868245743891E-26</v>
      </c>
      <c r="E66" s="157">
        <f xml:space="preserve"> (2*PI()*$A$28*$U$9*$B$8*C66/($B$14^2))^(3/2)*D66</f>
        <v>2561019.5780483168</v>
      </c>
      <c r="F66" s="56"/>
      <c r="G66" s="56"/>
      <c r="L66" s="151" t="s">
        <v>83</v>
      </c>
      <c r="M66" s="56"/>
      <c r="N66" s="56"/>
      <c r="O66" s="56"/>
      <c r="Q66" s="56"/>
      <c r="R66" s="56"/>
      <c r="S66" s="56"/>
      <c r="T66" s="56"/>
      <c r="U66" s="56"/>
      <c r="V66" s="56"/>
      <c r="W66" s="56"/>
      <c r="X66" s="56"/>
      <c r="Y66" s="56"/>
      <c r="Z66" s="56"/>
      <c r="AA66" s="56"/>
      <c r="AB66" s="56"/>
      <c r="AC66" s="56"/>
      <c r="AD66" s="56"/>
      <c r="AE66" s="56"/>
      <c r="AF66" s="56"/>
    </row>
    <row r="67" spans="2:32" ht="19" x14ac:dyDescent="0.25">
      <c r="B67" s="56"/>
      <c r="C67" s="159">
        <f>C66+100</f>
        <v>400</v>
      </c>
      <c r="D67" s="160">
        <f t="shared" si="4"/>
        <v>5.4503824327658529E-26</v>
      </c>
      <c r="E67" s="161">
        <f t="shared" ref="E67:E83" si="5" xml:space="preserve"> (2*PI()*$A$28*$U$9*$B$8*C67/($B$14^2))^(3/2)*D67</f>
        <v>5257263.4410172841</v>
      </c>
      <c r="F67" s="56"/>
      <c r="G67" s="56"/>
      <c r="K67" s="162" t="s">
        <v>84</v>
      </c>
      <c r="L67" s="129">
        <f>$E$65</f>
        <v>2521719.6110947789</v>
      </c>
      <c r="M67" s="56"/>
      <c r="N67" s="56"/>
      <c r="O67" s="56"/>
      <c r="Q67" s="56"/>
      <c r="R67" s="56"/>
      <c r="S67" s="56"/>
      <c r="T67" s="56"/>
      <c r="U67" s="56"/>
      <c r="V67" s="56"/>
      <c r="W67" s="56"/>
      <c r="X67" s="56"/>
      <c r="Y67" s="56"/>
      <c r="Z67" s="56"/>
      <c r="AA67" s="56"/>
      <c r="AB67" s="56"/>
      <c r="AC67" s="56"/>
      <c r="AD67" s="56"/>
      <c r="AE67" s="56"/>
      <c r="AF67" s="56"/>
    </row>
    <row r="68" spans="2:32" ht="20" thickBot="1" x14ac:dyDescent="0.3">
      <c r="B68" s="56"/>
      <c r="C68" s="159">
        <f t="shared" ref="C68:C83" si="6">C67+100</f>
        <v>500</v>
      </c>
      <c r="D68" s="160">
        <f t="shared" si="4"/>
        <v>6.812978040957315E-26</v>
      </c>
      <c r="E68" s="161">
        <f t="shared" si="5"/>
        <v>9184061.2732337248</v>
      </c>
      <c r="F68" s="56"/>
      <c r="G68" s="56"/>
      <c r="K68" s="163" t="s">
        <v>85</v>
      </c>
      <c r="L68" s="147">
        <f>P33</f>
        <v>2522950</v>
      </c>
      <c r="M68" s="56"/>
      <c r="N68" s="56"/>
      <c r="O68" s="56"/>
      <c r="Q68" s="56"/>
      <c r="R68" s="56"/>
      <c r="S68" s="56"/>
      <c r="T68" s="56"/>
      <c r="U68" s="56"/>
      <c r="V68" s="56"/>
      <c r="W68" s="56"/>
      <c r="X68" s="56"/>
      <c r="Y68" s="56"/>
      <c r="Z68" s="56"/>
      <c r="AA68" s="56"/>
      <c r="AB68" s="56"/>
      <c r="AC68" s="56"/>
      <c r="AD68" s="56"/>
      <c r="AE68" s="56"/>
      <c r="AF68" s="56"/>
    </row>
    <row r="69" spans="2:32" ht="22" x14ac:dyDescent="0.3">
      <c r="B69" s="56"/>
      <c r="C69" s="159">
        <f t="shared" si="6"/>
        <v>600</v>
      </c>
      <c r="D69" s="160">
        <f t="shared" si="4"/>
        <v>8.1755736491487783E-26</v>
      </c>
      <c r="E69" s="161">
        <f t="shared" si="5"/>
        <v>14487314.483115843</v>
      </c>
      <c r="F69" s="56"/>
      <c r="G69" s="56"/>
      <c r="H69" s="56"/>
      <c r="I69" s="56"/>
      <c r="K69" s="164" t="s">
        <v>86</v>
      </c>
      <c r="L69" s="165">
        <f>ABS(L67-L68)/L67</f>
        <v>4.8791661840904269E-4</v>
      </c>
      <c r="M69" s="56"/>
      <c r="N69" s="56"/>
      <c r="O69" s="56"/>
      <c r="Q69" s="56"/>
      <c r="R69" s="56"/>
      <c r="S69" s="56"/>
      <c r="T69" s="56"/>
      <c r="U69" s="56"/>
      <c r="V69" s="56"/>
      <c r="W69" s="56"/>
      <c r="X69" s="56"/>
      <c r="Y69" s="56"/>
      <c r="Z69" s="56"/>
      <c r="AA69" s="56"/>
      <c r="AB69" s="56"/>
      <c r="AC69" s="56"/>
      <c r="AD69" s="56"/>
      <c r="AE69" s="56"/>
      <c r="AF69" s="56"/>
    </row>
    <row r="70" spans="2:32" ht="19" x14ac:dyDescent="0.25">
      <c r="B70" s="56"/>
      <c r="C70" s="159">
        <f t="shared" si="6"/>
        <v>700</v>
      </c>
      <c r="D70" s="160">
        <f t="shared" si="4"/>
        <v>9.5381692573402415E-26</v>
      </c>
      <c r="E70" s="161">
        <f t="shared" si="5"/>
        <v>21298786.576327905</v>
      </c>
      <c r="F70" s="56"/>
      <c r="G70" s="56"/>
      <c r="Q70" s="56"/>
      <c r="R70" s="56"/>
      <c r="S70" s="56"/>
      <c r="T70" s="56"/>
      <c r="U70" s="56"/>
      <c r="V70" s="56"/>
      <c r="W70" s="56"/>
      <c r="X70" s="56"/>
      <c r="Y70" s="56"/>
      <c r="Z70" s="56"/>
      <c r="AA70" s="56"/>
      <c r="AB70" s="56"/>
      <c r="AC70" s="56"/>
      <c r="AD70" s="56"/>
      <c r="AE70" s="56"/>
      <c r="AF70" s="56"/>
    </row>
    <row r="71" spans="2:32" ht="19" x14ac:dyDescent="0.25">
      <c r="B71" s="56"/>
      <c r="C71" s="159">
        <f t="shared" si="6"/>
        <v>800</v>
      </c>
      <c r="D71" s="160">
        <f t="shared" si="4"/>
        <v>1.0900764865531706E-25</v>
      </c>
      <c r="E71" s="161">
        <f t="shared" si="5"/>
        <v>29739573.03701964</v>
      </c>
      <c r="F71" s="56"/>
      <c r="G71" s="56"/>
      <c r="Q71" s="56"/>
      <c r="R71" s="56"/>
      <c r="S71" s="56"/>
      <c r="T71" s="56"/>
      <c r="U71" s="56"/>
      <c r="V71" s="56"/>
      <c r="W71" s="56"/>
      <c r="X71" s="56"/>
      <c r="Y71" s="56"/>
      <c r="Z71" s="56"/>
      <c r="AA71" s="56"/>
      <c r="AB71" s="56"/>
      <c r="AC71" s="56"/>
      <c r="AD71" s="56"/>
      <c r="AE71" s="56"/>
      <c r="AF71" s="56"/>
    </row>
    <row r="72" spans="2:32" ht="19" x14ac:dyDescent="0.25">
      <c r="B72" s="56"/>
      <c r="C72" s="159">
        <f t="shared" si="6"/>
        <v>900</v>
      </c>
      <c r="D72" s="160">
        <f t="shared" si="4"/>
        <v>1.2263360473723168E-25</v>
      </c>
      <c r="E72" s="161">
        <f t="shared" si="5"/>
        <v>39922344.255225062</v>
      </c>
      <c r="F72" s="56"/>
      <c r="G72" s="56"/>
      <c r="Q72" s="56"/>
      <c r="R72" s="56"/>
      <c r="S72" s="56"/>
      <c r="T72" s="56"/>
      <c r="U72" s="56"/>
      <c r="V72" s="56"/>
      <c r="W72" s="56"/>
      <c r="X72" s="56"/>
      <c r="Y72" s="56"/>
      <c r="Z72" s="56"/>
      <c r="AA72" s="56"/>
      <c r="AB72" s="56"/>
      <c r="AC72" s="56"/>
      <c r="AD72" s="56"/>
      <c r="AE72" s="56"/>
      <c r="AF72" s="56"/>
    </row>
    <row r="73" spans="2:32" ht="19" x14ac:dyDescent="0.25">
      <c r="C73" s="159">
        <f t="shared" si="6"/>
        <v>1000</v>
      </c>
      <c r="D73" s="160">
        <f t="shared" si="4"/>
        <v>1.362595608191463E-25</v>
      </c>
      <c r="E73" s="161">
        <f t="shared" si="5"/>
        <v>51952896.041090004</v>
      </c>
    </row>
    <row r="74" spans="2:32" ht="19" x14ac:dyDescent="0.25">
      <c r="C74" s="159">
        <f t="shared" si="6"/>
        <v>1100</v>
      </c>
      <c r="D74" s="160">
        <f t="shared" si="4"/>
        <v>1.4988551690106094E-25</v>
      </c>
      <c r="E74" s="161">
        <f t="shared" si="5"/>
        <v>65931275.037711106</v>
      </c>
    </row>
    <row r="75" spans="2:32" ht="19" x14ac:dyDescent="0.25">
      <c r="C75" s="159">
        <f t="shared" si="6"/>
        <v>1200</v>
      </c>
      <c r="D75" s="160">
        <f t="shared" si="4"/>
        <v>1.6351147298297557E-25</v>
      </c>
      <c r="E75" s="161">
        <f t="shared" si="5"/>
        <v>81952626.497546583</v>
      </c>
    </row>
    <row r="76" spans="2:32" ht="19" x14ac:dyDescent="0.25">
      <c r="C76" s="159">
        <f t="shared" si="6"/>
        <v>1300</v>
      </c>
      <c r="D76" s="160">
        <f t="shared" si="4"/>
        <v>1.7713742906489019E-25</v>
      </c>
      <c r="E76" s="161">
        <f t="shared" si="5"/>
        <v>100107851.90564039</v>
      </c>
    </row>
    <row r="77" spans="2:32" ht="19" x14ac:dyDescent="0.25">
      <c r="C77" s="159">
        <f t="shared" si="6"/>
        <v>1400</v>
      </c>
      <c r="D77" s="160">
        <f t="shared" si="4"/>
        <v>1.9076338514680483E-25</v>
      </c>
      <c r="E77" s="161">
        <f t="shared" si="5"/>
        <v>120484131.35333039</v>
      </c>
    </row>
    <row r="78" spans="2:32" ht="19" x14ac:dyDescent="0.25">
      <c r="C78" s="159">
        <f t="shared" si="6"/>
        <v>1500</v>
      </c>
      <c r="D78" s="160">
        <f t="shared" si="4"/>
        <v>2.043893412287195E-25</v>
      </c>
      <c r="E78" s="161">
        <f t="shared" si="5"/>
        <v>143165346.70559824</v>
      </c>
    </row>
    <row r="79" spans="2:32" ht="19" x14ac:dyDescent="0.25">
      <c r="C79" s="159">
        <f t="shared" si="6"/>
        <v>1600</v>
      </c>
      <c r="D79" s="160">
        <f t="shared" si="4"/>
        <v>2.1801529731063412E-25</v>
      </c>
      <c r="E79" s="161">
        <f t="shared" si="5"/>
        <v>168232430.11255404</v>
      </c>
    </row>
    <row r="80" spans="2:32" ht="19" x14ac:dyDescent="0.25">
      <c r="C80" s="159">
        <f t="shared" si="6"/>
        <v>1700</v>
      </c>
      <c r="D80" s="160">
        <f t="shared" si="4"/>
        <v>2.3164125339254876E-25</v>
      </c>
      <c r="E80" s="161">
        <f t="shared" si="5"/>
        <v>195763655.11076817</v>
      </c>
    </row>
    <row r="81" spans="3:31" ht="19" x14ac:dyDescent="0.25">
      <c r="C81" s="159">
        <f t="shared" si="6"/>
        <v>1800</v>
      </c>
      <c r="D81" s="160">
        <f t="shared" si="4"/>
        <v>2.4526720947446336E-25</v>
      </c>
      <c r="E81" s="161">
        <f t="shared" si="5"/>
        <v>225834882.74986503</v>
      </c>
    </row>
    <row r="82" spans="3:31" ht="19" x14ac:dyDescent="0.25">
      <c r="C82" s="159">
        <f t="shared" si="6"/>
        <v>1900</v>
      </c>
      <c r="D82" s="160">
        <f t="shared" si="4"/>
        <v>2.58893165556378E-25</v>
      </c>
      <c r="E82" s="161">
        <f t="shared" si="5"/>
        <v>258519771.9152036</v>
      </c>
    </row>
    <row r="83" spans="3:31" ht="20" thickBot="1" x14ac:dyDescent="0.3">
      <c r="C83" s="166">
        <f t="shared" si="6"/>
        <v>2000</v>
      </c>
      <c r="D83" s="167">
        <f t="shared" si="4"/>
        <v>2.725191216382926E-25</v>
      </c>
      <c r="E83" s="168">
        <f t="shared" si="5"/>
        <v>293889960.74347669</v>
      </c>
    </row>
    <row r="92" spans="3:31" ht="22" customHeight="1" x14ac:dyDescent="0.25">
      <c r="F92" s="56" t="s">
        <v>77</v>
      </c>
      <c r="AD92" s="56" t="s">
        <v>77</v>
      </c>
    </row>
    <row r="93" spans="3:31" ht="27" x14ac:dyDescent="0.35">
      <c r="C93" s="149" t="s">
        <v>151</v>
      </c>
      <c r="D93" s="169"/>
      <c r="E93" s="56"/>
      <c r="F93" s="56"/>
      <c r="G93" s="56"/>
      <c r="Z93" s="472" t="s">
        <v>88</v>
      </c>
      <c r="AA93" s="472"/>
      <c r="AB93" s="472"/>
      <c r="AC93" s="56"/>
      <c r="AD93" s="56"/>
      <c r="AE93" s="56"/>
    </row>
    <row r="94" spans="3:31" ht="19" x14ac:dyDescent="0.25">
      <c r="E94" s="56"/>
      <c r="G94" s="56"/>
      <c r="AC94" s="56"/>
      <c r="AE94" s="56"/>
    </row>
    <row r="95" spans="3:31" ht="20" thickBot="1" x14ac:dyDescent="0.3">
      <c r="E95" s="56"/>
      <c r="F95" s="56"/>
      <c r="G95" s="56"/>
    </row>
    <row r="96" spans="3:31" ht="20" thickBot="1" x14ac:dyDescent="0.3">
      <c r="C96" s="170" t="s">
        <v>89</v>
      </c>
      <c r="E96" s="56"/>
      <c r="F96" s="56"/>
      <c r="G96" s="56"/>
    </row>
    <row r="97" spans="3:39" ht="22" thickBot="1" x14ac:dyDescent="0.3">
      <c r="C97" s="171" t="s">
        <v>90</v>
      </c>
      <c r="D97" s="172" cm="1">
        <f t="array" ref="D97">INDEX($E:$E,(COLUMN(D97)-4)*1+42)</f>
        <v>1347.3658</v>
      </c>
      <c r="E97" s="172" cm="1">
        <f t="array" ref="E97">INDEX($E:$E,(COLUMN(E97)-4)*1+42)</f>
        <v>1347.367</v>
      </c>
      <c r="F97" s="172" cm="1">
        <f t="array" ref="F97">INDEX($E:$E,(COLUMN(F97)-4)*1+42)</f>
        <v>1347.6918000000001</v>
      </c>
      <c r="G97" s="172" cm="1">
        <f t="array" ref="G97">INDEX($E:$E,(COLUMN(G97)-4)*1+42)</f>
        <v>1563.7654</v>
      </c>
      <c r="H97" s="172" cm="1">
        <f t="array" ref="H97">INDEX($E:$E,(COLUMN(H97)-4)*1+42)</f>
        <v>1563.7666999999999</v>
      </c>
      <c r="I97" s="172" cm="1">
        <f t="array" ref="I97">INDEX($E:$E,(COLUMN(I97)-4)*1+42)</f>
        <v>3037.1588999999999</v>
      </c>
      <c r="J97" s="172" cm="1">
        <f t="array" ref="J97">INDEX($E:$E,(COLUMN(J97)-4)*1+42)</f>
        <v>3149.8386</v>
      </c>
      <c r="K97" s="172" cm="1">
        <f t="array" ref="K97">INDEX($E:$E,(COLUMN(K97)-4)*1+42)</f>
        <v>3149.8388</v>
      </c>
      <c r="L97" s="120" cm="1">
        <f t="array" ref="L97">INDEX($E:$E,(COLUMN(L97)-4)*1+42)</f>
        <v>3150.2815000000001</v>
      </c>
      <c r="Q97" s="185" t="s">
        <v>158</v>
      </c>
      <c r="R97" s="373" cm="1">
        <f t="array" ref="R97">SUM(($B$14*$D$98:$L$98)/2)*$H$13</f>
        <v>28.114395933002374</v>
      </c>
    </row>
    <row r="98" spans="3:39" ht="20" thickBot="1" x14ac:dyDescent="0.3">
      <c r="C98" s="173" t="s">
        <v>91</v>
      </c>
      <c r="D98" s="268">
        <f>D97*$L$9</f>
        <v>40393083527940</v>
      </c>
      <c r="E98" s="268">
        <f t="shared" ref="E98:L98" si="7">E97*$L$9</f>
        <v>40393119503100</v>
      </c>
      <c r="F98" s="268">
        <f t="shared" si="7"/>
        <v>40402856779740</v>
      </c>
      <c r="G98" s="268">
        <f t="shared" si="7"/>
        <v>46880592056220</v>
      </c>
      <c r="H98" s="268">
        <f t="shared" si="7"/>
        <v>46880631029310</v>
      </c>
      <c r="I98" s="268">
        <f t="shared" si="7"/>
        <v>91051897810770</v>
      </c>
      <c r="J98" s="268">
        <f t="shared" si="7"/>
        <v>94429956340980</v>
      </c>
      <c r="K98" s="268">
        <f t="shared" si="7"/>
        <v>94429962336840</v>
      </c>
      <c r="L98" s="268">
        <f t="shared" si="7"/>
        <v>94443234172950</v>
      </c>
      <c r="P98" s="370"/>
      <c r="Q98" s="56"/>
    </row>
    <row r="99" spans="3:39" ht="17" thickBot="1" x14ac:dyDescent="0.25"/>
    <row r="100" spans="3:39" ht="30" customHeight="1" thickBot="1" x14ac:dyDescent="0.5">
      <c r="C100" s="473" t="s">
        <v>152</v>
      </c>
      <c r="D100" s="474"/>
      <c r="E100" s="474"/>
      <c r="F100" s="474"/>
      <c r="G100" s="474"/>
      <c r="H100" s="474"/>
      <c r="I100" s="474"/>
      <c r="J100" s="474"/>
      <c r="K100" s="474"/>
      <c r="L100" s="475"/>
      <c r="M100" s="175" t="s">
        <v>93</v>
      </c>
    </row>
    <row r="101" spans="3:39" ht="38" customHeight="1" thickBot="1" x14ac:dyDescent="0.35">
      <c r="C101" s="176" t="s">
        <v>94</v>
      </c>
      <c r="D101" s="177">
        <v>1</v>
      </c>
      <c r="E101" s="178">
        <f t="shared" ref="E101:L101" si="8">D101+1</f>
        <v>2</v>
      </c>
      <c r="F101" s="178">
        <f t="shared" si="8"/>
        <v>3</v>
      </c>
      <c r="G101" s="178">
        <f t="shared" si="8"/>
        <v>4</v>
      </c>
      <c r="H101" s="178">
        <f t="shared" si="8"/>
        <v>5</v>
      </c>
      <c r="I101" s="178">
        <f t="shared" si="8"/>
        <v>6</v>
      </c>
      <c r="J101" s="178">
        <f t="shared" si="8"/>
        <v>7</v>
      </c>
      <c r="K101" s="178">
        <f t="shared" si="8"/>
        <v>8</v>
      </c>
      <c r="L101" s="179">
        <f t="shared" si="8"/>
        <v>9</v>
      </c>
      <c r="M101" s="180"/>
      <c r="P101" s="153" t="s">
        <v>82</v>
      </c>
      <c r="Q101" s="154"/>
      <c r="R101" s="154"/>
      <c r="S101" s="154"/>
      <c r="T101" s="154"/>
      <c r="U101" s="56"/>
      <c r="V101" s="56"/>
      <c r="Z101" s="181" t="s">
        <v>79</v>
      </c>
      <c r="AA101" s="182" t="s">
        <v>95</v>
      </c>
      <c r="AB101" s="183" t="s">
        <v>96</v>
      </c>
      <c r="AC101" s="183" t="s">
        <v>97</v>
      </c>
      <c r="AD101" s="361" t="s">
        <v>153</v>
      </c>
      <c r="AE101" s="184" t="s">
        <v>99</v>
      </c>
      <c r="AG101" s="463" t="s">
        <v>82</v>
      </c>
      <c r="AH101" s="463"/>
      <c r="AI101" s="463"/>
      <c r="AJ101" s="463"/>
      <c r="AK101" s="463"/>
      <c r="AL101" s="463"/>
      <c r="AM101" s="463"/>
    </row>
    <row r="102" spans="3:39" ht="20" thickBot="1" x14ac:dyDescent="0.3">
      <c r="C102" s="185">
        <v>298.14999999999998</v>
      </c>
      <c r="D102" s="306">
        <f>1/(1-EXP(-($B$14*D$98)/($B$8*$C102)))</f>
        <v>1.001502745885702</v>
      </c>
      <c r="E102" s="362">
        <f t="shared" ref="E102:L102" si="9">1/(1-EXP(-($B$14*E$98)/($B$8*$C102)))</f>
        <v>1.0015027371705163</v>
      </c>
      <c r="F102" s="362">
        <f t="shared" si="9"/>
        <v>1.0015003801203535</v>
      </c>
      <c r="G102" s="362">
        <f t="shared" si="9"/>
        <v>1.0005283714942226</v>
      </c>
      <c r="H102" s="362">
        <f t="shared" si="9"/>
        <v>1.0005283681778008</v>
      </c>
      <c r="I102" s="362">
        <f t="shared" si="9"/>
        <v>1.0000004313389701</v>
      </c>
      <c r="J102" s="362">
        <f t="shared" si="9"/>
        <v>1.0000002504194572</v>
      </c>
      <c r="K102" s="362">
        <f t="shared" si="9"/>
        <v>1.0000002504192154</v>
      </c>
      <c r="L102" s="363">
        <f t="shared" si="9"/>
        <v>1.0000002498848082</v>
      </c>
      <c r="M102" s="189">
        <f xml:space="preserve"> PRODUCT(D102:L102)</f>
        <v>1.0055756116022561</v>
      </c>
      <c r="N102" s="371"/>
      <c r="Z102" s="185">
        <v>298.14999999999998</v>
      </c>
      <c r="AA102" s="190">
        <f>$E65</f>
        <v>2521719.6110947789</v>
      </c>
      <c r="AB102" s="191" cm="1">
        <f t="array" ref="AB102">PRODUCT(EXP(-($B$14*$D$98:$L$98)/(2*$B$8*$Z102))/(1-EXP(-($B$14*$D$98:$L$98)/($B$8*$Z102))))</f>
        <v>2.5355808117016426E-21</v>
      </c>
      <c r="AC102" s="192">
        <f>$E137</f>
        <v>146.40315964100756</v>
      </c>
      <c r="AD102" s="193">
        <f>$D175</f>
        <v>1</v>
      </c>
      <c r="AE102" s="194">
        <f>PRODUCT(AA102:AD102)</f>
        <v>9.3610529568735256E-13</v>
      </c>
    </row>
    <row r="103" spans="3:39" ht="22" thickBot="1" x14ac:dyDescent="0.3">
      <c r="C103" s="195">
        <v>300</v>
      </c>
      <c r="D103" s="186">
        <f t="shared" ref="D103:L120" si="10">1/(1-EXP(-($B$14*D$98)/($B$8*$C103)))</f>
        <v>1.0015643195579438</v>
      </c>
      <c r="E103" s="186">
        <f t="shared" si="10"/>
        <v>1.0015643105410525</v>
      </c>
      <c r="F103" s="186">
        <f t="shared" si="10"/>
        <v>1.0015618718819772</v>
      </c>
      <c r="G103" s="186">
        <f t="shared" si="10"/>
        <v>1.0005535543466593</v>
      </c>
      <c r="H103" s="186">
        <f t="shared" si="10"/>
        <v>1.0005535508935117</v>
      </c>
      <c r="I103" s="186">
        <f t="shared" si="10"/>
        <v>1.0000004721398603</v>
      </c>
      <c r="J103" s="186">
        <f t="shared" si="10"/>
        <v>1.00000027502761</v>
      </c>
      <c r="K103" s="186">
        <f t="shared" si="10"/>
        <v>1.000000275027346</v>
      </c>
      <c r="L103" s="186">
        <f t="shared" si="10"/>
        <v>1.0000002744440393</v>
      </c>
      <c r="M103" s="198">
        <f t="shared" ref="M103:M120" si="11" xml:space="preserve"> PRODUCT(D103:L103)</f>
        <v>1.0058117576803012</v>
      </c>
      <c r="N103" s="372"/>
      <c r="R103" s="151" t="s">
        <v>156</v>
      </c>
      <c r="S103" s="151" t="s">
        <v>155</v>
      </c>
      <c r="T103" s="377" t="s">
        <v>157</v>
      </c>
      <c r="Z103" s="195">
        <v>300</v>
      </c>
      <c r="AA103" s="199">
        <f t="shared" ref="AA103:AA120" si="12">$E66</f>
        <v>2561019.5780483168</v>
      </c>
      <c r="AB103" s="56" cm="1">
        <f t="array" ref="AB103">PRODUCT(EXP(-($B$14*$D$98:$L$98)/(2*$B$8*$Z103))/(1-EXP(-($B$14*$D$98:$L$98)/($B$8*$Z103))))</f>
        <v>3.3978367772632512E-21</v>
      </c>
      <c r="AC103" s="158">
        <f t="shared" ref="AC103:AC120" si="13">$E138</f>
        <v>147.76790334428063</v>
      </c>
      <c r="AD103" s="200">
        <f t="shared" ref="AD103:AD120" si="14">$D176</f>
        <v>1</v>
      </c>
      <c r="AE103" s="201">
        <f t="shared" ref="AE103:AE120" si="15">PRODUCT(AA103:AD103)</f>
        <v>1.28586543537721E-12</v>
      </c>
    </row>
    <row r="104" spans="3:39" ht="20" thickBot="1" x14ac:dyDescent="0.3">
      <c r="C104" s="202">
        <f>C103+100</f>
        <v>400</v>
      </c>
      <c r="D104" s="186">
        <f t="shared" si="10"/>
        <v>1.0079188210319143</v>
      </c>
      <c r="E104" s="186">
        <f t="shared" si="10"/>
        <v>1.0079187865810466</v>
      </c>
      <c r="F104" s="186">
        <f t="shared" si="10"/>
        <v>1.0079094674309652</v>
      </c>
      <c r="G104" s="186">
        <f t="shared" si="10"/>
        <v>1.0036204240020374</v>
      </c>
      <c r="H104" s="186">
        <f t="shared" si="10"/>
        <v>1.0036204070115811</v>
      </c>
      <c r="I104" s="186">
        <f t="shared" si="10"/>
        <v>1.0000180119473601</v>
      </c>
      <c r="J104" s="186">
        <f t="shared" si="10"/>
        <v>1.0000120098434726</v>
      </c>
      <c r="K104" s="186">
        <f t="shared" si="10"/>
        <v>1.0000120098348328</v>
      </c>
      <c r="L104" s="186">
        <f t="shared" si="10"/>
        <v>1.0000119907257512</v>
      </c>
      <c r="M104" s="198">
        <f t="shared" si="11"/>
        <v>1.0314188286923798</v>
      </c>
      <c r="N104" s="372"/>
      <c r="Q104" s="162" t="s">
        <v>84</v>
      </c>
      <c r="R104" s="129">
        <f>M102</f>
        <v>1.0055756116022561</v>
      </c>
      <c r="S104" s="375">
        <f>M124</f>
        <v>2.5355808117016426E-21</v>
      </c>
      <c r="T104" s="378">
        <f>R97</f>
        <v>28.114395933002374</v>
      </c>
      <c r="Z104" s="202">
        <f>Z103+100</f>
        <v>400</v>
      </c>
      <c r="AA104" s="199">
        <f t="shared" si="12"/>
        <v>5257263.4410172841</v>
      </c>
      <c r="AB104" s="56" cm="1">
        <f t="array" ref="AB104">PRODUCT(EXP(-($B$14*$D$98:$L$98)/(2*$B$8*$Z104))/(1-EXP(-($B$14*$D$98:$L$98)/($B$8*$Z104))))</f>
        <v>4.5703494617055732E-16</v>
      </c>
      <c r="AC104" s="158">
        <f t="shared" si="13"/>
        <v>227.50357006241873</v>
      </c>
      <c r="AD104" s="200">
        <f t="shared" si="14"/>
        <v>1</v>
      </c>
      <c r="AE104" s="201">
        <f t="shared" si="15"/>
        <v>5.4663491136121635E-7</v>
      </c>
    </row>
    <row r="105" spans="3:39" ht="23" thickBot="1" x14ac:dyDescent="0.35">
      <c r="C105" s="202">
        <f t="shared" ref="C105:C120" si="16">C104+100</f>
        <v>500</v>
      </c>
      <c r="D105" s="186">
        <f t="shared" si="10"/>
        <v>1.0211483663613727</v>
      </c>
      <c r="E105" s="186">
        <f t="shared" si="10"/>
        <v>1.0211482917903822</v>
      </c>
      <c r="F105" s="186">
        <f t="shared" si="10"/>
        <v>1.0211281177731237</v>
      </c>
      <c r="G105" s="186">
        <f t="shared" si="10"/>
        <v>1.0112358102526948</v>
      </c>
      <c r="H105" s="186">
        <f t="shared" si="10"/>
        <v>1.0112357677493473</v>
      </c>
      <c r="I105" s="186">
        <f t="shared" si="10"/>
        <v>1.0001601444239401</v>
      </c>
      <c r="J105" s="186">
        <f t="shared" si="10"/>
        <v>1.0001157913159733</v>
      </c>
      <c r="K105" s="186">
        <f t="shared" si="10"/>
        <v>1.0001157912493264</v>
      </c>
      <c r="L105" s="186">
        <f t="shared" si="10"/>
        <v>1.0001156438204133</v>
      </c>
      <c r="M105" s="198">
        <f t="shared" si="11"/>
        <v>1.089389272054446</v>
      </c>
      <c r="N105" s="372"/>
      <c r="Q105" s="163" t="s">
        <v>85</v>
      </c>
      <c r="R105" s="147">
        <f>P38</f>
        <v>1.0055799999999999</v>
      </c>
      <c r="S105" s="376">
        <f>P37</f>
        <v>2.5358200000000001E-21</v>
      </c>
      <c r="T105" s="365">
        <f>D38</f>
        <v>28.101199999999999</v>
      </c>
      <c r="Z105" s="202">
        <f t="shared" ref="Z105:Z120" si="17">Z104+100</f>
        <v>500</v>
      </c>
      <c r="AA105" s="199">
        <f t="shared" si="12"/>
        <v>9184061.2732337248</v>
      </c>
      <c r="AB105" s="56" cm="1">
        <f t="array" ref="AB105">PRODUCT(EXP(-($B$14*$D$98:$L$98)/(2*$B$8*$Z105))/(1-EXP(-($B$14*$D$98:$L$98)/($B$8*$Z105))))</f>
        <v>5.6806048065785407E-13</v>
      </c>
      <c r="AC105" s="158">
        <f t="shared" si="13"/>
        <v>317.9459048646591</v>
      </c>
      <c r="AD105" s="200">
        <f t="shared" si="14"/>
        <v>1</v>
      </c>
      <c r="AE105" s="201">
        <f t="shared" si="15"/>
        <v>1.6587562992291475E-3</v>
      </c>
      <c r="AJ105" s="151" t="s">
        <v>160</v>
      </c>
      <c r="AK105" s="218" t="s">
        <v>168</v>
      </c>
    </row>
    <row r="106" spans="3:39" ht="23" thickBot="1" x14ac:dyDescent="0.35">
      <c r="C106" s="202">
        <f t="shared" si="16"/>
        <v>600</v>
      </c>
      <c r="D106" s="186">
        <f t="shared" si="10"/>
        <v>1.0411467228910303</v>
      </c>
      <c r="E106" s="186">
        <f t="shared" si="10"/>
        <v>1.0411465996173712</v>
      </c>
      <c r="F106" s="186">
        <f t="shared" si="10"/>
        <v>1.0411132476577052</v>
      </c>
      <c r="G106" s="186">
        <f t="shared" si="10"/>
        <v>1.0240878010750731</v>
      </c>
      <c r="H106" s="186">
        <f t="shared" si="10"/>
        <v>1.0240877241762807</v>
      </c>
      <c r="I106" s="186">
        <f t="shared" si="10"/>
        <v>1.0006875966433311</v>
      </c>
      <c r="J106" s="186">
        <f t="shared" si="10"/>
        <v>1.0005247058481495</v>
      </c>
      <c r="K106" s="186">
        <f t="shared" si="10"/>
        <v>1.0005247055963724</v>
      </c>
      <c r="L106" s="186">
        <f t="shared" si="10"/>
        <v>1.0005241485840228</v>
      </c>
      <c r="M106" s="198">
        <f t="shared" si="11"/>
        <v>1.1862545013821679</v>
      </c>
      <c r="N106" s="372"/>
      <c r="Q106" s="164" t="s">
        <v>86</v>
      </c>
      <c r="R106" s="165">
        <f>ABS(R104-R105)/R104</f>
        <v>4.3640654101259817E-6</v>
      </c>
      <c r="S106" s="165">
        <f>ABS(S104-S105)/S104</f>
        <v>9.4332745086922056E-5</v>
      </c>
      <c r="T106" s="165">
        <f>ABS(T104-T105)/T104</f>
        <v>4.6936569556115714E-4</v>
      </c>
      <c r="Z106" s="202">
        <f t="shared" si="17"/>
        <v>600</v>
      </c>
      <c r="AA106" s="199">
        <f t="shared" si="12"/>
        <v>14487314.483115843</v>
      </c>
      <c r="AB106" s="56" cm="1">
        <f t="array" ref="AB106">PRODUCT(EXP(-($B$14*$D$98:$L$98)/(2*$B$8*$Z106))/(1-EXP(-($B$14*$D$98:$L$98)/($B$8*$Z106))))</f>
        <v>6.8947857557642675E-11</v>
      </c>
      <c r="AC106" s="158">
        <f t="shared" si="13"/>
        <v>417.95074598583614</v>
      </c>
      <c r="AD106" s="200">
        <f t="shared" si="14"/>
        <v>1</v>
      </c>
      <c r="AE106" s="201">
        <f t="shared" si="15"/>
        <v>0.41747816714417929</v>
      </c>
      <c r="AI106" s="162" t="s">
        <v>84</v>
      </c>
      <c r="AJ106" s="129">
        <f>AE102</f>
        <v>9.3610529568735256E-13</v>
      </c>
      <c r="AK106" s="379">
        <f>AA103*AC103*AD103*M103</f>
        <v>380635874.66929531</v>
      </c>
    </row>
    <row r="107" spans="3:39" ht="20" thickBot="1" x14ac:dyDescent="0.3">
      <c r="C107" s="202">
        <f t="shared" si="16"/>
        <v>700</v>
      </c>
      <c r="D107" s="186">
        <f t="shared" si="10"/>
        <v>1.0668958461908211</v>
      </c>
      <c r="E107" s="186">
        <f t="shared" si="10"/>
        <v>1.0668956701564172</v>
      </c>
      <c r="F107" s="186">
        <f t="shared" si="10"/>
        <v>1.0668480416047625</v>
      </c>
      <c r="G107" s="186">
        <f t="shared" si="10"/>
        <v>1.0418719197568811</v>
      </c>
      <c r="H107" s="186">
        <f t="shared" si="10"/>
        <v>1.0418718031898679</v>
      </c>
      <c r="I107" s="186">
        <f t="shared" si="10"/>
        <v>1.0019486453405293</v>
      </c>
      <c r="J107" s="186">
        <f t="shared" si="10"/>
        <v>1.0015451641146964</v>
      </c>
      <c r="K107" s="186">
        <f t="shared" si="10"/>
        <v>1.00154516347853</v>
      </c>
      <c r="L107" s="186">
        <f t="shared" si="10"/>
        <v>1.0015437559667084</v>
      </c>
      <c r="M107" s="198">
        <f t="shared" si="11"/>
        <v>1.3268799313733808</v>
      </c>
      <c r="N107" s="372"/>
      <c r="Z107" s="202">
        <f t="shared" si="17"/>
        <v>700</v>
      </c>
      <c r="AA107" s="199">
        <f t="shared" si="12"/>
        <v>21298786.576327905</v>
      </c>
      <c r="AB107" s="56" cm="1">
        <f t="array" ref="AB107">PRODUCT(EXP(-($B$14*$D$98:$L$98)/(2*$B$8*$Z107))/(1-EXP(-($B$14*$D$98:$L$98)/($B$8*$Z107))))</f>
        <v>2.2356883107766513E-9</v>
      </c>
      <c r="AC107" s="158">
        <f t="shared" si="13"/>
        <v>526.67813516895399</v>
      </c>
      <c r="AD107" s="200">
        <f t="shared" si="14"/>
        <v>1</v>
      </c>
      <c r="AE107" s="201">
        <f t="shared" si="15"/>
        <v>25.079068810222818</v>
      </c>
      <c r="AI107" s="163" t="s">
        <v>85</v>
      </c>
      <c r="AJ107" s="147">
        <f>$P35</f>
        <v>9.3664799999999991E-13</v>
      </c>
      <c r="AK107" s="158"/>
    </row>
    <row r="108" spans="3:39" ht="22" x14ac:dyDescent="0.3">
      <c r="C108" s="202">
        <f t="shared" si="16"/>
        <v>800</v>
      </c>
      <c r="D108" s="186">
        <f t="shared" si="10"/>
        <v>1.097258223080785</v>
      </c>
      <c r="E108" s="186">
        <f t="shared" si="10"/>
        <v>1.097257992767148</v>
      </c>
      <c r="F108" s="186">
        <f t="shared" si="10"/>
        <v>1.0971956763660897</v>
      </c>
      <c r="G108" s="186">
        <f t="shared" si="10"/>
        <v>1.0638992052769769</v>
      </c>
      <c r="H108" s="186">
        <f t="shared" si="10"/>
        <v>1.0638990463335716</v>
      </c>
      <c r="I108" s="186">
        <f t="shared" si="10"/>
        <v>1.004262098632408</v>
      </c>
      <c r="J108" s="186">
        <f t="shared" si="10"/>
        <v>1.0034775527604027</v>
      </c>
      <c r="K108" s="186">
        <f t="shared" si="10"/>
        <v>1.0034775515051966</v>
      </c>
      <c r="L108" s="186">
        <f t="shared" si="10"/>
        <v>1.0034747742200776</v>
      </c>
      <c r="M108" s="198">
        <f t="shared" si="11"/>
        <v>1.5172999529346272</v>
      </c>
      <c r="N108" s="372"/>
      <c r="Z108" s="202">
        <f t="shared" si="17"/>
        <v>800</v>
      </c>
      <c r="AA108" s="199">
        <f t="shared" si="12"/>
        <v>29739573.03701964</v>
      </c>
      <c r="AB108" s="56" cm="1">
        <f t="array" ref="AB108">PRODUCT(EXP(-($B$14*$D$98:$L$98)/(2*$B$8*$Z108))/(1-EXP(-($B$14*$D$98:$L$98)/($B$8*$Z108))))</f>
        <v>3.1939537355046428E-8</v>
      </c>
      <c r="AC108" s="158">
        <f t="shared" si="13"/>
        <v>643.47726854113989</v>
      </c>
      <c r="AD108" s="200">
        <f t="shared" si="14"/>
        <v>1</v>
      </c>
      <c r="AE108" s="201">
        <f t="shared" si="15"/>
        <v>611.21859734475925</v>
      </c>
      <c r="AI108" s="164" t="s">
        <v>86</v>
      </c>
      <c r="AJ108" s="165">
        <f>ABS(AJ106-AJ107)/AJ106</f>
        <v>5.7974708096150088E-4</v>
      </c>
      <c r="AK108" s="295"/>
    </row>
    <row r="109" spans="3:39" ht="19" x14ac:dyDescent="0.25">
      <c r="C109" s="202">
        <f t="shared" si="16"/>
        <v>900</v>
      </c>
      <c r="D109" s="186">
        <f t="shared" si="10"/>
        <v>1.1312527887470225</v>
      </c>
      <c r="E109" s="186">
        <f t="shared" si="10"/>
        <v>1.1312525039075372</v>
      </c>
      <c r="F109" s="186">
        <f t="shared" si="10"/>
        <v>1.1311754327102614</v>
      </c>
      <c r="G109" s="186">
        <f t="shared" si="10"/>
        <v>1.0894351019398871</v>
      </c>
      <c r="H109" s="186">
        <f t="shared" si="10"/>
        <v>1.089434899449943</v>
      </c>
      <c r="I109" s="186">
        <f t="shared" si="10"/>
        <v>1.0078478700490252</v>
      </c>
      <c r="J109" s="186">
        <f t="shared" si="10"/>
        <v>1.0065457423655166</v>
      </c>
      <c r="K109" s="186">
        <f t="shared" si="10"/>
        <v>1.0065457402589577</v>
      </c>
      <c r="L109" s="186">
        <f t="shared" si="10"/>
        <v>1.0065410790626481</v>
      </c>
      <c r="M109" s="198">
        <f t="shared" si="11"/>
        <v>1.7658155878493342</v>
      </c>
      <c r="N109" s="372"/>
      <c r="Z109" s="202">
        <f t="shared" si="17"/>
        <v>900</v>
      </c>
      <c r="AA109" s="199">
        <f t="shared" si="12"/>
        <v>39922344.255225062</v>
      </c>
      <c r="AB109" s="56" cm="1">
        <f t="array" ref="AB109">PRODUCT(EXP(-($B$14*$D$98:$L$98)/(2*$B$8*$Z109))/(1-EXP(-($B$14*$D$98:$L$98)/($B$8*$Z109))))</f>
        <v>2.6495611538135276E-7</v>
      </c>
      <c r="AC109" s="158">
        <f t="shared" si="13"/>
        <v>767.82454896066304</v>
      </c>
      <c r="AD109" s="200">
        <f t="shared" si="14"/>
        <v>1</v>
      </c>
      <c r="AE109" s="201">
        <f t="shared" si="15"/>
        <v>8121.7941215363771</v>
      </c>
    </row>
    <row r="110" spans="3:39" ht="19" x14ac:dyDescent="0.25">
      <c r="C110" s="202">
        <f t="shared" si="16"/>
        <v>1000</v>
      </c>
      <c r="D110" s="186">
        <f t="shared" si="10"/>
        <v>1.1681028482975413</v>
      </c>
      <c r="E110" s="186">
        <f t="shared" si="10"/>
        <v>1.168102509273357</v>
      </c>
      <c r="F110" s="186">
        <f t="shared" si="10"/>
        <v>1.1680107754756544</v>
      </c>
      <c r="G110" s="186">
        <f t="shared" si="10"/>
        <v>1.1178287447499178</v>
      </c>
      <c r="H110" s="186">
        <f t="shared" si="10"/>
        <v>1.1178284983939122</v>
      </c>
      <c r="I110" s="186">
        <f t="shared" si="10"/>
        <v>1.0128159758931319</v>
      </c>
      <c r="J110" s="186">
        <f t="shared" si="10"/>
        <v>1.0108770516326</v>
      </c>
      <c r="K110" s="186">
        <f t="shared" si="10"/>
        <v>1.0108770484686236</v>
      </c>
      <c r="L110" s="186">
        <f t="shared" si="10"/>
        <v>1.0108700472862697</v>
      </c>
      <c r="M110" s="198">
        <f t="shared" si="11"/>
        <v>2.083444256061747</v>
      </c>
      <c r="N110" s="372"/>
      <c r="Z110" s="202">
        <f t="shared" si="17"/>
        <v>1000</v>
      </c>
      <c r="AA110" s="199">
        <f t="shared" si="12"/>
        <v>51952896.041090004</v>
      </c>
      <c r="AB110" s="56" cm="1">
        <f t="array" ref="AB110">PRODUCT(EXP(-($B$14*$D$98:$L$98)/(2*$B$8*$Z110))/(1-EXP(-($B$14*$D$98:$L$98)/($B$8*$Z110))))</f>
        <v>1.5044841838196512E-6</v>
      </c>
      <c r="AC110" s="158">
        <f t="shared" si="13"/>
        <v>899.28682152117278</v>
      </c>
      <c r="AD110" s="200">
        <f t="shared" si="14"/>
        <v>1</v>
      </c>
      <c r="AE110" s="201">
        <f t="shared" si="15"/>
        <v>70290.335680070973</v>
      </c>
    </row>
    <row r="111" spans="3:39" ht="19" x14ac:dyDescent="0.25">
      <c r="C111" s="202">
        <f t="shared" si="16"/>
        <v>1100</v>
      </c>
      <c r="D111" s="186">
        <f t="shared" si="10"/>
        <v>1.2072117353363687</v>
      </c>
      <c r="E111" s="186">
        <f t="shared" si="10"/>
        <v>1.207211342709827</v>
      </c>
      <c r="F111" s="186">
        <f t="shared" si="10"/>
        <v>1.2071051038311731</v>
      </c>
      <c r="G111" s="186">
        <f t="shared" si="10"/>
        <v>1.1485431975767912</v>
      </c>
      <c r="H111" s="186">
        <f t="shared" si="10"/>
        <v>1.1485429074792353</v>
      </c>
      <c r="I111" s="186">
        <f t="shared" si="10"/>
        <v>1.0191866978516599</v>
      </c>
      <c r="J111" s="186">
        <f t="shared" si="10"/>
        <v>1.0165140015837262</v>
      </c>
      <c r="K111" s="186">
        <f t="shared" si="10"/>
        <v>1.0165139971923896</v>
      </c>
      <c r="L111" s="186">
        <f t="shared" si="10"/>
        <v>1.0165042798769091</v>
      </c>
      <c r="M111" s="198">
        <f t="shared" si="11"/>
        <v>2.4842545094398427</v>
      </c>
      <c r="N111" s="372"/>
      <c r="Z111" s="202">
        <f t="shared" si="17"/>
        <v>1100</v>
      </c>
      <c r="AA111" s="199">
        <f t="shared" si="12"/>
        <v>65931275.037711106</v>
      </c>
      <c r="AB111" s="56" cm="1">
        <f t="array" ref="AB111">PRODUCT(EXP(-($B$14*$D$98:$L$98)/(2*$B$8*$Z111))/(1-EXP(-($B$14*$D$98:$L$98)/($B$8*$Z111))))</f>
        <v>6.4879933666317555E-6</v>
      </c>
      <c r="AC111" s="158">
        <f t="shared" si="13"/>
        <v>1037.4979729996389</v>
      </c>
      <c r="AD111" s="200">
        <f t="shared" si="14"/>
        <v>1</v>
      </c>
      <c r="AE111" s="201">
        <f t="shared" si="15"/>
        <v>443801.8708413578</v>
      </c>
    </row>
    <row r="112" spans="3:39" ht="19" x14ac:dyDescent="0.25">
      <c r="C112" s="202">
        <f t="shared" si="16"/>
        <v>1200</v>
      </c>
      <c r="D112" s="186">
        <f t="shared" si="10"/>
        <v>1.2481244407635141</v>
      </c>
      <c r="E112" s="186">
        <f t="shared" si="10"/>
        <v>1.248123995188587</v>
      </c>
      <c r="F112" s="186">
        <f t="shared" si="10"/>
        <v>1.2480034281657924</v>
      </c>
      <c r="G112" s="186">
        <f t="shared" si="10"/>
        <v>1.1811483729437169</v>
      </c>
      <c r="H112" s="186">
        <f t="shared" si="10"/>
        <v>1.1811480394448843</v>
      </c>
      <c r="I112" s="186">
        <f t="shared" si="10"/>
        <v>1.0269186742512948</v>
      </c>
      <c r="J112" s="186">
        <f t="shared" si="10"/>
        <v>1.0234371732922418</v>
      </c>
      <c r="K112" s="186">
        <f t="shared" si="10"/>
        <v>1.0234371675403739</v>
      </c>
      <c r="L112" s="186">
        <f t="shared" si="10"/>
        <v>1.0234244393193177</v>
      </c>
      <c r="M112" s="198">
        <f t="shared" si="11"/>
        <v>2.9857565618685236</v>
      </c>
      <c r="N112" s="372"/>
      <c r="Z112" s="202">
        <f t="shared" si="17"/>
        <v>1200</v>
      </c>
      <c r="AA112" s="199">
        <f t="shared" si="12"/>
        <v>81952626.497546583</v>
      </c>
      <c r="AB112" s="56" cm="1">
        <f t="array" ref="AB112">PRODUCT(EXP(-($B$14*$D$98:$L$98)/(2*$B$8*$Z112))/(1-EXP(-($B$14*$D$98:$L$98)/($B$8*$Z112))))</f>
        <v>2.2762808596289294E-5</v>
      </c>
      <c r="AC112" s="158">
        <f t="shared" si="13"/>
        <v>1182.143226754245</v>
      </c>
      <c r="AD112" s="200">
        <f t="shared" si="14"/>
        <v>1</v>
      </c>
      <c r="AE112" s="201">
        <f t="shared" si="15"/>
        <v>2205255.0314881899</v>
      </c>
    </row>
    <row r="113" spans="2:31" ht="19" x14ac:dyDescent="0.25">
      <c r="C113" s="202">
        <f t="shared" si="16"/>
        <v>1300</v>
      </c>
      <c r="D113" s="186">
        <f t="shared" si="10"/>
        <v>1.2904929768244733</v>
      </c>
      <c r="E113" s="186">
        <f t="shared" si="10"/>
        <v>1.2904924789469741</v>
      </c>
      <c r="F113" s="186">
        <f t="shared" si="10"/>
        <v>1.2903577585290213</v>
      </c>
      <c r="G113" s="186">
        <f t="shared" si="10"/>
        <v>1.2153033768772523</v>
      </c>
      <c r="H113" s="186">
        <f t="shared" si="10"/>
        <v>1.2153030004085486</v>
      </c>
      <c r="I113" s="186">
        <f t="shared" si="10"/>
        <v>1.0359337111706282</v>
      </c>
      <c r="J113" s="186">
        <f t="shared" si="10"/>
        <v>1.0315875527238507</v>
      </c>
      <c r="K113" s="186">
        <f t="shared" si="10"/>
        <v>1.0315875455110746</v>
      </c>
      <c r="L113" s="186">
        <f t="shared" si="10"/>
        <v>1.0315715841908313</v>
      </c>
      <c r="M113" s="198">
        <f t="shared" si="11"/>
        <v>3.6093920325554492</v>
      </c>
      <c r="N113" s="372"/>
      <c r="Z113" s="202">
        <f t="shared" si="17"/>
        <v>1300</v>
      </c>
      <c r="AA113" s="199">
        <f t="shared" si="12"/>
        <v>100107851.90564039</v>
      </c>
      <c r="AB113" s="56" cm="1">
        <f t="array" ref="AB113">PRODUCT(EXP(-($B$14*$D$98:$L$98)/(2*$B$8*$Z113))/(1-EXP(-($B$14*$D$98:$L$98)/($B$8*$Z113))))</f>
        <v>6.8121566395477971E-5</v>
      </c>
      <c r="AC113" s="158">
        <f t="shared" si="13"/>
        <v>1332.9481542181418</v>
      </c>
      <c r="AD113" s="200">
        <f t="shared" si="14"/>
        <v>1</v>
      </c>
      <c r="AE113" s="201">
        <f t="shared" si="15"/>
        <v>9090044.8433380537</v>
      </c>
    </row>
    <row r="114" spans="2:31" ht="19" x14ac:dyDescent="0.25">
      <c r="C114" s="202">
        <f t="shared" si="16"/>
        <v>1400</v>
      </c>
      <c r="D114" s="186">
        <f t="shared" si="10"/>
        <v>1.3340491737546138</v>
      </c>
      <c r="E114" s="186">
        <f t="shared" si="10"/>
        <v>1.3340486241773177</v>
      </c>
      <c r="F114" s="186">
        <f t="shared" si="10"/>
        <v>1.333899913478289</v>
      </c>
      <c r="G114" s="186">
        <f t="shared" si="10"/>
        <v>1.2507383302230157</v>
      </c>
      <c r="H114" s="186">
        <f t="shared" si="10"/>
        <v>1.2507379112405488</v>
      </c>
      <c r="I114" s="186">
        <f t="shared" si="10"/>
        <v>1.0461350975537651</v>
      </c>
      <c r="J114" s="186">
        <f t="shared" si="10"/>
        <v>1.040884097079861</v>
      </c>
      <c r="K114" s="186">
        <f t="shared" si="10"/>
        <v>1.0408840883329948</v>
      </c>
      <c r="L114" s="186">
        <f t="shared" si="10"/>
        <v>1.0408647319107658</v>
      </c>
      <c r="M114" s="198">
        <f t="shared" si="11"/>
        <v>4.3811318605683862</v>
      </c>
      <c r="N114" s="372"/>
      <c r="Z114" s="202">
        <f t="shared" si="17"/>
        <v>1400</v>
      </c>
      <c r="AA114" s="199">
        <f t="shared" si="12"/>
        <v>120484131.35333039</v>
      </c>
      <c r="AB114" s="56" cm="1">
        <f t="array" ref="AB114">PRODUCT(EXP(-($B$14*$D$98:$L$98)/(2*$B$8*$Z114))/(1-EXP(-($B$14*$D$98:$L$98)/($B$8*$Z114))))</f>
        <v>1.798357952614356E-4</v>
      </c>
      <c r="AC114" s="158">
        <f t="shared" si="13"/>
        <v>1489.6707235226113</v>
      </c>
      <c r="AD114" s="200">
        <f t="shared" si="14"/>
        <v>1</v>
      </c>
      <c r="AE114" s="201">
        <f t="shared" si="15"/>
        <v>32277231.219844803</v>
      </c>
    </row>
    <row r="115" spans="2:31" ht="19" x14ac:dyDescent="0.25">
      <c r="C115" s="202">
        <f t="shared" si="16"/>
        <v>1500</v>
      </c>
      <c r="D115" s="186">
        <f t="shared" si="10"/>
        <v>1.3785843656871497</v>
      </c>
      <c r="E115" s="186">
        <f t="shared" si="10"/>
        <v>1.3785837649571078</v>
      </c>
      <c r="F115" s="186">
        <f t="shared" si="10"/>
        <v>1.3784212120183357</v>
      </c>
      <c r="G115" s="186">
        <f t="shared" si="10"/>
        <v>1.2872388028536601</v>
      </c>
      <c r="H115" s="186">
        <f t="shared" si="10"/>
        <v>1.287238341804031</v>
      </c>
      <c r="I115" s="186">
        <f t="shared" si="10"/>
        <v>1.0574197797572709</v>
      </c>
      <c r="J115" s="186">
        <f t="shared" si="10"/>
        <v>1.0512360301515864</v>
      </c>
      <c r="K115" s="186">
        <f t="shared" si="10"/>
        <v>1.0512360198190205</v>
      </c>
      <c r="L115" s="186">
        <f t="shared" si="10"/>
        <v>1.0512131540395997</v>
      </c>
      <c r="M115" s="198">
        <f t="shared" si="11"/>
        <v>5.3321853042623237</v>
      </c>
      <c r="N115" s="372"/>
      <c r="Z115" s="202">
        <f t="shared" si="17"/>
        <v>1500</v>
      </c>
      <c r="AA115" s="199">
        <f t="shared" si="12"/>
        <v>143165346.70559824</v>
      </c>
      <c r="AB115" s="56" cm="1">
        <f t="array" ref="AB115">PRODUCT(EXP(-($B$14*$D$98:$L$98)/(2*$B$8*$Z115))/(1-EXP(-($B$14*$D$98:$L$98)/($B$8*$Z115))))</f>
        <v>4.2918288474663252E-4</v>
      </c>
      <c r="AC115" s="158">
        <f t="shared" si="13"/>
        <v>1652.0953838521509</v>
      </c>
      <c r="AD115" s="200">
        <f t="shared" si="14"/>
        <v>1</v>
      </c>
      <c r="AE115" s="201">
        <f t="shared" si="15"/>
        <v>101511541.22603276</v>
      </c>
    </row>
    <row r="116" spans="2:31" ht="19" x14ac:dyDescent="0.25">
      <c r="C116" s="202">
        <f t="shared" si="16"/>
        <v>1600</v>
      </c>
      <c r="D116" s="186">
        <f t="shared" si="10"/>
        <v>1.4239344925550408</v>
      </c>
      <c r="E116" s="186">
        <f t="shared" si="10"/>
        <v>1.4239338411616116</v>
      </c>
      <c r="F116" s="186">
        <f t="shared" si="10"/>
        <v>1.4237575784158414</v>
      </c>
      <c r="G116" s="186">
        <f t="shared" si="10"/>
        <v>1.3246333873705531</v>
      </c>
      <c r="H116" s="186">
        <f t="shared" si="10"/>
        <v>1.3246328846743429</v>
      </c>
      <c r="I116" s="186">
        <f t="shared" si="10"/>
        <v>1.0696858261107502</v>
      </c>
      <c r="J116" s="186">
        <f t="shared" si="10"/>
        <v>1.0625507796369176</v>
      </c>
      <c r="K116" s="186">
        <f t="shared" si="10"/>
        <v>1.0625507676836627</v>
      </c>
      <c r="L116" s="186">
        <f t="shared" si="10"/>
        <v>1.062524315081613</v>
      </c>
      <c r="M116" s="198">
        <f t="shared" si="11"/>
        <v>6.4998240803617646</v>
      </c>
      <c r="N116" s="372"/>
      <c r="Z116" s="202">
        <f t="shared" si="17"/>
        <v>1600</v>
      </c>
      <c r="AA116" s="199">
        <f t="shared" si="12"/>
        <v>168232430.11255404</v>
      </c>
      <c r="AB116" s="56" cm="1">
        <f t="array" ref="AB116">PRODUCT(EXP(-($B$14*$D$98:$L$98)/(2*$B$8*$Z116))/(1-EXP(-($B$14*$D$98:$L$98)/($B$8*$Z116))))</f>
        <v>9.4304016652811847E-4</v>
      </c>
      <c r="AC116" s="158">
        <f t="shared" si="13"/>
        <v>1820.0285604993505</v>
      </c>
      <c r="AD116" s="200">
        <f t="shared" si="14"/>
        <v>1</v>
      </c>
      <c r="AE116" s="201">
        <f t="shared" si="15"/>
        <v>288747419.93544406</v>
      </c>
    </row>
    <row r="117" spans="2:31" ht="19" x14ac:dyDescent="0.25">
      <c r="C117" s="202">
        <f t="shared" si="16"/>
        <v>1700</v>
      </c>
      <c r="D117" s="186">
        <f t="shared" si="10"/>
        <v>1.4699692133609326</v>
      </c>
      <c r="E117" s="186">
        <f t="shared" si="10"/>
        <v>1.4699685117387287</v>
      </c>
      <c r="F117" s="186">
        <f t="shared" si="10"/>
        <v>1.4697786568059277</v>
      </c>
      <c r="G117" s="186">
        <f t="shared" si="10"/>
        <v>1.3627840734405365</v>
      </c>
      <c r="H117" s="186">
        <f t="shared" si="10"/>
        <v>1.3627835294854271</v>
      </c>
      <c r="I117" s="186">
        <f t="shared" si="10"/>
        <v>1.082836631963749</v>
      </c>
      <c r="J117" s="186">
        <f t="shared" si="10"/>
        <v>1.0747387374564092</v>
      </c>
      <c r="K117" s="186">
        <f t="shared" si="10"/>
        <v>1.0747387238600237</v>
      </c>
      <c r="L117" s="186">
        <f t="shared" si="10"/>
        <v>1.0747086347432835</v>
      </c>
      <c r="M117" s="198">
        <f t="shared" si="11"/>
        <v>7.9283280281990791</v>
      </c>
      <c r="N117" s="372"/>
      <c r="Z117" s="202">
        <f t="shared" si="17"/>
        <v>1700</v>
      </c>
      <c r="AA117" s="199">
        <f t="shared" si="12"/>
        <v>195763655.11076817</v>
      </c>
      <c r="AB117" s="56" cm="1">
        <f t="array" ref="AB117">PRODUCT(EXP(-($B$14*$D$98:$L$98)/(2*$B$8*$Z117))/(1-EXP(-($B$14*$D$98:$L$98)/($B$8*$Z117))))</f>
        <v>1.9346248076668661E-3</v>
      </c>
      <c r="AC117" s="158">
        <f t="shared" si="13"/>
        <v>1993.2951553414787</v>
      </c>
      <c r="AD117" s="200">
        <f t="shared" si="14"/>
        <v>1</v>
      </c>
      <c r="AE117" s="201">
        <f t="shared" si="15"/>
        <v>754919126.62167192</v>
      </c>
    </row>
    <row r="118" spans="2:31" ht="19" x14ac:dyDescent="0.25">
      <c r="C118" s="202">
        <f t="shared" si="16"/>
        <v>1800</v>
      </c>
      <c r="D118" s="186">
        <f t="shared" si="10"/>
        <v>1.516583923358402</v>
      </c>
      <c r="E118" s="186">
        <f t="shared" si="10"/>
        <v>1.5165831718922371</v>
      </c>
      <c r="F118" s="186">
        <f t="shared" si="10"/>
        <v>1.5163798289169841</v>
      </c>
      <c r="G118" s="186">
        <f t="shared" si="10"/>
        <v>1.4015788819498132</v>
      </c>
      <c r="H118" s="186">
        <f t="shared" si="10"/>
        <v>1.4015782970888553</v>
      </c>
      <c r="I118" s="186">
        <f t="shared" si="10"/>
        <v>1.0967830099731946</v>
      </c>
      <c r="J118" s="186">
        <f t="shared" si="10"/>
        <v>1.0877158668488045</v>
      </c>
      <c r="K118" s="186">
        <f t="shared" si="10"/>
        <v>1.0877158515961705</v>
      </c>
      <c r="L118" s="186">
        <f t="shared" si="10"/>
        <v>1.0876820969139913</v>
      </c>
      <c r="M118" s="198">
        <f t="shared" si="11"/>
        <v>9.6700607949388342</v>
      </c>
      <c r="N118" s="372"/>
      <c r="Z118" s="202">
        <f t="shared" si="17"/>
        <v>1800</v>
      </c>
      <c r="AA118" s="199">
        <f t="shared" si="12"/>
        <v>225834882.74986503</v>
      </c>
      <c r="AB118" s="56" cm="1">
        <f t="array" ref="AB118">PRODUCT(EXP(-($B$14*$D$98:$L$98)/(2*$B$8*$Z118))/(1-EXP(-($B$14*$D$98:$L$98)/($B$8*$Z118))))</f>
        <v>3.7457906843177419E-3</v>
      </c>
      <c r="AC118" s="158">
        <f t="shared" si="13"/>
        <v>2171.7357813263507</v>
      </c>
      <c r="AD118" s="200">
        <f t="shared" si="14"/>
        <v>1</v>
      </c>
      <c r="AE118" s="201">
        <f t="shared" si="15"/>
        <v>1837136883.8411551</v>
      </c>
    </row>
    <row r="119" spans="2:31" ht="19" x14ac:dyDescent="0.25">
      <c r="C119" s="202">
        <f t="shared" si="16"/>
        <v>1900</v>
      </c>
      <c r="D119" s="186">
        <f t="shared" si="10"/>
        <v>1.5636938595904761</v>
      </c>
      <c r="E119" s="186">
        <f t="shared" si="10"/>
        <v>1.5636930586208646</v>
      </c>
      <c r="F119" s="186">
        <f t="shared" si="10"/>
        <v>1.5634763197600754</v>
      </c>
      <c r="G119" s="186">
        <f t="shared" si="10"/>
        <v>1.4409262459986929</v>
      </c>
      <c r="H119" s="186">
        <f t="shared" si="10"/>
        <v>1.4409256205512357</v>
      </c>
      <c r="I119" s="186">
        <f t="shared" si="10"/>
        <v>1.1114439756008001</v>
      </c>
      <c r="J119" s="186">
        <f t="shared" si="10"/>
        <v>1.1014049233565884</v>
      </c>
      <c r="K119" s="186">
        <f t="shared" si="10"/>
        <v>1.1014049064414253</v>
      </c>
      <c r="L119" s="186">
        <f t="shared" si="10"/>
        <v>1.1013674722788951</v>
      </c>
      <c r="M119" s="198">
        <f t="shared" si="11"/>
        <v>11.786685747364226</v>
      </c>
      <c r="N119" s="372"/>
      <c r="Z119" s="202">
        <f t="shared" si="17"/>
        <v>1900</v>
      </c>
      <c r="AA119" s="199">
        <f t="shared" si="12"/>
        <v>258519771.9152036</v>
      </c>
      <c r="AB119" s="56" cm="1">
        <f t="array" ref="AB119">PRODUCT(EXP(-($B$14*$D$98:$L$98)/(2*$B$8*$Z119))/(1-EXP(-($B$14*$D$98:$L$98)/($B$8*$Z119))))</f>
        <v>6.9036527261848567E-3</v>
      </c>
      <c r="AC119" s="158">
        <f t="shared" si="13"/>
        <v>2355.2045440924217</v>
      </c>
      <c r="AD119" s="200">
        <f t="shared" si="14"/>
        <v>1</v>
      </c>
      <c r="AE119" s="201">
        <f t="shared" si="15"/>
        <v>4203405920.9322276</v>
      </c>
    </row>
    <row r="120" spans="2:31" ht="20" thickBot="1" x14ac:dyDescent="0.3">
      <c r="C120" s="205">
        <f t="shared" si="16"/>
        <v>2000</v>
      </c>
      <c r="D120" s="186">
        <f t="shared" si="10"/>
        <v>1.6112297103847855</v>
      </c>
      <c r="E120" s="186">
        <f t="shared" si="10"/>
        <v>1.6112288602133076</v>
      </c>
      <c r="F120" s="186">
        <f t="shared" si="10"/>
        <v>1.6109988070877792</v>
      </c>
      <c r="G120" s="186">
        <f t="shared" si="10"/>
        <v>1.4807507168586056</v>
      </c>
      <c r="H120" s="186">
        <f t="shared" si="10"/>
        <v>1.4807500511125073</v>
      </c>
      <c r="I120" s="186">
        <f t="shared" si="10"/>
        <v>1.1267467668639017</v>
      </c>
      <c r="J120" s="186">
        <f t="shared" si="10"/>
        <v>1.1157358227717766</v>
      </c>
      <c r="K120" s="186">
        <f t="shared" si="10"/>
        <v>1.1157358041927516</v>
      </c>
      <c r="L120" s="186">
        <f t="shared" si="10"/>
        <v>1.1156946875874674</v>
      </c>
      <c r="M120" s="206">
        <f t="shared" si="11"/>
        <v>14.350533713209794</v>
      </c>
      <c r="N120" s="372"/>
      <c r="Z120" s="205">
        <f t="shared" si="17"/>
        <v>2000</v>
      </c>
      <c r="AA120" s="207">
        <f t="shared" si="12"/>
        <v>293889960.74347669</v>
      </c>
      <c r="AB120" s="208" cm="1">
        <f t="array" ref="AB120">PRODUCT(EXP(-($B$14*$D$98:$L$98)/(2*$B$8*$Z120))/(1-EXP(-($B$14*$D$98:$L$98)/($B$8*$Z120))))</f>
        <v>1.2194694474482135E-2</v>
      </c>
      <c r="AC120" s="209">
        <f t="shared" si="13"/>
        <v>2543.5672389172692</v>
      </c>
      <c r="AD120" s="210">
        <f t="shared" si="14"/>
        <v>1</v>
      </c>
      <c r="AE120" s="211">
        <f t="shared" si="15"/>
        <v>9115886253.5973072</v>
      </c>
    </row>
    <row r="122" spans="2:31" ht="17" thickBot="1" x14ac:dyDescent="0.25"/>
    <row r="123" spans="2:31" ht="32" thickBot="1" x14ac:dyDescent="0.5">
      <c r="C123" s="366" t="s">
        <v>92</v>
      </c>
      <c r="D123" s="177">
        <v>1</v>
      </c>
      <c r="E123" s="178">
        <f t="shared" ref="E123" si="18">D123+1</f>
        <v>2</v>
      </c>
      <c r="F123" s="178">
        <f t="shared" ref="F123" si="19">E123+1</f>
        <v>3</v>
      </c>
      <c r="G123" s="178">
        <f t="shared" ref="G123" si="20">F123+1</f>
        <v>4</v>
      </c>
      <c r="H123" s="178">
        <f t="shared" ref="H123" si="21">G123+1</f>
        <v>5</v>
      </c>
      <c r="I123" s="178">
        <f t="shared" ref="I123" si="22">H123+1</f>
        <v>6</v>
      </c>
      <c r="J123" s="178">
        <f t="shared" ref="J123" si="23">I123+1</f>
        <v>7</v>
      </c>
      <c r="K123" s="178">
        <f t="shared" ref="K123" si="24">J123+1</f>
        <v>8</v>
      </c>
      <c r="L123" s="179">
        <f t="shared" ref="L123" si="25">K123+1</f>
        <v>9</v>
      </c>
      <c r="M123" s="175" t="s">
        <v>93</v>
      </c>
    </row>
    <row r="124" spans="2:31" ht="26" customHeight="1" thickBot="1" x14ac:dyDescent="0.3">
      <c r="C124" s="185">
        <v>298.14999999999998</v>
      </c>
      <c r="D124" s="367">
        <f>EXP(-($B$14*D$98)/(2*$B$8*$C124))/(1-EXP(-($B$14*D$98)/($B$8*$C124)))</f>
        <v>3.8794382723519837E-2</v>
      </c>
      <c r="E124" s="368">
        <f t="shared" ref="E124:L124" si="26">EXP(-($B$14*E$98)/(2*$B$8*$C124))/(1-EXP(-($B$14*E$98)/($B$8*$C124)))</f>
        <v>3.8794270060409024E-2</v>
      </c>
      <c r="F124" s="368">
        <f t="shared" si="26"/>
        <v>3.8763788009673852E-2</v>
      </c>
      <c r="G124" s="368">
        <f t="shared" si="26"/>
        <v>2.2992404629754829E-2</v>
      </c>
      <c r="H124" s="368">
        <f t="shared" si="26"/>
        <v>2.2992332433490199E-2</v>
      </c>
      <c r="I124" s="368">
        <f t="shared" si="26"/>
        <v>6.567641556235118E-4</v>
      </c>
      <c r="J124" s="368">
        <f t="shared" si="26"/>
        <v>5.0041934397828845E-4</v>
      </c>
      <c r="K124" s="368">
        <f t="shared" si="26"/>
        <v>5.0041910249161577E-4</v>
      </c>
      <c r="L124" s="369">
        <f t="shared" si="26"/>
        <v>4.9988485725294541E-4</v>
      </c>
      <c r="M124" s="309">
        <f xml:space="preserve"> PRODUCT(D124:L124)</f>
        <v>2.5355808117016426E-21</v>
      </c>
    </row>
    <row r="127" spans="2:31" ht="19" x14ac:dyDescent="0.25">
      <c r="B127" s="56"/>
      <c r="C127" s="56"/>
      <c r="D127" s="56"/>
      <c r="E127" s="56"/>
      <c r="F127" s="56" t="s">
        <v>77</v>
      </c>
      <c r="G127" s="56"/>
      <c r="H127" s="56"/>
      <c r="I127" s="56"/>
      <c r="J127" s="56"/>
      <c r="K127" s="56"/>
      <c r="L127" s="56"/>
      <c r="M127" s="56"/>
      <c r="N127" s="56"/>
      <c r="O127" s="56"/>
    </row>
    <row r="128" spans="2:31" ht="27" x14ac:dyDescent="0.35">
      <c r="B128" s="56"/>
      <c r="C128" s="149" t="s">
        <v>100</v>
      </c>
      <c r="D128" s="150"/>
      <c r="E128" s="56"/>
      <c r="F128" s="56"/>
      <c r="G128" s="56"/>
      <c r="H128" s="56"/>
      <c r="I128" s="56"/>
      <c r="J128" s="56"/>
      <c r="K128" s="56"/>
      <c r="L128" s="56"/>
      <c r="M128" s="56"/>
      <c r="N128" s="56"/>
      <c r="O128" s="56"/>
    </row>
    <row r="129" spans="2:15" ht="20" thickBot="1" x14ac:dyDescent="0.3">
      <c r="B129" s="56"/>
      <c r="C129" s="56"/>
      <c r="D129" s="56"/>
      <c r="E129" s="56"/>
      <c r="F129" s="56"/>
      <c r="G129" s="56"/>
      <c r="H129" s="56"/>
      <c r="I129" s="56"/>
      <c r="J129" s="56"/>
      <c r="K129" s="56"/>
      <c r="L129" s="56"/>
      <c r="M129" s="56"/>
      <c r="N129" s="56"/>
      <c r="O129" s="56"/>
    </row>
    <row r="130" spans="2:15" ht="20" thickBot="1" x14ac:dyDescent="0.3">
      <c r="B130" s="56"/>
      <c r="C130" s="57" t="s">
        <v>34</v>
      </c>
      <c r="D130" s="58"/>
      <c r="E130" s="58"/>
      <c r="F130" s="59"/>
      <c r="G130" s="56"/>
      <c r="H130" s="56"/>
      <c r="I130" s="56"/>
      <c r="J130" s="56"/>
      <c r="K130" s="56"/>
      <c r="L130" s="56"/>
      <c r="M130" s="56"/>
      <c r="N130" s="56"/>
      <c r="O130" s="56"/>
    </row>
    <row r="131" spans="2:15" ht="20" thickBot="1" x14ac:dyDescent="0.3">
      <c r="B131" s="56"/>
      <c r="C131" s="62"/>
      <c r="D131" s="63" t="s">
        <v>37</v>
      </c>
      <c r="E131" s="64" t="s">
        <v>38</v>
      </c>
      <c r="F131" s="65" t="s">
        <v>39</v>
      </c>
      <c r="G131" s="56"/>
      <c r="H131" s="56"/>
      <c r="I131" s="56"/>
      <c r="J131" s="56"/>
      <c r="K131" s="56"/>
      <c r="L131" s="56"/>
      <c r="M131" s="56"/>
      <c r="N131" s="56"/>
      <c r="O131" s="56"/>
    </row>
    <row r="132" spans="2:15" ht="22" thickBot="1" x14ac:dyDescent="0.3">
      <c r="B132" s="56"/>
      <c r="C132" s="212" t="s">
        <v>101</v>
      </c>
      <c r="D132" s="90">
        <f>D24*($Q$8)^2</f>
        <v>1.9023682999999999E-46</v>
      </c>
      <c r="E132" s="90">
        <f t="shared" ref="E132:F132" si="27">E24*($Q$8)^2</f>
        <v>1.9025658400000001E-46</v>
      </c>
      <c r="F132" s="90">
        <f t="shared" si="27"/>
        <v>1.9025658400000001E-46</v>
      </c>
      <c r="G132" s="56"/>
      <c r="H132" s="56"/>
      <c r="I132" s="56"/>
      <c r="J132" s="56"/>
      <c r="K132" s="56"/>
      <c r="L132" s="56"/>
      <c r="M132" s="56"/>
      <c r="N132" s="56"/>
      <c r="O132" s="56"/>
    </row>
    <row r="133" spans="2:15" ht="19" x14ac:dyDescent="0.25">
      <c r="B133" s="56"/>
      <c r="C133" s="56"/>
      <c r="D133" s="56"/>
      <c r="E133" s="56"/>
      <c r="F133" s="56"/>
      <c r="G133" s="56"/>
      <c r="H133" s="56"/>
      <c r="I133" s="56"/>
      <c r="J133" s="56"/>
      <c r="K133" s="56"/>
      <c r="L133" s="56"/>
      <c r="M133" s="56"/>
      <c r="N133" s="56"/>
      <c r="O133" s="56"/>
    </row>
    <row r="134" spans="2:15" ht="19" x14ac:dyDescent="0.25">
      <c r="B134" s="56"/>
      <c r="C134" s="56"/>
      <c r="D134" s="56"/>
      <c r="E134" s="56"/>
      <c r="F134" s="56"/>
      <c r="G134" s="56"/>
      <c r="H134" s="56"/>
      <c r="I134" s="56"/>
      <c r="J134" s="56"/>
      <c r="K134" s="56"/>
      <c r="L134" s="56"/>
      <c r="M134" s="56"/>
      <c r="N134" s="56"/>
      <c r="O134" s="56"/>
    </row>
    <row r="135" spans="2:15" ht="20" thickBot="1" x14ac:dyDescent="0.3">
      <c r="B135" s="56"/>
      <c r="C135" s="56"/>
      <c r="D135" s="56"/>
      <c r="E135" s="56"/>
      <c r="F135" s="56"/>
      <c r="G135" s="56"/>
      <c r="H135" s="56"/>
      <c r="I135" s="56"/>
      <c r="J135" s="56"/>
      <c r="K135" s="56"/>
      <c r="L135" s="56"/>
      <c r="M135" s="56"/>
      <c r="N135" s="56"/>
      <c r="O135" s="56"/>
    </row>
    <row r="136" spans="2:15" ht="23" thickBot="1" x14ac:dyDescent="0.35">
      <c r="B136" s="56"/>
      <c r="C136" s="213" t="s">
        <v>79</v>
      </c>
      <c r="D136" s="151" t="s">
        <v>102</v>
      </c>
      <c r="E136" s="151" t="s">
        <v>103</v>
      </c>
      <c r="F136" s="56"/>
      <c r="G136" s="56"/>
      <c r="H136" s="153" t="s">
        <v>82</v>
      </c>
      <c r="I136" s="154"/>
      <c r="J136" s="154"/>
      <c r="K136" s="154"/>
      <c r="L136" s="154"/>
      <c r="M136" s="154"/>
      <c r="N136" s="154"/>
      <c r="O136" s="56"/>
    </row>
    <row r="137" spans="2:15" ht="20" thickBot="1" x14ac:dyDescent="0.3">
      <c r="B137" s="56"/>
      <c r="C137" s="155">
        <v>298.14999999999998</v>
      </c>
      <c r="D137" s="157">
        <f t="shared" ref="D137:D155" si="28">(8*PI()^2*(2*PI()*$B$8*C137)^(3/2)*SQRT($D$132*$E$132*$F$132))/($H$139*$B$14^3)</f>
        <v>246.87393235744977</v>
      </c>
      <c r="E137" s="157">
        <f>(SQRT(PI())/$A$31)*((C137^1.5)/SQRT($C$29*$D$29*$E$29))</f>
        <v>146.40315964100756</v>
      </c>
      <c r="F137" s="158"/>
      <c r="G137" s="56"/>
      <c r="H137" s="56"/>
      <c r="I137" s="56"/>
      <c r="J137" s="56"/>
      <c r="K137" s="56"/>
      <c r="L137" s="56"/>
      <c r="M137" s="56"/>
      <c r="N137" s="56"/>
      <c r="O137" s="56"/>
    </row>
    <row r="138" spans="2:15" ht="20" thickBot="1" x14ac:dyDescent="0.3">
      <c r="B138" s="56"/>
      <c r="C138" s="155">
        <v>300</v>
      </c>
      <c r="D138" s="157">
        <f t="shared" si="28"/>
        <v>249.17524638314001</v>
      </c>
      <c r="E138" s="157">
        <f>(SQRT(PI())/$A$31)*((C138^1.5)/SQRT($C$29*$D$29*$E$29))</f>
        <v>147.76790334428063</v>
      </c>
      <c r="F138" s="56"/>
      <c r="G138" s="56"/>
      <c r="L138" s="151" t="s">
        <v>104</v>
      </c>
      <c r="M138" s="151" t="s">
        <v>105</v>
      </c>
      <c r="N138" s="56"/>
      <c r="O138" s="56"/>
    </row>
    <row r="139" spans="2:15" ht="20" thickBot="1" x14ac:dyDescent="0.3">
      <c r="B139" s="56"/>
      <c r="C139" s="159">
        <f>C138+100</f>
        <v>400</v>
      </c>
      <c r="D139" s="161">
        <f t="shared" si="28"/>
        <v>383.63038819919609</v>
      </c>
      <c r="E139" s="161">
        <f t="shared" ref="E139:E155" si="29">(SQRT(PI())/$A$31)*((C139^1.5)/SQRT($C$29*$D$29*$E$29))</f>
        <v>227.50357006241873</v>
      </c>
      <c r="F139" s="56"/>
      <c r="G139" s="97" t="s">
        <v>106</v>
      </c>
      <c r="H139" s="103">
        <v>12</v>
      </c>
      <c r="K139" s="162" t="s">
        <v>84</v>
      </c>
      <c r="L139" s="129">
        <f>$D$137</f>
        <v>246.87393235744977</v>
      </c>
      <c r="M139" s="204">
        <f>$E$137</f>
        <v>146.40315964100756</v>
      </c>
      <c r="N139" s="56"/>
      <c r="O139" s="56"/>
    </row>
    <row r="140" spans="2:15" ht="20" thickBot="1" x14ac:dyDescent="0.3">
      <c r="B140" s="56"/>
      <c r="C140" s="159">
        <f t="shared" ref="C140:C155" si="30">C139+100</f>
        <v>500</v>
      </c>
      <c r="D140" s="161">
        <f t="shared" si="28"/>
        <v>536.13976640501767</v>
      </c>
      <c r="E140" s="161">
        <f t="shared" si="29"/>
        <v>317.9459048646591</v>
      </c>
      <c r="F140" s="56"/>
      <c r="G140" s="56"/>
      <c r="K140" s="163" t="s">
        <v>85</v>
      </c>
      <c r="L140" s="147">
        <f>P34</f>
        <v>146.40299999999999</v>
      </c>
      <c r="M140" s="147">
        <f>L140</f>
        <v>146.40299999999999</v>
      </c>
      <c r="N140" s="56"/>
      <c r="O140" s="56"/>
    </row>
    <row r="141" spans="2:15" ht="22" x14ac:dyDescent="0.3">
      <c r="B141" s="56"/>
      <c r="C141" s="159">
        <f t="shared" si="30"/>
        <v>600</v>
      </c>
      <c r="D141" s="161">
        <f t="shared" si="28"/>
        <v>704.77402568539014</v>
      </c>
      <c r="E141" s="161">
        <f t="shared" si="29"/>
        <v>417.95074598583614</v>
      </c>
      <c r="F141" s="56"/>
      <c r="G141" s="56"/>
      <c r="H141" s="56"/>
      <c r="I141" s="56"/>
      <c r="K141" s="164" t="s">
        <v>86</v>
      </c>
      <c r="L141" s="165">
        <f>ABS(L139-L140)/L139</f>
        <v>0.40697262525059757</v>
      </c>
      <c r="M141" s="165">
        <f>ABS(M139-M140)/M139</f>
        <v>1.0904205070577142E-6</v>
      </c>
      <c r="N141" s="56"/>
      <c r="O141" s="56"/>
    </row>
    <row r="142" spans="2:15" ht="19" x14ac:dyDescent="0.25">
      <c r="B142" s="56"/>
      <c r="C142" s="159">
        <f t="shared" si="30"/>
        <v>700</v>
      </c>
      <c r="D142" s="161">
        <f t="shared" si="28"/>
        <v>888.11677722445518</v>
      </c>
      <c r="E142" s="161">
        <f t="shared" si="29"/>
        <v>526.67813516895399</v>
      </c>
      <c r="F142" s="56"/>
      <c r="G142" s="56"/>
    </row>
    <row r="143" spans="2:15" ht="19" x14ac:dyDescent="0.25">
      <c r="B143" s="56"/>
      <c r="C143" s="159">
        <f t="shared" si="30"/>
        <v>800</v>
      </c>
      <c r="D143" s="161">
        <f t="shared" si="28"/>
        <v>1085.0705958595045</v>
      </c>
      <c r="E143" s="161">
        <f t="shared" si="29"/>
        <v>643.47726854113989</v>
      </c>
      <c r="F143" s="56"/>
      <c r="G143" s="56"/>
    </row>
    <row r="144" spans="2:15" ht="19" x14ac:dyDescent="0.25">
      <c r="B144" s="56"/>
      <c r="C144" s="159">
        <f t="shared" si="30"/>
        <v>900</v>
      </c>
      <c r="D144" s="161">
        <f t="shared" si="28"/>
        <v>1294.7525601722703</v>
      </c>
      <c r="E144" s="161">
        <f t="shared" si="29"/>
        <v>767.82454896066304</v>
      </c>
      <c r="F144" s="56"/>
      <c r="G144" s="56"/>
    </row>
    <row r="145" spans="3:5" ht="19" x14ac:dyDescent="0.25">
      <c r="C145" s="159">
        <f t="shared" si="30"/>
        <v>1000</v>
      </c>
      <c r="D145" s="161">
        <f t="shared" si="28"/>
        <v>1516.4322579550208</v>
      </c>
      <c r="E145" s="161">
        <f t="shared" si="29"/>
        <v>899.28682152117278</v>
      </c>
    </row>
    <row r="146" spans="3:5" ht="19" x14ac:dyDescent="0.25">
      <c r="C146" s="159">
        <f t="shared" si="30"/>
        <v>1100</v>
      </c>
      <c r="D146" s="161">
        <f t="shared" si="28"/>
        <v>1749.4923267732656</v>
      </c>
      <c r="E146" s="161">
        <f t="shared" si="29"/>
        <v>1037.4979729996389</v>
      </c>
    </row>
    <row r="147" spans="3:5" ht="19" x14ac:dyDescent="0.25">
      <c r="C147" s="159">
        <f t="shared" si="30"/>
        <v>1200</v>
      </c>
      <c r="D147" s="161">
        <f t="shared" si="28"/>
        <v>1993.4019710651312</v>
      </c>
      <c r="E147" s="161">
        <f t="shared" si="29"/>
        <v>1182.143226754245</v>
      </c>
    </row>
    <row r="148" spans="3:5" ht="19" x14ac:dyDescent="0.25">
      <c r="C148" s="159">
        <f t="shared" si="30"/>
        <v>1300</v>
      </c>
      <c r="D148" s="161">
        <f t="shared" si="28"/>
        <v>2247.6984326522916</v>
      </c>
      <c r="E148" s="161">
        <f t="shared" si="29"/>
        <v>1332.9481542181418</v>
      </c>
    </row>
    <row r="149" spans="3:5" ht="19" x14ac:dyDescent="0.25">
      <c r="C149" s="159">
        <f t="shared" si="30"/>
        <v>1400</v>
      </c>
      <c r="D149" s="161">
        <f t="shared" si="28"/>
        <v>2511.9735826438255</v>
      </c>
      <c r="E149" s="161">
        <f t="shared" si="29"/>
        <v>1489.6707235226113</v>
      </c>
    </row>
    <row r="150" spans="3:5" ht="19" x14ac:dyDescent="0.25">
      <c r="C150" s="159">
        <f t="shared" si="30"/>
        <v>1500</v>
      </c>
      <c r="D150" s="161">
        <f t="shared" si="28"/>
        <v>2785.86394611479</v>
      </c>
      <c r="E150" s="161">
        <f t="shared" si="29"/>
        <v>1652.0953838521509</v>
      </c>
    </row>
    <row r="151" spans="3:5" ht="19" x14ac:dyDescent="0.25">
      <c r="C151" s="159">
        <f t="shared" si="30"/>
        <v>1600</v>
      </c>
      <c r="D151" s="161">
        <f t="shared" si="28"/>
        <v>3069.0431055935424</v>
      </c>
      <c r="E151" s="161">
        <f t="shared" si="29"/>
        <v>1820.0285604993505</v>
      </c>
    </row>
    <row r="152" spans="3:5" ht="19" x14ac:dyDescent="0.25">
      <c r="C152" s="159">
        <f t="shared" si="30"/>
        <v>1700</v>
      </c>
      <c r="D152" s="161">
        <f t="shared" si="28"/>
        <v>3361.2157999517285</v>
      </c>
      <c r="E152" s="161">
        <f t="shared" si="29"/>
        <v>1993.2951553414787</v>
      </c>
    </row>
    <row r="153" spans="3:5" ht="19" x14ac:dyDescent="0.25">
      <c r="C153" s="159">
        <f t="shared" si="30"/>
        <v>1800</v>
      </c>
      <c r="D153" s="161">
        <f t="shared" si="28"/>
        <v>3662.1132610258333</v>
      </c>
      <c r="E153" s="161">
        <f t="shared" si="29"/>
        <v>2171.7357813263507</v>
      </c>
    </row>
    <row r="154" spans="3:5" ht="19" x14ac:dyDescent="0.25">
      <c r="C154" s="159">
        <f t="shared" si="30"/>
        <v>1900</v>
      </c>
      <c r="D154" s="161">
        <f t="shared" si="28"/>
        <v>3971.4894728499617</v>
      </c>
      <c r="E154" s="161">
        <f t="shared" si="29"/>
        <v>2355.2045440924217</v>
      </c>
    </row>
    <row r="155" spans="3:5" ht="20" thickBot="1" x14ac:dyDescent="0.3">
      <c r="C155" s="166">
        <f t="shared" si="30"/>
        <v>2000</v>
      </c>
      <c r="D155" s="168">
        <f t="shared" si="28"/>
        <v>4289.118131240105</v>
      </c>
      <c r="E155" s="168">
        <f t="shared" si="29"/>
        <v>2543.5672389172692</v>
      </c>
    </row>
    <row r="162" spans="2:16" ht="19" x14ac:dyDescent="0.25">
      <c r="B162" s="56"/>
      <c r="C162" s="56"/>
      <c r="D162" s="56"/>
      <c r="E162" s="56"/>
      <c r="F162" s="56"/>
      <c r="G162" s="56"/>
      <c r="H162" s="56"/>
      <c r="I162" s="56"/>
      <c r="J162" s="56"/>
      <c r="K162" s="56"/>
      <c r="L162" s="56"/>
      <c r="M162" s="56"/>
      <c r="N162" s="56"/>
      <c r="O162" s="56"/>
      <c r="P162" s="56"/>
    </row>
    <row r="163" spans="2:16" ht="19" x14ac:dyDescent="0.25">
      <c r="B163" s="56"/>
      <c r="C163" s="56"/>
      <c r="D163" s="56"/>
      <c r="E163" s="56"/>
      <c r="F163" s="56" t="s">
        <v>77</v>
      </c>
      <c r="G163" s="56"/>
      <c r="H163" s="56"/>
      <c r="I163" s="56"/>
      <c r="J163" s="56"/>
      <c r="K163" s="56"/>
      <c r="L163" s="56"/>
      <c r="M163" s="56"/>
      <c r="N163" s="56"/>
      <c r="O163" s="56"/>
    </row>
    <row r="164" spans="2:16" ht="27" x14ac:dyDescent="0.35">
      <c r="B164" s="56"/>
      <c r="C164" s="149" t="s">
        <v>107</v>
      </c>
      <c r="D164" s="150"/>
      <c r="E164" s="56"/>
      <c r="F164" s="56"/>
      <c r="G164" s="56"/>
      <c r="H164" s="56"/>
      <c r="I164" s="56"/>
      <c r="J164" s="56"/>
      <c r="K164" s="56"/>
      <c r="L164" s="56"/>
      <c r="M164" s="56"/>
      <c r="N164" s="56"/>
      <c r="O164" s="56"/>
    </row>
    <row r="165" spans="2:16" ht="19" x14ac:dyDescent="0.25">
      <c r="B165" s="56"/>
      <c r="C165" s="56"/>
      <c r="D165" s="56"/>
      <c r="E165" s="56"/>
      <c r="F165" s="56"/>
      <c r="G165" s="56"/>
      <c r="H165" s="56"/>
      <c r="I165" s="56"/>
      <c r="J165" s="56"/>
      <c r="K165" s="56"/>
      <c r="L165" s="56"/>
      <c r="M165" s="56"/>
      <c r="N165" s="56"/>
      <c r="O165" s="56"/>
    </row>
    <row r="166" spans="2:16" ht="20" thickBot="1" x14ac:dyDescent="0.3">
      <c r="B166" s="56"/>
      <c r="C166" s="137" t="s">
        <v>108</v>
      </c>
      <c r="F166" s="56"/>
      <c r="G166" s="56"/>
      <c r="H166" s="56"/>
      <c r="I166" s="56"/>
      <c r="J166" s="56"/>
      <c r="K166" s="56"/>
      <c r="L166" s="56"/>
      <c r="M166" s="56"/>
      <c r="N166" s="56"/>
      <c r="O166" s="56"/>
    </row>
    <row r="167" spans="2:16" ht="20" thickBot="1" x14ac:dyDescent="0.3">
      <c r="B167" s="56"/>
      <c r="C167" s="180"/>
      <c r="D167" s="138">
        <v>1</v>
      </c>
      <c r="E167" s="139">
        <f>D167+1</f>
        <v>2</v>
      </c>
      <c r="F167" s="140" t="s">
        <v>109</v>
      </c>
      <c r="G167" s="56"/>
      <c r="H167" s="56"/>
      <c r="I167" s="56"/>
      <c r="J167" s="56"/>
      <c r="K167" s="56"/>
      <c r="L167" s="56"/>
      <c r="M167" s="56"/>
      <c r="N167" s="56"/>
      <c r="O167" s="56"/>
    </row>
    <row r="168" spans="2:16" ht="20" thickBot="1" x14ac:dyDescent="0.3">
      <c r="B168" s="56"/>
      <c r="C168" s="214" t="s">
        <v>110</v>
      </c>
      <c r="D168" s="215">
        <f>J$46</f>
        <v>-40.5261</v>
      </c>
      <c r="E168" s="215">
        <f t="shared" ref="E168:F168" si="31">K$46</f>
        <v>-40.5261</v>
      </c>
      <c r="F168" s="215">
        <f t="shared" si="31"/>
        <v>-40.5261</v>
      </c>
      <c r="G168" s="56"/>
      <c r="H168" s="56"/>
      <c r="I168" s="56"/>
      <c r="J168" s="56"/>
      <c r="K168" s="56"/>
      <c r="L168" s="56"/>
      <c r="M168" s="56"/>
      <c r="N168" s="56"/>
      <c r="O168" s="56"/>
    </row>
    <row r="169" spans="2:16" ht="20" thickBot="1" x14ac:dyDescent="0.3">
      <c r="B169" s="56"/>
      <c r="C169" s="216" t="s">
        <v>111</v>
      </c>
      <c r="D169" s="217">
        <f>D168*$K$7</f>
        <v>-1.7669379599999999E-16</v>
      </c>
      <c r="E169" s="217">
        <f t="shared" ref="E169:F169" si="32">E168*$K$7</f>
        <v>-1.7669379599999999E-16</v>
      </c>
      <c r="F169" s="217">
        <f t="shared" si="32"/>
        <v>-1.7669379599999999E-16</v>
      </c>
      <c r="G169" s="56"/>
      <c r="H169" s="56"/>
      <c r="I169" s="56"/>
      <c r="J169" s="56"/>
      <c r="K169" s="56"/>
      <c r="L169" s="56"/>
      <c r="M169" s="56"/>
      <c r="N169" s="56"/>
      <c r="O169" s="56"/>
    </row>
    <row r="170" spans="2:16" ht="20" thickBot="1" x14ac:dyDescent="0.3">
      <c r="B170" s="56"/>
      <c r="D170" s="56"/>
      <c r="E170" s="56"/>
      <c r="F170" s="56"/>
      <c r="G170" s="56"/>
      <c r="H170" s="56"/>
      <c r="I170" s="56"/>
      <c r="J170" s="56"/>
      <c r="K170" s="56"/>
      <c r="L170" s="56"/>
      <c r="M170" s="56"/>
      <c r="N170" s="56"/>
      <c r="O170" s="56"/>
    </row>
    <row r="171" spans="2:16" ht="22" thickBot="1" x14ac:dyDescent="0.35">
      <c r="B171" s="56"/>
      <c r="C171" s="218" t="s">
        <v>112</v>
      </c>
      <c r="D171" s="56"/>
      <c r="E171" s="56"/>
      <c r="F171" s="56"/>
      <c r="G171" s="56"/>
      <c r="H171" s="56"/>
      <c r="I171" s="56"/>
      <c r="J171" s="56"/>
      <c r="K171" s="56"/>
      <c r="L171" s="56"/>
      <c r="M171" s="56"/>
      <c r="N171" s="56"/>
      <c r="O171" s="56"/>
    </row>
    <row r="172" spans="2:16" ht="23" thickBot="1" x14ac:dyDescent="0.35">
      <c r="B172" s="56"/>
      <c r="C172" s="219">
        <f>F169+L23</f>
        <v>-1.7649854647999999E-16</v>
      </c>
      <c r="F172" s="56"/>
      <c r="G172" s="56"/>
      <c r="H172" s="153" t="s">
        <v>82</v>
      </c>
      <c r="I172" s="154"/>
      <c r="J172" s="154"/>
      <c r="K172" s="154"/>
      <c r="L172" s="154"/>
      <c r="M172" s="154"/>
      <c r="N172" s="56"/>
      <c r="O172" s="56"/>
    </row>
    <row r="173" spans="2:16" ht="20" thickBot="1" x14ac:dyDescent="0.3">
      <c r="B173" s="56"/>
      <c r="F173" s="158"/>
      <c r="G173" s="56"/>
      <c r="H173" s="56"/>
      <c r="I173" s="56"/>
      <c r="J173" s="56"/>
      <c r="K173" s="56"/>
      <c r="L173" s="56"/>
      <c r="M173" s="56"/>
      <c r="N173" s="56"/>
      <c r="O173" s="56"/>
    </row>
    <row r="174" spans="2:16" ht="22" thickBot="1" x14ac:dyDescent="0.3">
      <c r="B174" s="56"/>
      <c r="C174" s="213" t="s">
        <v>79</v>
      </c>
      <c r="D174" s="220" t="s">
        <v>113</v>
      </c>
      <c r="F174" s="56"/>
      <c r="G174" s="56"/>
      <c r="L174" s="151" t="s">
        <v>83</v>
      </c>
      <c r="M174" s="56"/>
      <c r="N174" s="56"/>
      <c r="O174" s="56"/>
    </row>
    <row r="175" spans="2:16" ht="20" thickBot="1" x14ac:dyDescent="0.3">
      <c r="B175" s="56"/>
      <c r="C175" s="155">
        <v>298.14999999999998</v>
      </c>
      <c r="D175" s="157">
        <f>1</f>
        <v>1</v>
      </c>
      <c r="F175" s="56"/>
      <c r="G175" s="56"/>
      <c r="K175" s="162" t="s">
        <v>84</v>
      </c>
      <c r="L175" s="129">
        <f>1</f>
        <v>1</v>
      </c>
      <c r="M175" s="56"/>
      <c r="N175" s="56"/>
      <c r="O175" s="56"/>
    </row>
    <row r="176" spans="2:16" ht="20" thickBot="1" x14ac:dyDescent="0.3">
      <c r="B176" s="56"/>
      <c r="C176" s="155">
        <v>300</v>
      </c>
      <c r="D176" s="157">
        <f>1</f>
        <v>1</v>
      </c>
      <c r="F176" s="56"/>
      <c r="G176" s="56"/>
      <c r="K176" s="163" t="s">
        <v>85</v>
      </c>
      <c r="L176" s="147">
        <f>P32</f>
        <v>1</v>
      </c>
      <c r="M176" s="56"/>
      <c r="N176" s="56"/>
      <c r="O176" s="56"/>
    </row>
    <row r="177" spans="2:15" ht="22" x14ac:dyDescent="0.3">
      <c r="B177" s="56"/>
      <c r="C177" s="159">
        <f>C176+100</f>
        <v>400</v>
      </c>
      <c r="D177" s="161">
        <f>1</f>
        <v>1</v>
      </c>
      <c r="F177" s="56"/>
      <c r="G177" s="56"/>
      <c r="H177" s="56"/>
      <c r="I177" s="56"/>
      <c r="K177" s="164" t="s">
        <v>86</v>
      </c>
      <c r="L177" s="165">
        <f>ABS(L175-L176)/L175</f>
        <v>0</v>
      </c>
      <c r="M177" s="56"/>
      <c r="N177" s="56"/>
      <c r="O177" s="56"/>
    </row>
    <row r="178" spans="2:15" ht="19" x14ac:dyDescent="0.25">
      <c r="B178" s="56"/>
      <c r="C178" s="159">
        <f t="shared" ref="C178:C193" si="33">C177+100</f>
        <v>500</v>
      </c>
      <c r="D178" s="161">
        <f>1</f>
        <v>1</v>
      </c>
      <c r="F178" s="56"/>
      <c r="G178" s="56"/>
    </row>
    <row r="179" spans="2:15" ht="19" x14ac:dyDescent="0.25">
      <c r="B179" s="56"/>
      <c r="C179" s="159">
        <f t="shared" si="33"/>
        <v>600</v>
      </c>
      <c r="D179" s="161">
        <f>1</f>
        <v>1</v>
      </c>
      <c r="F179" s="56"/>
      <c r="G179" s="56"/>
    </row>
    <row r="180" spans="2:15" ht="19" x14ac:dyDescent="0.25">
      <c r="B180" s="56"/>
      <c r="C180" s="159">
        <f t="shared" si="33"/>
        <v>700</v>
      </c>
      <c r="D180" s="161">
        <f>1</f>
        <v>1</v>
      </c>
      <c r="F180" s="56"/>
      <c r="G180" s="56"/>
    </row>
    <row r="181" spans="2:15" ht="19" x14ac:dyDescent="0.25">
      <c r="C181" s="159">
        <f t="shared" si="33"/>
        <v>800</v>
      </c>
      <c r="D181" s="161">
        <f>1</f>
        <v>1</v>
      </c>
    </row>
    <row r="182" spans="2:15" ht="19" x14ac:dyDescent="0.25">
      <c r="C182" s="159">
        <f t="shared" si="33"/>
        <v>900</v>
      </c>
      <c r="D182" s="161">
        <f>1</f>
        <v>1</v>
      </c>
    </row>
    <row r="183" spans="2:15" ht="19" x14ac:dyDescent="0.25">
      <c r="C183" s="159">
        <f t="shared" si="33"/>
        <v>1000</v>
      </c>
      <c r="D183" s="161">
        <f>1</f>
        <v>1</v>
      </c>
    </row>
    <row r="184" spans="2:15" ht="19" x14ac:dyDescent="0.25">
      <c r="C184" s="159">
        <f t="shared" si="33"/>
        <v>1100</v>
      </c>
      <c r="D184" s="161">
        <f>1</f>
        <v>1</v>
      </c>
    </row>
    <row r="185" spans="2:15" ht="19" x14ac:dyDescent="0.25">
      <c r="C185" s="159">
        <f t="shared" si="33"/>
        <v>1200</v>
      </c>
      <c r="D185" s="161">
        <f>1</f>
        <v>1</v>
      </c>
    </row>
    <row r="186" spans="2:15" ht="19" x14ac:dyDescent="0.25">
      <c r="C186" s="159">
        <f t="shared" si="33"/>
        <v>1300</v>
      </c>
      <c r="D186" s="161">
        <f>1</f>
        <v>1</v>
      </c>
    </row>
    <row r="187" spans="2:15" ht="19" x14ac:dyDescent="0.25">
      <c r="C187" s="159">
        <f t="shared" si="33"/>
        <v>1400</v>
      </c>
      <c r="D187" s="161">
        <f>1</f>
        <v>1</v>
      </c>
    </row>
    <row r="188" spans="2:15" ht="19" x14ac:dyDescent="0.25">
      <c r="C188" s="159">
        <f t="shared" si="33"/>
        <v>1500</v>
      </c>
      <c r="D188" s="161">
        <f>1</f>
        <v>1</v>
      </c>
    </row>
    <row r="189" spans="2:15" ht="19" x14ac:dyDescent="0.25">
      <c r="C189" s="159">
        <f t="shared" si="33"/>
        <v>1600</v>
      </c>
      <c r="D189" s="161">
        <f>1</f>
        <v>1</v>
      </c>
    </row>
    <row r="190" spans="2:15" ht="19" x14ac:dyDescent="0.25">
      <c r="C190" s="159">
        <f t="shared" si="33"/>
        <v>1700</v>
      </c>
      <c r="D190" s="161">
        <f>1</f>
        <v>1</v>
      </c>
    </row>
    <row r="191" spans="2:15" ht="19" x14ac:dyDescent="0.25">
      <c r="C191" s="159">
        <f t="shared" si="33"/>
        <v>1800</v>
      </c>
      <c r="D191" s="161">
        <f>1</f>
        <v>1</v>
      </c>
    </row>
    <row r="192" spans="2:15" ht="19" x14ac:dyDescent="0.25">
      <c r="C192" s="159">
        <f t="shared" si="33"/>
        <v>1900</v>
      </c>
      <c r="D192" s="161">
        <f>1</f>
        <v>1</v>
      </c>
    </row>
    <row r="193" spans="3:11" ht="20" thickBot="1" x14ac:dyDescent="0.3">
      <c r="C193" s="166">
        <f t="shared" si="33"/>
        <v>2000</v>
      </c>
      <c r="D193" s="168">
        <f>1</f>
        <v>1</v>
      </c>
    </row>
    <row r="197" spans="3:11" ht="17" thickBot="1" x14ac:dyDescent="0.25"/>
    <row r="198" spans="3:11" ht="20" thickBot="1" x14ac:dyDescent="0.3">
      <c r="E198" s="56"/>
      <c r="F198" s="56" t="s">
        <v>77</v>
      </c>
      <c r="G198" s="56"/>
      <c r="H198" s="467" t="s">
        <v>114</v>
      </c>
      <c r="I198" s="468"/>
      <c r="J198" s="468"/>
      <c r="K198" s="469"/>
    </row>
    <row r="199" spans="3:11" ht="28" thickBot="1" x14ac:dyDescent="0.4">
      <c r="C199" s="149" t="s">
        <v>115</v>
      </c>
      <c r="D199" s="150"/>
      <c r="E199" s="56"/>
      <c r="F199" s="56"/>
      <c r="G199" s="56"/>
      <c r="H199" s="221" t="s">
        <v>116</v>
      </c>
      <c r="I199" s="221" t="s">
        <v>117</v>
      </c>
      <c r="J199" s="221" t="s">
        <v>118</v>
      </c>
      <c r="K199" s="221" t="s">
        <v>119</v>
      </c>
    </row>
    <row r="202" spans="3:11" ht="17" thickBot="1" x14ac:dyDescent="0.25"/>
    <row r="203" spans="3:11" ht="20" thickBot="1" x14ac:dyDescent="0.25">
      <c r="D203" s="461" t="s">
        <v>120</v>
      </c>
      <c r="E203" s="462"/>
    </row>
    <row r="204" spans="3:11" ht="20" thickBot="1" x14ac:dyDescent="0.3">
      <c r="D204" s="173" t="s">
        <v>121</v>
      </c>
      <c r="E204" s="222" t="s">
        <v>122</v>
      </c>
    </row>
    <row r="205" spans="3:11" ht="19" x14ac:dyDescent="0.25">
      <c r="C205" s="82" t="s">
        <v>45</v>
      </c>
      <c r="D205" s="223">
        <f>$Q23</f>
        <v>6.4610000000000003</v>
      </c>
      <c r="E205" s="129">
        <f>D205*4.184</f>
        <v>27.032824000000002</v>
      </c>
    </row>
    <row r="206" spans="3:11" ht="19" x14ac:dyDescent="0.25">
      <c r="C206" s="88" t="s">
        <v>48</v>
      </c>
      <c r="D206" s="223">
        <f t="shared" ref="D206:D209" si="34">$Q24</f>
        <v>0</v>
      </c>
      <c r="E206" s="135">
        <f t="shared" ref="E206:E209" si="35">D206*4.184</f>
        <v>0</v>
      </c>
    </row>
    <row r="207" spans="3:11" ht="19" x14ac:dyDescent="0.25">
      <c r="C207" s="88" t="s">
        <v>50</v>
      </c>
      <c r="D207" s="223">
        <f t="shared" si="34"/>
        <v>2.9809999999999999</v>
      </c>
      <c r="E207" s="135">
        <f t="shared" si="35"/>
        <v>12.472504000000001</v>
      </c>
    </row>
    <row r="208" spans="3:11" ht="19" x14ac:dyDescent="0.25">
      <c r="C208" s="88" t="s">
        <v>52</v>
      </c>
      <c r="D208" s="223">
        <f t="shared" si="34"/>
        <v>2.9809999999999999</v>
      </c>
      <c r="E208" s="135">
        <f t="shared" si="35"/>
        <v>12.472504000000001</v>
      </c>
    </row>
    <row r="209" spans="3:16" ht="20" thickBot="1" x14ac:dyDescent="0.3">
      <c r="C209" s="93" t="s">
        <v>55</v>
      </c>
      <c r="D209" s="223">
        <f t="shared" si="34"/>
        <v>0.499</v>
      </c>
      <c r="E209" s="135">
        <f t="shared" si="35"/>
        <v>2.0878160000000001</v>
      </c>
      <c r="K209">
        <f>COLUMN(E205)</f>
        <v>5</v>
      </c>
    </row>
    <row r="210" spans="3:16" ht="24" customHeight="1" x14ac:dyDescent="0.2"/>
    <row r="211" spans="3:16" ht="17" thickBot="1" x14ac:dyDescent="0.25"/>
    <row r="212" spans="3:16" ht="23" thickBot="1" x14ac:dyDescent="0.35">
      <c r="D212" s="464" t="s">
        <v>122</v>
      </c>
      <c r="E212" s="465"/>
      <c r="F212" s="465"/>
      <c r="G212" s="465"/>
      <c r="H212" s="466"/>
      <c r="J212" s="153" t="s">
        <v>82</v>
      </c>
      <c r="K212" s="154"/>
      <c r="L212" s="154"/>
      <c r="M212" s="154"/>
      <c r="N212" s="154"/>
      <c r="O212" s="154"/>
      <c r="P212" s="56"/>
    </row>
    <row r="213" spans="3:16" ht="20" thickBot="1" x14ac:dyDescent="0.3">
      <c r="C213" s="213" t="s">
        <v>79</v>
      </c>
      <c r="D213" s="224" t="s">
        <v>123</v>
      </c>
      <c r="E213" s="225" t="s">
        <v>124</v>
      </c>
      <c r="F213" s="225" t="s">
        <v>125</v>
      </c>
      <c r="G213" s="226" t="s">
        <v>126</v>
      </c>
      <c r="H213" s="218" t="s">
        <v>127</v>
      </c>
      <c r="J213" s="56"/>
      <c r="K213" s="56"/>
      <c r="L213" s="56"/>
      <c r="M213" s="56"/>
      <c r="N213" s="56"/>
      <c r="O213" s="56"/>
      <c r="P213" s="56"/>
    </row>
    <row r="214" spans="3:16" ht="20" thickBot="1" x14ac:dyDescent="0.3">
      <c r="C214" s="185">
        <v>298.14999999999998</v>
      </c>
      <c r="D214" s="227">
        <f>3*$B$7/2</f>
        <v>12.471599999999999</v>
      </c>
      <c r="E214" s="228" cm="1">
        <f t="array" ref="E214">$B$7*SUM(($D$42:$D$50*$D$42:$D$50)*EXP($D$42:$D$50/$C214)/($C214^2*(EXP($D$42:$D$50/$C214)-1)^2))</f>
        <v>2.0892423578207864</v>
      </c>
      <c r="F214" s="229">
        <f>3*$B$7/2</f>
        <v>12.471599999999999</v>
      </c>
      <c r="G214" s="229">
        <v>0</v>
      </c>
      <c r="H214" s="230">
        <f t="shared" ref="H214:H232" si="36">SUM(D214:G214)</f>
        <v>27.032442357820784</v>
      </c>
      <c r="K214" s="224" t="s">
        <v>123</v>
      </c>
      <c r="L214" s="225" t="s">
        <v>124</v>
      </c>
      <c r="M214" s="225" t="s">
        <v>125</v>
      </c>
      <c r="N214" s="226" t="s">
        <v>126</v>
      </c>
      <c r="O214" s="218" t="s">
        <v>127</v>
      </c>
      <c r="P214" s="56"/>
    </row>
    <row r="215" spans="3:16" ht="19" x14ac:dyDescent="0.25">
      <c r="C215" s="155">
        <v>300</v>
      </c>
      <c r="D215" s="227">
        <f>3*$B$7/2</f>
        <v>12.471599999999999</v>
      </c>
      <c r="E215" s="228" cm="1">
        <f t="array" ref="E215">$B$7*SUM(($D$42:$D$50*$D$42:$D$50)*EXP($D$42:$D$50/$C215)/($C215^2*(EXP($D$42:$D$50/$C215)-1)^2))</f>
        <v>2.1516541465064041</v>
      </c>
      <c r="F215" s="229">
        <f>3*$B$7/2</f>
        <v>12.471599999999999</v>
      </c>
      <c r="G215" s="231">
        <v>0</v>
      </c>
      <c r="H215" s="230">
        <f t="shared" si="36"/>
        <v>27.0948541465064</v>
      </c>
      <c r="J215" s="162" t="s">
        <v>84</v>
      </c>
      <c r="K215" s="129">
        <f>D$214</f>
        <v>12.471599999999999</v>
      </c>
      <c r="L215" s="129">
        <f t="shared" ref="L215:O215" si="37">E$214</f>
        <v>2.0892423578207864</v>
      </c>
      <c r="M215" s="129">
        <f t="shared" si="37"/>
        <v>12.471599999999999</v>
      </c>
      <c r="N215" s="129">
        <f t="shared" si="37"/>
        <v>0</v>
      </c>
      <c r="O215" s="129">
        <f t="shared" si="37"/>
        <v>27.032442357820784</v>
      </c>
      <c r="P215" s="56"/>
    </row>
    <row r="216" spans="3:16" ht="20" thickBot="1" x14ac:dyDescent="0.3">
      <c r="C216" s="159">
        <f>C215+100</f>
        <v>400</v>
      </c>
      <c r="D216" s="232">
        <f t="shared" ref="D216:D232" si="38">3*$B$7/2</f>
        <v>12.471599999999999</v>
      </c>
      <c r="E216" s="233" cm="1">
        <f t="array" ref="E216">$B$7*SUM(($D$42:$D$50*$D$42:$D$50)*EXP($D$42:$D$50/$C216)/($C216^2*(EXP($D$42:$D$50/$C216)-1)^2))</f>
        <v>6.6428533135657748</v>
      </c>
      <c r="F216" s="234">
        <f t="shared" ref="F216:F232" si="39">3*$B$7/2</f>
        <v>12.471599999999999</v>
      </c>
      <c r="G216" s="235">
        <v>0</v>
      </c>
      <c r="H216" s="310">
        <f t="shared" si="36"/>
        <v>31.586053313565774</v>
      </c>
      <c r="J216" s="163" t="s">
        <v>85</v>
      </c>
      <c r="K216" s="147">
        <f>E207</f>
        <v>12.472504000000001</v>
      </c>
      <c r="L216" s="147">
        <f>E209</f>
        <v>2.0878160000000001</v>
      </c>
      <c r="M216" s="147">
        <f>E208</f>
        <v>12.472504000000001</v>
      </c>
      <c r="N216" s="147">
        <f>E206</f>
        <v>0</v>
      </c>
      <c r="O216" s="147">
        <f>E205</f>
        <v>27.032824000000002</v>
      </c>
      <c r="P216" s="56"/>
    </row>
    <row r="217" spans="3:16" ht="22" x14ac:dyDescent="0.3">
      <c r="C217" s="159">
        <f t="shared" ref="C217:C232" si="40">C216+100</f>
        <v>500</v>
      </c>
      <c r="D217" s="232">
        <f t="shared" si="38"/>
        <v>12.471599999999999</v>
      </c>
      <c r="E217" s="233" cm="1">
        <f t="array" ref="E217">$B$7*SUM(($D$42:$D$50*$D$42:$D$50)*EXP($D$42:$D$50/$C217)/($C217^2*(EXP($D$42:$D$50/$C217)-1)^2))</f>
        <v>12.260525057213679</v>
      </c>
      <c r="F217" s="234">
        <f t="shared" si="39"/>
        <v>12.471599999999999</v>
      </c>
      <c r="G217" s="235">
        <v>0</v>
      </c>
      <c r="H217" s="310">
        <f t="shared" si="36"/>
        <v>37.203725057213674</v>
      </c>
      <c r="J217" s="164" t="s">
        <v>86</v>
      </c>
      <c r="K217" s="165">
        <f>IFERROR(ABS(K215-K216)/K215,0)</f>
        <v>7.2484685204946797E-5</v>
      </c>
      <c r="L217" s="165">
        <f t="shared" ref="L217:O217" si="41">IFERROR(ABS(L215-L216)/L215,0)</f>
        <v>6.8271534676046114E-4</v>
      </c>
      <c r="M217" s="165">
        <f t="shared" si="41"/>
        <v>7.2484685204946797E-5</v>
      </c>
      <c r="N217" s="165">
        <f t="shared" si="41"/>
        <v>0</v>
      </c>
      <c r="O217" s="165">
        <f t="shared" si="41"/>
        <v>1.4117931860008563E-5</v>
      </c>
      <c r="P217" s="56"/>
    </row>
    <row r="218" spans="3:16" ht="19" x14ac:dyDescent="0.25">
      <c r="C218" s="159">
        <f t="shared" si="40"/>
        <v>600</v>
      </c>
      <c r="D218" s="232">
        <f t="shared" si="38"/>
        <v>12.471599999999999</v>
      </c>
      <c r="E218" s="233" cm="1">
        <f t="array" ref="E218">$B$7*SUM(($D$42:$D$50*$D$42:$D$50)*EXP($D$42:$D$50/$C218)/($C218^2*(EXP($D$42:$D$50/$C218)-1)^2))</f>
        <v>17.971598735219455</v>
      </c>
      <c r="F218" s="234">
        <f t="shared" si="39"/>
        <v>12.471599999999999</v>
      </c>
      <c r="G218" s="235">
        <v>0</v>
      </c>
      <c r="H218" s="310">
        <f t="shared" si="36"/>
        <v>42.914798735219449</v>
      </c>
    </row>
    <row r="219" spans="3:16" ht="19" x14ac:dyDescent="0.25">
      <c r="C219" s="159">
        <f t="shared" si="40"/>
        <v>700</v>
      </c>
      <c r="D219" s="232">
        <f t="shared" si="38"/>
        <v>12.471599999999999</v>
      </c>
      <c r="E219" s="233" cm="1">
        <f t="array" ref="E219">$B$7*SUM(($D$42:$D$50*$D$42:$D$50)*EXP($D$42:$D$50/$C219)/($C219^2*(EXP($D$42:$D$50/$C219)-1)^2))</f>
        <v>23.396560524406762</v>
      </c>
      <c r="F219" s="234">
        <f t="shared" si="39"/>
        <v>12.471599999999999</v>
      </c>
      <c r="G219" s="235">
        <v>0</v>
      </c>
      <c r="H219" s="310">
        <f t="shared" si="36"/>
        <v>48.339760524406756</v>
      </c>
    </row>
    <row r="220" spans="3:16" ht="19" x14ac:dyDescent="0.25">
      <c r="C220" s="159">
        <f t="shared" si="40"/>
        <v>800</v>
      </c>
      <c r="D220" s="232">
        <f t="shared" si="38"/>
        <v>12.471599999999999</v>
      </c>
      <c r="E220" s="233" cm="1">
        <f t="array" ref="E220">$B$7*SUM(($D$42:$D$50*$D$42:$D$50)*EXP($D$42:$D$50/$C220)/($C220^2*(EXP($D$42:$D$50/$C220)-1)^2))</f>
        <v>28.425215171871532</v>
      </c>
      <c r="F220" s="234">
        <f t="shared" si="39"/>
        <v>12.471599999999999</v>
      </c>
      <c r="G220" s="235">
        <v>0</v>
      </c>
      <c r="H220" s="310">
        <f t="shared" si="36"/>
        <v>53.368415171871533</v>
      </c>
    </row>
    <row r="221" spans="3:16" ht="19" x14ac:dyDescent="0.25">
      <c r="C221" s="159">
        <f t="shared" si="40"/>
        <v>900</v>
      </c>
      <c r="D221" s="232">
        <f t="shared" si="38"/>
        <v>12.471599999999999</v>
      </c>
      <c r="E221" s="233" cm="1">
        <f t="array" ref="E221">$B$7*SUM(($D$42:$D$50*$D$42:$D$50)*EXP($D$42:$D$50/$C221)/($C221^2*(EXP($D$42:$D$50/$C221)-1)^2))</f>
        <v>33.024021363696363</v>
      </c>
      <c r="F221" s="234">
        <f t="shared" si="39"/>
        <v>12.471599999999999</v>
      </c>
      <c r="G221" s="235">
        <v>0</v>
      </c>
      <c r="H221" s="310">
        <f t="shared" si="36"/>
        <v>57.967221363696353</v>
      </c>
    </row>
    <row r="222" spans="3:16" ht="19" x14ac:dyDescent="0.25">
      <c r="C222" s="159">
        <f t="shared" si="40"/>
        <v>1000</v>
      </c>
      <c r="D222" s="232">
        <f t="shared" si="38"/>
        <v>12.471599999999999</v>
      </c>
      <c r="E222" s="233" cm="1">
        <f t="array" ref="E222">$B$7*SUM(($D$42:$D$50*$D$42:$D$50)*EXP($D$42:$D$50/$C222)/($C222^2*(EXP($D$42:$D$50/$C222)-1)^2))</f>
        <v>37.185509445501083</v>
      </c>
      <c r="F222" s="234">
        <f t="shared" si="39"/>
        <v>12.471599999999999</v>
      </c>
      <c r="G222" s="235">
        <v>0</v>
      </c>
      <c r="H222" s="310">
        <f t="shared" si="36"/>
        <v>62.128709445501073</v>
      </c>
    </row>
    <row r="223" spans="3:16" ht="19" x14ac:dyDescent="0.25">
      <c r="C223" s="159">
        <f t="shared" si="40"/>
        <v>1100</v>
      </c>
      <c r="D223" s="232">
        <f t="shared" si="38"/>
        <v>12.471599999999999</v>
      </c>
      <c r="E223" s="233" cm="1">
        <f t="array" ref="E223">$B$7*SUM(($D$42:$D$50*$D$42:$D$50)*EXP($D$42:$D$50/$C223)/($C223^2*(EXP($D$42:$D$50/$C223)-1)^2))</f>
        <v>40.918906989071502</v>
      </c>
      <c r="F223" s="234">
        <f t="shared" si="39"/>
        <v>12.471599999999999</v>
      </c>
      <c r="G223" s="235">
        <v>0</v>
      </c>
      <c r="H223" s="310">
        <f t="shared" si="36"/>
        <v>65.862106989071492</v>
      </c>
    </row>
    <row r="224" spans="3:16" ht="19" x14ac:dyDescent="0.25">
      <c r="C224" s="159">
        <f t="shared" si="40"/>
        <v>1200</v>
      </c>
      <c r="D224" s="232">
        <f t="shared" si="38"/>
        <v>12.471599999999999</v>
      </c>
      <c r="E224" s="233" cm="1">
        <f t="array" ref="E224">$B$7*SUM(($D$42:$D$50*$D$42:$D$50)*EXP($D$42:$D$50/$C224)/($C224^2*(EXP($D$42:$D$50/$C224)-1)^2))</f>
        <v>44.246445768537747</v>
      </c>
      <c r="F224" s="234">
        <f t="shared" si="39"/>
        <v>12.471599999999999</v>
      </c>
      <c r="G224" s="235">
        <v>0</v>
      </c>
      <c r="H224" s="310">
        <f t="shared" si="36"/>
        <v>69.189645768537744</v>
      </c>
    </row>
    <row r="225" spans="3:11" ht="19" x14ac:dyDescent="0.25">
      <c r="C225" s="159">
        <f t="shared" si="40"/>
        <v>1300</v>
      </c>
      <c r="D225" s="232">
        <f t="shared" si="38"/>
        <v>12.471599999999999</v>
      </c>
      <c r="E225" s="233" cm="1">
        <f t="array" ref="E225">$B$7*SUM(($D$42:$D$50*$D$42:$D$50)*EXP($D$42:$D$50/$C225)/($C225^2*(EXP($D$42:$D$50/$C225)-1)^2))</f>
        <v>47.199095197128734</v>
      </c>
      <c r="F225" s="234">
        <f t="shared" si="39"/>
        <v>12.471599999999999</v>
      </c>
      <c r="G225" s="235">
        <v>0</v>
      </c>
      <c r="H225" s="310">
        <f t="shared" si="36"/>
        <v>72.142295197128732</v>
      </c>
    </row>
    <row r="226" spans="3:11" ht="19" x14ac:dyDescent="0.25">
      <c r="C226" s="159">
        <f t="shared" si="40"/>
        <v>1400</v>
      </c>
      <c r="D226" s="232">
        <f t="shared" si="38"/>
        <v>12.471599999999999</v>
      </c>
      <c r="E226" s="233" cm="1">
        <f t="array" ref="E226">$B$7*SUM(($D$42:$D$50*$D$42:$D$50)*EXP($D$42:$D$50/$C226)/($C226^2*(EXP($D$42:$D$50/$C226)-1)^2))</f>
        <v>49.812292331867766</v>
      </c>
      <c r="F226" s="234">
        <f t="shared" si="39"/>
        <v>12.471599999999999</v>
      </c>
      <c r="G226" s="235">
        <v>0</v>
      </c>
      <c r="H226" s="310">
        <f t="shared" si="36"/>
        <v>74.755492331867757</v>
      </c>
    </row>
    <row r="227" spans="3:11" ht="19" x14ac:dyDescent="0.25">
      <c r="C227" s="159">
        <f t="shared" si="40"/>
        <v>1500</v>
      </c>
      <c r="D227" s="232">
        <f t="shared" si="38"/>
        <v>12.471599999999999</v>
      </c>
      <c r="E227" s="233" cm="1">
        <f t="array" ref="E227">$B$7*SUM(($D$42:$D$50*$D$42:$D$50)*EXP($D$42:$D$50/$C227)/($C227^2*(EXP($D$42:$D$50/$C227)-1)^2))</f>
        <v>52.122541541593264</v>
      </c>
      <c r="F227" s="234">
        <f t="shared" si="39"/>
        <v>12.471599999999999</v>
      </c>
      <c r="G227" s="235">
        <v>0</v>
      </c>
      <c r="H227" s="310">
        <f t="shared" si="36"/>
        <v>77.065741541593255</v>
      </c>
    </row>
    <row r="228" spans="3:11" ht="19" x14ac:dyDescent="0.25">
      <c r="C228" s="159">
        <f t="shared" si="40"/>
        <v>1600</v>
      </c>
      <c r="D228" s="232">
        <f t="shared" si="38"/>
        <v>12.471599999999999</v>
      </c>
      <c r="E228" s="233" cm="1">
        <f t="array" ref="E228">$B$7*SUM(($D$42:$D$50*$D$42:$D$50)*EXP($D$42:$D$50/$C228)/($C228^2*(EXP($D$42:$D$50/$C228)-1)^2))</f>
        <v>54.165124207444343</v>
      </c>
      <c r="F228" s="234">
        <f t="shared" si="39"/>
        <v>12.471599999999999</v>
      </c>
      <c r="G228" s="235">
        <v>0</v>
      </c>
      <c r="H228" s="310">
        <f t="shared" si="36"/>
        <v>79.10832420744434</v>
      </c>
    </row>
    <row r="229" spans="3:11" ht="19" x14ac:dyDescent="0.25">
      <c r="C229" s="159">
        <f t="shared" si="40"/>
        <v>1700</v>
      </c>
      <c r="D229" s="232">
        <f t="shared" si="38"/>
        <v>12.471599999999999</v>
      </c>
      <c r="E229" s="233" cm="1">
        <f t="array" ref="E229">$B$7*SUM(($D$42:$D$50*$D$42:$D$50)*EXP($D$42:$D$50/$C229)/($C229^2*(EXP($D$42:$D$50/$C229)-1)^2))</f>
        <v>55.972772610273616</v>
      </c>
      <c r="F229" s="234">
        <f t="shared" si="39"/>
        <v>12.471599999999999</v>
      </c>
      <c r="G229" s="235">
        <v>0</v>
      </c>
      <c r="H229" s="310">
        <f t="shared" si="36"/>
        <v>80.915972610273613</v>
      </c>
    </row>
    <row r="230" spans="3:11" ht="19" x14ac:dyDescent="0.25">
      <c r="C230" s="159">
        <f t="shared" si="40"/>
        <v>1800</v>
      </c>
      <c r="D230" s="232">
        <f t="shared" si="38"/>
        <v>12.471599999999999</v>
      </c>
      <c r="E230" s="233" cm="1">
        <f t="array" ref="E230">$B$7*SUM(($D$42:$D$50*$D$42:$D$50)*EXP($D$42:$D$50/$C230)/($C230^2*(EXP($D$42:$D$50/$C230)-1)^2))</f>
        <v>57.575045721202748</v>
      </c>
      <c r="F230" s="234">
        <f t="shared" si="39"/>
        <v>12.471599999999999</v>
      </c>
      <c r="G230" s="235">
        <v>0</v>
      </c>
      <c r="H230" s="310">
        <f t="shared" si="36"/>
        <v>82.518245721202746</v>
      </c>
    </row>
    <row r="231" spans="3:11" ht="19" x14ac:dyDescent="0.25">
      <c r="C231" s="159">
        <f t="shared" si="40"/>
        <v>1900</v>
      </c>
      <c r="D231" s="232">
        <f t="shared" si="38"/>
        <v>12.471599999999999</v>
      </c>
      <c r="E231" s="233" cm="1">
        <f t="array" ref="E231">$B$7*SUM(($D$42:$D$50*$D$42:$D$50)*EXP($D$42:$D$50/$C231)/($C231^2*(EXP($D$42:$D$50/$C231)-1)^2))</f>
        <v>58.998161585728603</v>
      </c>
      <c r="F231" s="234">
        <f t="shared" si="39"/>
        <v>12.471599999999999</v>
      </c>
      <c r="G231" s="235">
        <v>0</v>
      </c>
      <c r="H231" s="310">
        <f t="shared" si="36"/>
        <v>83.9413615857286</v>
      </c>
    </row>
    <row r="232" spans="3:11" ht="20" thickBot="1" x14ac:dyDescent="0.3">
      <c r="C232" s="166">
        <f t="shared" si="40"/>
        <v>2000</v>
      </c>
      <c r="D232" s="236">
        <f t="shared" si="38"/>
        <v>12.471599999999999</v>
      </c>
      <c r="E232" s="237" cm="1">
        <f t="array" ref="E232">$B$7*SUM(($D$42:$D$50*$D$42:$D$50)*EXP($D$42:$D$50/$C232)/($C232^2*(EXP($D$42:$D$50/$C232)-1)^2))</f>
        <v>60.265099710683764</v>
      </c>
      <c r="F232" s="238">
        <f t="shared" si="39"/>
        <v>12.471599999999999</v>
      </c>
      <c r="G232" s="239">
        <v>0</v>
      </c>
      <c r="H232" s="311">
        <f t="shared" si="36"/>
        <v>85.208299710683761</v>
      </c>
    </row>
    <row r="238" spans="3:11" ht="17" thickBot="1" x14ac:dyDescent="0.25"/>
    <row r="239" spans="3:11" ht="20" thickBot="1" x14ac:dyDescent="0.3">
      <c r="E239" s="56"/>
      <c r="F239" s="56" t="s">
        <v>77</v>
      </c>
      <c r="G239" s="56"/>
      <c r="H239" s="467" t="s">
        <v>114</v>
      </c>
      <c r="I239" s="468"/>
      <c r="J239" s="468"/>
      <c r="K239" s="469"/>
    </row>
    <row r="240" spans="3:11" ht="28" thickBot="1" x14ac:dyDescent="0.4">
      <c r="C240" s="149" t="s">
        <v>128</v>
      </c>
      <c r="D240" s="150"/>
      <c r="E240" s="56"/>
      <c r="F240" s="56"/>
      <c r="G240" s="56"/>
      <c r="H240" s="221" t="s">
        <v>116</v>
      </c>
      <c r="I240" s="221" t="s">
        <v>117</v>
      </c>
      <c r="J240" s="221" t="s">
        <v>118</v>
      </c>
      <c r="K240" s="221" t="s">
        <v>119</v>
      </c>
    </row>
    <row r="244" spans="3:10" ht="20" thickBot="1" x14ac:dyDescent="0.25">
      <c r="D244" s="470"/>
      <c r="E244" s="470"/>
    </row>
    <row r="245" spans="3:10" ht="20" thickBot="1" x14ac:dyDescent="0.25">
      <c r="D245" s="461" t="s">
        <v>129</v>
      </c>
      <c r="E245" s="462"/>
    </row>
    <row r="246" spans="3:10" ht="20" thickBot="1" x14ac:dyDescent="0.3">
      <c r="D246" s="173" t="s">
        <v>121</v>
      </c>
      <c r="E246" s="222" t="s">
        <v>122</v>
      </c>
    </row>
    <row r="247" spans="3:10" ht="19" x14ac:dyDescent="0.25">
      <c r="C247" s="82" t="s">
        <v>45</v>
      </c>
      <c r="D247" s="241">
        <f>$R23</f>
        <v>47.235999999999997</v>
      </c>
      <c r="E247" s="129">
        <f>D247*4.184</f>
        <v>197.635424</v>
      </c>
    </row>
    <row r="248" spans="3:10" ht="19" x14ac:dyDescent="0.25">
      <c r="C248" s="88" t="s">
        <v>48</v>
      </c>
      <c r="D248" s="241">
        <f t="shared" ref="D248:D251" si="42">$R24</f>
        <v>0</v>
      </c>
      <c r="E248" s="135">
        <f t="shared" ref="E248:E251" si="43">D248*4.184</f>
        <v>0</v>
      </c>
    </row>
    <row r="249" spans="3:10" ht="19" x14ac:dyDescent="0.25">
      <c r="C249" s="88" t="s">
        <v>50</v>
      </c>
      <c r="D249" s="241">
        <f t="shared" si="42"/>
        <v>34.261000000000003</v>
      </c>
      <c r="E249" s="135">
        <f t="shared" si="43"/>
        <v>143.34802400000001</v>
      </c>
    </row>
    <row r="250" spans="3:10" ht="19" x14ac:dyDescent="0.25">
      <c r="C250" s="88" t="s">
        <v>52</v>
      </c>
      <c r="D250" s="241">
        <f t="shared" si="42"/>
        <v>12.89</v>
      </c>
      <c r="E250" s="135">
        <f t="shared" si="43"/>
        <v>53.931760000000004</v>
      </c>
    </row>
    <row r="251" spans="3:10" ht="20" thickBot="1" x14ac:dyDescent="0.3">
      <c r="C251" s="93" t="s">
        <v>55</v>
      </c>
      <c r="D251" s="241">
        <f t="shared" si="42"/>
        <v>8.5000000000000006E-2</v>
      </c>
      <c r="E251" s="135">
        <f t="shared" si="43"/>
        <v>0.35564000000000007</v>
      </c>
    </row>
    <row r="253" spans="3:10" ht="17" thickBot="1" x14ac:dyDescent="0.25"/>
    <row r="254" spans="3:10" ht="20" thickBot="1" x14ac:dyDescent="0.3">
      <c r="C254" s="57" t="s">
        <v>34</v>
      </c>
      <c r="D254" s="242"/>
      <c r="E254" s="242"/>
      <c r="F254" s="242"/>
      <c r="G254" s="243"/>
      <c r="I254" s="66" t="s">
        <v>130</v>
      </c>
      <c r="J254" s="244">
        <f>($B$14^2)/(8*PI()*PI()*$G$258*$B$8)</f>
        <v>1.222230608475283</v>
      </c>
    </row>
    <row r="255" spans="3:10" ht="20" thickBot="1" x14ac:dyDescent="0.3">
      <c r="C255" s="245"/>
      <c r="D255" s="63" t="s">
        <v>37</v>
      </c>
      <c r="E255" s="64" t="s">
        <v>38</v>
      </c>
      <c r="F255" s="65" t="s">
        <v>39</v>
      </c>
      <c r="G255" s="218" t="s">
        <v>127</v>
      </c>
      <c r="I255" s="111"/>
      <c r="J255" s="111"/>
    </row>
    <row r="256" spans="3:10" ht="22" thickBot="1" x14ac:dyDescent="0.3">
      <c r="C256" s="74" t="s">
        <v>44</v>
      </c>
      <c r="D256" s="328">
        <f>D$23</f>
        <v>11.460050000000001</v>
      </c>
      <c r="E256" s="76">
        <f t="shared" ref="E256:F256" si="44">E$23</f>
        <v>11.46124</v>
      </c>
      <c r="F256" s="329">
        <f t="shared" si="44"/>
        <v>11.46124</v>
      </c>
      <c r="G256" s="194">
        <f>SQRT(F256^2 + E256^2 + D256^2)</f>
        <v>19.850762974699489</v>
      </c>
      <c r="J256" s="111"/>
    </row>
    <row r="257" spans="1:18" ht="22" thickBot="1" x14ac:dyDescent="0.3">
      <c r="C257" s="86" t="s">
        <v>47</v>
      </c>
      <c r="D257" s="246">
        <f>D256*$U$9</f>
        <v>1.9023682999999999E-26</v>
      </c>
      <c r="E257" s="223">
        <f t="shared" ref="E257:F257" si="45">E256*$U$9</f>
        <v>1.9025658399999998E-26</v>
      </c>
      <c r="F257" s="330">
        <f t="shared" si="45"/>
        <v>1.9025658399999998E-26</v>
      </c>
      <c r="G257" s="194">
        <f t="shared" ref="G257:G258" si="46">SQRT(F257^2 + E257^2 + D257^2)</f>
        <v>3.2952266538001144E-26</v>
      </c>
    </row>
    <row r="258" spans="1:18" ht="22" thickBot="1" x14ac:dyDescent="0.3">
      <c r="C258" s="89" t="s">
        <v>49</v>
      </c>
      <c r="D258" s="90">
        <f>D257*($Q$8)^2</f>
        <v>1.9023682999999999E-46</v>
      </c>
      <c r="E258" s="91">
        <f>E257*($Q$8)^2</f>
        <v>1.9025658400000001E-46</v>
      </c>
      <c r="F258" s="247">
        <f t="shared" ref="F258" si="47">F257*($Q$8)^2</f>
        <v>1.9025658400000001E-46</v>
      </c>
      <c r="G258" s="194">
        <f t="shared" si="46"/>
        <v>3.2952266538001147E-46</v>
      </c>
    </row>
    <row r="259" spans="1:18" ht="17" thickBot="1" x14ac:dyDescent="0.25"/>
    <row r="260" spans="1:18" ht="20" thickBot="1" x14ac:dyDescent="0.3">
      <c r="F260" s="248" t="s">
        <v>122</v>
      </c>
      <c r="G260" s="249"/>
      <c r="H260" s="249"/>
      <c r="I260" s="249"/>
      <c r="J260" s="250"/>
    </row>
    <row r="261" spans="1:18" ht="23" thickBot="1" x14ac:dyDescent="0.35">
      <c r="C261" s="213" t="s">
        <v>79</v>
      </c>
      <c r="D261" s="251" t="s">
        <v>131</v>
      </c>
      <c r="E261" s="185" t="s">
        <v>132</v>
      </c>
      <c r="F261" s="252" t="s">
        <v>123</v>
      </c>
      <c r="G261" s="253" t="s">
        <v>124</v>
      </c>
      <c r="H261" s="253" t="s">
        <v>125</v>
      </c>
      <c r="I261" s="254" t="s">
        <v>126</v>
      </c>
      <c r="J261" s="218" t="s">
        <v>127</v>
      </c>
      <c r="L261" s="153" t="s">
        <v>82</v>
      </c>
      <c r="M261" s="154"/>
      <c r="N261" s="154"/>
      <c r="O261" s="154"/>
      <c r="P261" s="154"/>
      <c r="Q261" s="154"/>
    </row>
    <row r="262" spans="1:18" ht="20" thickBot="1" x14ac:dyDescent="0.3">
      <c r="C262" s="185">
        <v>298.14999999999998</v>
      </c>
      <c r="D262" s="255">
        <f>$B$7*C262/$B$16</f>
        <v>2.4465219442388352E-2</v>
      </c>
      <c r="E262" s="256">
        <f>((2*PI()*$A$28*$U$9*$B$8*$C262)/($B$14*$B$14))^(3/2)</f>
        <v>6.2071894026533771E+31</v>
      </c>
      <c r="F262" s="257">
        <f t="shared" ref="F262:F280" si="48">$B$7*LN(($D262/$B$6)*EXP(5/2)*E262)</f>
        <v>143.34394329311561</v>
      </c>
      <c r="G262" s="258" cm="1">
        <f t="array" ref="G262">$B$7*SUM((($D$42:$D$50)/$C262)/(EXP($D$42:$D$50/$C262)-1)-LN(1-EXP(-$D$42:$D$50/$C262)))</f>
        <v>0.35628619407215534</v>
      </c>
      <c r="H262" s="259">
        <f>$B$7*(LN((SQRT(PI())/$A$31)*($C262^(3/2)/SQRT(C$29*D$29*E$29)))+3/2)</f>
        <v>53.930226367638582</v>
      </c>
      <c r="I262" s="260">
        <v>0</v>
      </c>
      <c r="J262" s="261">
        <f t="shared" ref="J262:J280" si="49">SUM(F262:I262)</f>
        <v>197.63045585482638</v>
      </c>
      <c r="L262" s="56"/>
      <c r="M262" s="56"/>
      <c r="N262" s="56"/>
      <c r="O262" s="56"/>
      <c r="P262" s="56"/>
      <c r="Q262" s="56"/>
    </row>
    <row r="263" spans="1:18" ht="20" thickBot="1" x14ac:dyDescent="0.3">
      <c r="C263" s="155">
        <v>300</v>
      </c>
      <c r="D263" s="255">
        <f>$B$7*C263/$B$16</f>
        <v>2.4617024426350848E-2</v>
      </c>
      <c r="E263" s="256">
        <f>((2*PI()*$A$28*$U$9*$B$8*$C263)/($B$14*$B$14))^(3/2)</f>
        <v>6.2650516965619017E+31</v>
      </c>
      <c r="F263" s="262">
        <f t="shared" si="48"/>
        <v>143.47252048149971</v>
      </c>
      <c r="G263" s="228" cm="1">
        <f t="array" ref="G263">$B$7*SUM((($D$42:$D$50)/$C263)/(EXP($D$42:$D$50/$C263)-1)-LN(1-EXP(-$D$42:$D$50/$C263)))</f>
        <v>0.36940209593207096</v>
      </c>
      <c r="H263" s="263">
        <f t="shared" ref="H263:H280" si="50">$B$7*(LN((SQRT(PI())/$A$31)*($C263^(3/2)/SQRT(C$29*D$29*E$29)))+3/2)</f>
        <v>54.007372680669086</v>
      </c>
      <c r="I263" s="231">
        <v>0</v>
      </c>
      <c r="J263" s="261">
        <f t="shared" si="49"/>
        <v>197.84929525810085</v>
      </c>
      <c r="N263" s="224" t="s">
        <v>123</v>
      </c>
      <c r="O263" s="225" t="s">
        <v>124</v>
      </c>
      <c r="P263" s="225" t="s">
        <v>125</v>
      </c>
      <c r="Q263" s="226" t="s">
        <v>126</v>
      </c>
      <c r="R263" s="218" t="s">
        <v>127</v>
      </c>
    </row>
    <row r="264" spans="1:18" ht="20" thickBot="1" x14ac:dyDescent="0.3">
      <c r="C264" s="159">
        <f>C263+100</f>
        <v>400</v>
      </c>
      <c r="D264" s="264">
        <f t="shared" ref="D264:D280" si="51">$B$7*C264/$B$16</f>
        <v>3.2822699235134464E-2</v>
      </c>
      <c r="E264" s="265">
        <f t="shared" ref="E264:E280" si="52">(2*PI()*$A$28*$U$9*$B$8*$C264/($B$14)^2)^(3/2)</f>
        <v>9.6456780893252501E+31</v>
      </c>
      <c r="F264" s="266">
        <f t="shared" si="48"/>
        <v>149.4522800394825</v>
      </c>
      <c r="G264" s="233" cm="1">
        <f t="array" ref="G264">$B$7*SUM((($D$42:$D$50)/$C264)/(EXP($D$42:$D$50/$C264)-1)-LN(1-EXP(-$D$42:$D$50/$C264)))</f>
        <v>1.5578337206433435</v>
      </c>
      <c r="H264" s="267">
        <f t="shared" si="50"/>
        <v>57.59522841545872</v>
      </c>
      <c r="I264" s="235">
        <v>0</v>
      </c>
      <c r="J264" s="312">
        <f t="shared" si="49"/>
        <v>208.60534217558455</v>
      </c>
      <c r="M264" s="162" t="s">
        <v>84</v>
      </c>
      <c r="N264" s="268">
        <f>F$262</f>
        <v>143.34394329311561</v>
      </c>
      <c r="O264" s="268">
        <f>G$262</f>
        <v>0.35628619407215534</v>
      </c>
      <c r="P264" s="268">
        <f>H$262</f>
        <v>53.930226367638582</v>
      </c>
      <c r="Q264" s="268">
        <f>I$262</f>
        <v>0</v>
      </c>
      <c r="R264" s="268">
        <f>J$262</f>
        <v>197.63045585482638</v>
      </c>
    </row>
    <row r="265" spans="1:18" ht="20" thickBot="1" x14ac:dyDescent="0.3">
      <c r="C265" s="159">
        <f t="shared" ref="C265:C280" si="53">C264+100</f>
        <v>500</v>
      </c>
      <c r="D265" s="264">
        <f t="shared" si="51"/>
        <v>4.1028374043918084E-2</v>
      </c>
      <c r="E265" s="265">
        <f t="shared" si="52"/>
        <v>1.3480244935507294E+32</v>
      </c>
      <c r="F265" s="266">
        <f t="shared" si="48"/>
        <v>154.09054189709971</v>
      </c>
      <c r="G265" s="233" cm="1">
        <f t="array" ref="G265">$B$7*SUM((($D$42:$D$50)/$C265)/(EXP($D$42:$D$50/$C265)-1)-LN(1-EXP(-$D$42:$D$50/$C265)))</f>
        <v>3.6351261768036633</v>
      </c>
      <c r="H265" s="267">
        <f t="shared" si="50"/>
        <v>60.378185530029022</v>
      </c>
      <c r="I265" s="235">
        <v>0</v>
      </c>
      <c r="J265" s="312">
        <f t="shared" si="49"/>
        <v>218.10385360393238</v>
      </c>
      <c r="M265" s="163" t="s">
        <v>85</v>
      </c>
      <c r="N265" s="268">
        <f>E249</f>
        <v>143.34802400000001</v>
      </c>
      <c r="O265" s="268">
        <f>E251</f>
        <v>0.35564000000000007</v>
      </c>
      <c r="P265" s="268">
        <f>E250</f>
        <v>53.931760000000004</v>
      </c>
      <c r="Q265" s="268">
        <f>E248</f>
        <v>0</v>
      </c>
      <c r="R265" s="268">
        <f>E247</f>
        <v>197.635424</v>
      </c>
    </row>
    <row r="266" spans="1:18" ht="22" x14ac:dyDescent="0.3">
      <c r="C266" s="159">
        <f t="shared" si="53"/>
        <v>600</v>
      </c>
      <c r="D266" s="264">
        <f t="shared" si="51"/>
        <v>4.9234048852701696E-2</v>
      </c>
      <c r="E266" s="265">
        <f t="shared" si="52"/>
        <v>1.7720242156492869E+32</v>
      </c>
      <c r="F266" s="266">
        <f t="shared" si="48"/>
        <v>157.88027777661875</v>
      </c>
      <c r="G266" s="233" cm="1">
        <f t="array" ref="G266">$B$7*SUM((($D$42:$D$50)/$C266)/(EXP($D$42:$D$50/$C266)-1)-LN(1-EXP(-$D$42:$D$50/$C266)))</f>
        <v>6.3779569117927872</v>
      </c>
      <c r="H266" s="267">
        <f t="shared" si="50"/>
        <v>62.65202705774049</v>
      </c>
      <c r="I266" s="235">
        <v>0</v>
      </c>
      <c r="J266" s="312">
        <f t="shared" si="49"/>
        <v>226.91026174615203</v>
      </c>
      <c r="L266" s="56"/>
      <c r="M266" s="164" t="s">
        <v>86</v>
      </c>
      <c r="N266" s="165">
        <f>IFERROR(ABS(N264-N265)/N264,0)</f>
        <v>2.8467940748987632E-5</v>
      </c>
      <c r="O266" s="165">
        <f t="shared" ref="O266:R266" si="54">IFERROR(ABS(O264-O265)/O264,0)</f>
        <v>1.813693830708475E-3</v>
      </c>
      <c r="P266" s="165">
        <f t="shared" si="54"/>
        <v>2.8437343299237368E-5</v>
      </c>
      <c r="Q266" s="165">
        <f t="shared" si="54"/>
        <v>0</v>
      </c>
      <c r="R266" s="165">
        <f t="shared" si="54"/>
        <v>2.5138560512505207E-5</v>
      </c>
    </row>
    <row r="267" spans="1:18" ht="19" x14ac:dyDescent="0.25">
      <c r="A267" s="269"/>
      <c r="C267" s="159">
        <f t="shared" si="53"/>
        <v>700</v>
      </c>
      <c r="D267" s="264">
        <f t="shared" si="51"/>
        <v>5.7439723661485309E-2</v>
      </c>
      <c r="E267" s="265">
        <f t="shared" si="52"/>
        <v>2.2330057269572045E+32</v>
      </c>
      <c r="F267" s="266">
        <f t="shared" si="48"/>
        <v>161.08445380750828</v>
      </c>
      <c r="G267" s="233" cm="1">
        <f t="array" ref="G267">$B$7*SUM((($D$42:$D$50)/$C267)/(EXP($D$42:$D$50/$C267)-1)-LN(1-EXP(-$D$42:$D$50/$C267)))</f>
        <v>9.5603628364572444</v>
      </c>
      <c r="H267" s="267">
        <f t="shared" si="50"/>
        <v>64.574532676274131</v>
      </c>
      <c r="I267" s="235">
        <v>0</v>
      </c>
      <c r="J267" s="312">
        <f t="shared" si="49"/>
        <v>235.21934932023964</v>
      </c>
    </row>
    <row r="268" spans="1:18" ht="19" x14ac:dyDescent="0.25">
      <c r="A268" s="269"/>
      <c r="C268" s="159">
        <f t="shared" si="53"/>
        <v>800</v>
      </c>
      <c r="D268" s="264">
        <f t="shared" si="51"/>
        <v>6.5645398470268929E-2</v>
      </c>
      <c r="E268" s="265">
        <f t="shared" si="52"/>
        <v>2.7282097544417618E+32</v>
      </c>
      <c r="F268" s="266">
        <f t="shared" si="48"/>
        <v>163.86003733460157</v>
      </c>
      <c r="G268" s="233" cm="1">
        <f t="array" ref="G268">$B$7*SUM((($D$42:$D$50)/$C268)/(EXP($D$42:$D$50/$C268)-1)-LN(1-EXP(-$D$42:$D$50/$C268)))</f>
        <v>13.017476642191708</v>
      </c>
      <c r="H268" s="267">
        <f t="shared" si="50"/>
        <v>66.239882792530125</v>
      </c>
      <c r="I268" s="235">
        <v>0</v>
      </c>
      <c r="J268" s="312">
        <f t="shared" si="49"/>
        <v>243.11739676932339</v>
      </c>
    </row>
    <row r="269" spans="1:18" ht="19" x14ac:dyDescent="0.25">
      <c r="C269" s="159">
        <f t="shared" si="53"/>
        <v>900</v>
      </c>
      <c r="D269" s="264">
        <f t="shared" si="51"/>
        <v>7.3851073279052548E-2</v>
      </c>
      <c r="E269" s="265">
        <f t="shared" si="52"/>
        <v>3.2554163551472771E+32</v>
      </c>
      <c r="F269" s="266">
        <f t="shared" si="48"/>
        <v>166.30827551375512</v>
      </c>
      <c r="G269" s="233" cm="1">
        <f t="array" ref="G269">$B$7*SUM((($D$42:$D$50)/$C269)/(EXP($D$42:$D$50/$C269)-1)-LN(1-EXP(-$D$42:$D$50/$C269)))</f>
        <v>16.635287332238967</v>
      </c>
      <c r="H269" s="267">
        <f t="shared" si="50"/>
        <v>67.708825700022288</v>
      </c>
      <c r="I269" s="235">
        <v>0</v>
      </c>
      <c r="J269" s="312">
        <f t="shared" si="49"/>
        <v>250.65238854601637</v>
      </c>
    </row>
    <row r="270" spans="1:18" ht="19" x14ac:dyDescent="0.25">
      <c r="C270" s="159">
        <f t="shared" si="53"/>
        <v>1000</v>
      </c>
      <c r="D270" s="264">
        <f t="shared" si="51"/>
        <v>8.2056748087836168E-2</v>
      </c>
      <c r="E270" s="265">
        <f t="shared" si="52"/>
        <v>3.812789042381085E+32</v>
      </c>
      <c r="F270" s="266">
        <f t="shared" si="48"/>
        <v>168.49829919221864</v>
      </c>
      <c r="G270" s="233" cm="1">
        <f t="array" ref="G270">$B$7*SUM((($D$42:$D$50)/$C270)/(EXP($D$42:$D$50/$C270)-1)-LN(1-EXP(-$D$42:$D$50/$C270)))</f>
        <v>20.333916449870596</v>
      </c>
      <c r="H270" s="267">
        <f t="shared" si="50"/>
        <v>69.022839907100433</v>
      </c>
      <c r="I270" s="235">
        <v>0</v>
      </c>
      <c r="J270" s="312">
        <f t="shared" si="49"/>
        <v>257.85505554918967</v>
      </c>
    </row>
    <row r="271" spans="1:18" ht="19" x14ac:dyDescent="0.25">
      <c r="C271" s="159">
        <f t="shared" si="53"/>
        <v>1100</v>
      </c>
      <c r="D271" s="264">
        <f t="shared" si="51"/>
        <v>9.0262422896619773E-2</v>
      </c>
      <c r="E271" s="265">
        <f t="shared" si="52"/>
        <v>4.3987755722410577E+32</v>
      </c>
      <c r="F271" s="266">
        <f t="shared" si="48"/>
        <v>170.4794165896314</v>
      </c>
      <c r="G271" s="233" cm="1">
        <f t="array" ref="G271">$B$7*SUM((($D$42:$D$50)/$C271)/(EXP($D$42:$D$50/$C271)-1)-LN(1-EXP(-$D$42:$D$50/$C271)))</f>
        <v>24.056490793759451</v>
      </c>
      <c r="H271" s="267">
        <f t="shared" si="50"/>
        <v>70.211510345548035</v>
      </c>
      <c r="I271" s="235">
        <v>0</v>
      </c>
      <c r="J271" s="312">
        <f t="shared" si="49"/>
        <v>264.7474177289389</v>
      </c>
    </row>
    <row r="272" spans="1:18" ht="19" x14ac:dyDescent="0.25">
      <c r="C272" s="159">
        <f t="shared" si="53"/>
        <v>1200</v>
      </c>
      <c r="D272" s="264">
        <f t="shared" si="51"/>
        <v>9.8468097705403393E-2</v>
      </c>
      <c r="E272" s="265">
        <f t="shared" si="52"/>
        <v>5.0120413572495495E+32</v>
      </c>
      <c r="F272" s="266">
        <f t="shared" si="48"/>
        <v>172.28803507173782</v>
      </c>
      <c r="G272" s="233" cm="1">
        <f t="array" ref="G272">$B$7*SUM((($D$42:$D$50)/$C272)/(EXP($D$42:$D$50/$C272)-1)-LN(1-EXP(-$D$42:$D$50/$C272)))</f>
        <v>27.762407786175839</v>
      </c>
      <c r="H272" s="267">
        <f t="shared" si="50"/>
        <v>71.296681434811916</v>
      </c>
      <c r="I272" s="235">
        <v>0</v>
      </c>
      <c r="J272" s="312">
        <f t="shared" si="49"/>
        <v>271.34712429272554</v>
      </c>
    </row>
    <row r="273" spans="3:10" ht="19" x14ac:dyDescent="0.25">
      <c r="C273" s="159">
        <f t="shared" si="53"/>
        <v>1300</v>
      </c>
      <c r="D273" s="264">
        <f t="shared" si="51"/>
        <v>0.10667377251418701</v>
      </c>
      <c r="E273" s="265">
        <f t="shared" si="52"/>
        <v>5.6514228773732626E+32</v>
      </c>
      <c r="F273" s="266">
        <f t="shared" si="48"/>
        <v>173.95180279343992</v>
      </c>
      <c r="G273" s="233" cm="1">
        <f t="array" ref="G273">$B$7*SUM((($D$42:$D$50)/$C273)/(EXP($D$42:$D$50/$C273)-1)-LN(1-EXP(-$D$42:$D$50/$C273)))</f>
        <v>31.422991200460419</v>
      </c>
      <c r="H273" s="267">
        <f t="shared" si="50"/>
        <v>72.294942067833176</v>
      </c>
      <c r="I273" s="235">
        <v>0</v>
      </c>
      <c r="J273" s="312">
        <f t="shared" si="49"/>
        <v>277.66973606173349</v>
      </c>
    </row>
    <row r="274" spans="3:10" ht="19" x14ac:dyDescent="0.25">
      <c r="C274" s="159">
        <f t="shared" si="53"/>
        <v>1400</v>
      </c>
      <c r="D274" s="264">
        <f t="shared" si="51"/>
        <v>0.11487944732297062</v>
      </c>
      <c r="E274" s="265">
        <f t="shared" si="52"/>
        <v>6.315893967839269E+32</v>
      </c>
      <c r="F274" s="266">
        <f t="shared" si="48"/>
        <v>175.49221110262718</v>
      </c>
      <c r="G274" s="233" cm="1">
        <f t="array" ref="G274">$B$7*SUM((($D$42:$D$50)/$C274)/(EXP($D$42:$D$50/$C274)-1)-LN(1-EXP(-$D$42:$D$50/$C274)))</f>
        <v>35.018437140596603</v>
      </c>
      <c r="H274" s="267">
        <f t="shared" si="50"/>
        <v>73.21918705334555</v>
      </c>
      <c r="I274" s="235">
        <v>0</v>
      </c>
      <c r="J274" s="312">
        <f t="shared" si="49"/>
        <v>283.72983529656932</v>
      </c>
    </row>
    <row r="275" spans="3:10" ht="19" x14ac:dyDescent="0.25">
      <c r="C275" s="159">
        <f t="shared" si="53"/>
        <v>1500</v>
      </c>
      <c r="D275" s="264">
        <f t="shared" si="51"/>
        <v>0.12308512213175424</v>
      </c>
      <c r="E275" s="265">
        <f t="shared" si="52"/>
        <v>7.0045407380314778E+32</v>
      </c>
      <c r="F275" s="266">
        <f t="shared" si="48"/>
        <v>176.926296929355</v>
      </c>
      <c r="G275" s="233" cm="1">
        <f t="array" ref="G275">$B$7*SUM((($D$42:$D$50)/$C275)/(EXP($D$42:$D$50/$C275)-1)-LN(1-EXP(-$D$42:$D$50/$C275)))</f>
        <v>38.535547408815987</v>
      </c>
      <c r="H275" s="267">
        <f t="shared" si="50"/>
        <v>74.07963854938221</v>
      </c>
      <c r="I275" s="235">
        <v>0</v>
      </c>
      <c r="J275" s="312">
        <f t="shared" si="49"/>
        <v>289.54148288755317</v>
      </c>
    </row>
    <row r="276" spans="3:10" ht="19" x14ac:dyDescent="0.25">
      <c r="C276" s="159">
        <f t="shared" si="53"/>
        <v>1600</v>
      </c>
      <c r="D276" s="264">
        <f t="shared" si="51"/>
        <v>0.13129079694053786</v>
      </c>
      <c r="E276" s="265">
        <f t="shared" si="52"/>
        <v>7.7165424714602433E+32</v>
      </c>
      <c r="F276" s="266">
        <f t="shared" si="48"/>
        <v>178.26779462972061</v>
      </c>
      <c r="G276" s="233" cm="1">
        <f t="array" ref="G276">$B$7*SUM((($D$42:$D$50)/$C276)/(EXP($D$42:$D$50/$C276)-1)-LN(1-EXP(-$D$42:$D$50/$C276)))</f>
        <v>41.96601146727334</v>
      </c>
      <c r="H276" s="267">
        <f t="shared" si="50"/>
        <v>74.884537169601543</v>
      </c>
      <c r="I276" s="235">
        <v>0</v>
      </c>
      <c r="J276" s="312">
        <f t="shared" si="49"/>
        <v>295.1183432665955</v>
      </c>
    </row>
    <row r="277" spans="3:10" ht="19" x14ac:dyDescent="0.25">
      <c r="C277" s="159">
        <f t="shared" si="53"/>
        <v>1700</v>
      </c>
      <c r="D277" s="264">
        <f t="shared" si="51"/>
        <v>0.13949647174932148</v>
      </c>
      <c r="E277" s="265">
        <f t="shared" si="52"/>
        <v>8.4511567885112007E+32</v>
      </c>
      <c r="F277" s="266">
        <f t="shared" si="48"/>
        <v>179.52793801879693</v>
      </c>
      <c r="G277" s="233" cm="1">
        <f t="array" ref="G277">$B$7*SUM((($D$42:$D$50)/$C277)/(EXP($D$42:$D$50/$C277)-1)-LN(1-EXP(-$D$42:$D$50/$C277)))</f>
        <v>45.305101192807541</v>
      </c>
      <c r="H277" s="267">
        <f t="shared" si="50"/>
        <v>75.640623203047397</v>
      </c>
      <c r="I277" s="235">
        <v>0</v>
      </c>
      <c r="J277" s="312">
        <f t="shared" si="49"/>
        <v>300.47366241465187</v>
      </c>
    </row>
    <row r="278" spans="3:10" ht="19" x14ac:dyDescent="0.25">
      <c r="C278" s="159">
        <f t="shared" si="53"/>
        <v>1800</v>
      </c>
      <c r="D278" s="264">
        <f t="shared" si="51"/>
        <v>0.1477021465581051</v>
      </c>
      <c r="E278" s="265">
        <f t="shared" si="52"/>
        <v>9.2077079212408295E+32</v>
      </c>
      <c r="F278" s="266">
        <f t="shared" si="48"/>
        <v>180.71603280887405</v>
      </c>
      <c r="G278" s="233" cm="1">
        <f t="array" ref="G278">$B$7*SUM((($D$42:$D$50)/$C278)/(EXP($D$42:$D$50/$C278)-1)-LN(1-EXP(-$D$42:$D$50/$C278)))</f>
        <v>48.550684496373563</v>
      </c>
      <c r="H278" s="267">
        <f t="shared" si="50"/>
        <v>76.353480077093707</v>
      </c>
      <c r="I278" s="235">
        <v>0</v>
      </c>
      <c r="J278" s="312">
        <f t="shared" si="49"/>
        <v>305.6201973823413</v>
      </c>
    </row>
    <row r="279" spans="3:10" ht="19" x14ac:dyDescent="0.25">
      <c r="C279" s="159">
        <f t="shared" si="53"/>
        <v>1900</v>
      </c>
      <c r="D279" s="264">
        <f t="shared" si="51"/>
        <v>0.15590782136688872</v>
      </c>
      <c r="E279" s="265">
        <f t="shared" si="52"/>
        <v>9.9855773079072226E+32</v>
      </c>
      <c r="F279" s="266">
        <f t="shared" si="48"/>
        <v>181.83987407019816</v>
      </c>
      <c r="G279" s="233" cm="1">
        <f t="array" ref="G279">$B$7*SUM((($D$42:$D$50)/$C279)/(EXP($D$42:$D$50/$C279)-1)-LN(1-EXP(-$D$42:$D$50/$C279)))</f>
        <v>51.702485404289554</v>
      </c>
      <c r="H279" s="267">
        <f t="shared" si="50"/>
        <v>77.027784833888077</v>
      </c>
      <c r="I279" s="235">
        <v>0</v>
      </c>
      <c r="J279" s="312">
        <f t="shared" si="49"/>
        <v>310.5701443083758</v>
      </c>
    </row>
    <row r="280" spans="3:10" ht="20" thickBot="1" x14ac:dyDescent="0.3">
      <c r="C280" s="166">
        <f t="shared" si="53"/>
        <v>2000</v>
      </c>
      <c r="D280" s="270">
        <f t="shared" si="51"/>
        <v>0.16411349617567234</v>
      </c>
      <c r="E280" s="271">
        <f t="shared" si="52"/>
        <v>1.0784195948405743E+33</v>
      </c>
      <c r="F280" s="272">
        <f t="shared" si="48"/>
        <v>182.90605648733768</v>
      </c>
      <c r="G280" s="237" cm="1">
        <f t="array" ref="G280">$B$7*SUM((($D$42:$D$50)/$C280)/(EXP($D$42:$D$50/$C280)-1)-LN(1-EXP(-$D$42:$D$50/$C280)))</f>
        <v>54.761533071282138</v>
      </c>
      <c r="H280" s="273">
        <f t="shared" si="50"/>
        <v>77.667494284171838</v>
      </c>
      <c r="I280" s="239">
        <v>0</v>
      </c>
      <c r="J280" s="313">
        <f t="shared" si="49"/>
        <v>315.33508384279168</v>
      </c>
    </row>
  </sheetData>
  <mergeCells count="11">
    <mergeCell ref="A18:V18"/>
    <mergeCell ref="A53:V53"/>
    <mergeCell ref="Z93:AB93"/>
    <mergeCell ref="C100:L100"/>
    <mergeCell ref="D245:E245"/>
    <mergeCell ref="AG101:AM101"/>
    <mergeCell ref="D203:E203"/>
    <mergeCell ref="D212:H212"/>
    <mergeCell ref="H239:K239"/>
    <mergeCell ref="D244:E244"/>
    <mergeCell ref="H198:K19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B1487-B9AB-CA4D-ADFE-C76ED56BFA46}">
  <dimension ref="A3:AH280"/>
  <sheetViews>
    <sheetView topLeftCell="A154" zoomScale="66" zoomScaleNormal="80" workbookViewId="0">
      <selection activeCell="G69" sqref="G69"/>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1.33203125" customWidth="1"/>
    <col min="9" max="9" width="10.83203125" customWidth="1"/>
    <col min="10" max="10" width="14.6640625" customWidth="1"/>
    <col min="11" max="11" width="14.33203125" customWidth="1"/>
    <col min="12" max="12" width="14.1640625" customWidth="1"/>
    <col min="13" max="13" width="16" customWidth="1"/>
    <col min="14" max="14" width="13.33203125" customWidth="1"/>
    <col min="15" max="15" width="21.33203125" customWidth="1"/>
    <col min="16" max="16" width="24" customWidth="1"/>
    <col min="17" max="17" width="21" customWidth="1"/>
    <col min="18" max="18" width="20" customWidth="1"/>
    <col min="21" max="21" width="20.5" customWidth="1"/>
    <col min="22" max="22" width="18.1640625" customWidth="1"/>
    <col min="23" max="23" width="17.1640625" customWidth="1"/>
    <col min="24" max="25" width="16" customWidth="1"/>
    <col min="26" max="26" width="17.6640625" customWidth="1"/>
    <col min="30" max="30" width="15.1640625" customWidth="1"/>
    <col min="31" max="31" width="14" customWidth="1"/>
    <col min="32" max="32" width="17.332031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14">
        <v>1</v>
      </c>
      <c r="F7" s="315">
        <v>27.210699999999999</v>
      </c>
      <c r="G7" s="315">
        <v>219474.63</v>
      </c>
      <c r="H7" s="315">
        <v>627.50300000000004</v>
      </c>
      <c r="I7" s="315">
        <v>2625.5</v>
      </c>
      <c r="J7" s="315">
        <v>315777</v>
      </c>
      <c r="K7" s="315">
        <v>4.3599999999999999E-18</v>
      </c>
      <c r="L7" s="316">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17">
        <v>3.6750199999999997E-2</v>
      </c>
      <c r="F8" s="318">
        <v>1</v>
      </c>
      <c r="G8" s="318">
        <v>8065.73</v>
      </c>
      <c r="H8" s="318">
        <v>23.0609</v>
      </c>
      <c r="I8" s="318">
        <v>96.486900000000006</v>
      </c>
      <c r="J8" s="318">
        <v>11604.9</v>
      </c>
      <c r="K8" s="319">
        <v>1.5999999999999999E-19</v>
      </c>
      <c r="L8" s="320">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17">
        <v>4.5563300000000003E-6</v>
      </c>
      <c r="F9" s="318">
        <v>1.23981E-4</v>
      </c>
      <c r="G9" s="318">
        <v>1</v>
      </c>
      <c r="H9" s="318">
        <v>2.8590999999999998E-3</v>
      </c>
      <c r="I9" s="318">
        <v>1.1963E-2</v>
      </c>
      <c r="J9" s="318">
        <v>1.42879</v>
      </c>
      <c r="K9" s="318">
        <v>1.9863000000000001E-23</v>
      </c>
      <c r="L9" s="320">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17">
        <v>1.59362E-3</v>
      </c>
      <c r="F10" s="318">
        <v>4.3363400000000003E-2</v>
      </c>
      <c r="G10" s="318">
        <v>349.75700000000001</v>
      </c>
      <c r="H10" s="318">
        <v>1</v>
      </c>
      <c r="I10" s="318">
        <v>4.1840000000000002</v>
      </c>
      <c r="J10" s="318">
        <v>503.22800000000001</v>
      </c>
      <c r="K10" s="318">
        <v>6.9500000000000005E-21</v>
      </c>
      <c r="L10" s="320">
        <v>10485400000000</v>
      </c>
    </row>
    <row r="11" spans="1:22" ht="22" x14ac:dyDescent="0.3">
      <c r="A11" s="26" t="s">
        <v>25</v>
      </c>
      <c r="B11" s="48">
        <v>8.8541799999999997E-12</v>
      </c>
      <c r="D11" s="28" t="s">
        <v>10</v>
      </c>
      <c r="E11" s="317">
        <v>3.8088E-4</v>
      </c>
      <c r="F11" s="318">
        <v>1.0364099999999999E-2</v>
      </c>
      <c r="G11" s="318">
        <v>83.593000000000004</v>
      </c>
      <c r="H11" s="318">
        <v>0.23900099999999999</v>
      </c>
      <c r="I11" s="318">
        <v>1</v>
      </c>
      <c r="J11" s="318">
        <v>120.274</v>
      </c>
      <c r="K11" s="318">
        <v>1.6599999999999999E-21</v>
      </c>
      <c r="L11" s="320">
        <v>2506070000000</v>
      </c>
    </row>
    <row r="12" spans="1:22" ht="22" x14ac:dyDescent="0.3">
      <c r="A12" s="46" t="s">
        <v>26</v>
      </c>
      <c r="B12" s="47">
        <v>5.2917700000000002E-12</v>
      </c>
      <c r="D12" s="49" t="s">
        <v>11</v>
      </c>
      <c r="E12" s="317">
        <v>3.1667800000000002E-6</v>
      </c>
      <c r="F12" s="318">
        <v>8.6170500000000004E-5</v>
      </c>
      <c r="G12" s="318">
        <v>0.69502799999999998</v>
      </c>
      <c r="H12" s="318">
        <v>1.9872000000000002E-3</v>
      </c>
      <c r="I12" s="318">
        <v>8.3140000000000002E-3</v>
      </c>
      <c r="J12" s="318">
        <v>1</v>
      </c>
      <c r="K12" s="318">
        <v>1.38054E-23</v>
      </c>
      <c r="L12" s="320">
        <v>20836400000</v>
      </c>
    </row>
    <row r="13" spans="1:22" ht="19" x14ac:dyDescent="0.25">
      <c r="A13" s="26" t="s">
        <v>27</v>
      </c>
      <c r="B13" s="50">
        <f>298.15</f>
        <v>298.14999999999998</v>
      </c>
      <c r="D13" s="28" t="s">
        <v>12</v>
      </c>
      <c r="E13" s="317">
        <v>2.294E+17</v>
      </c>
      <c r="F13" s="318">
        <v>6.24181E+18</v>
      </c>
      <c r="G13" s="318">
        <v>5.0344500000000003E+22</v>
      </c>
      <c r="H13" s="318">
        <v>1.44E+20</v>
      </c>
      <c r="I13" s="318">
        <v>6.02E+20</v>
      </c>
      <c r="J13" s="318">
        <v>7.2435399999999999E+22</v>
      </c>
      <c r="K13" s="318">
        <v>1</v>
      </c>
      <c r="L13" s="320">
        <v>1.5093E+33</v>
      </c>
    </row>
    <row r="14" spans="1:22" ht="20" thickBot="1" x14ac:dyDescent="0.3">
      <c r="A14" s="26" t="s">
        <v>28</v>
      </c>
      <c r="B14" s="51">
        <v>6.626068E-34</v>
      </c>
      <c r="D14" s="52" t="s">
        <v>13</v>
      </c>
      <c r="E14" s="321">
        <v>1.5198300000000001E-16</v>
      </c>
      <c r="F14" s="322">
        <v>4.13558E-15</v>
      </c>
      <c r="G14" s="322">
        <v>3.3356499999999997E-11</v>
      </c>
      <c r="H14" s="322">
        <v>9.5370000000000002E-14</v>
      </c>
      <c r="I14" s="322"/>
      <c r="J14" s="322">
        <v>4.7993E-11</v>
      </c>
      <c r="K14" s="322">
        <v>6.62561E-34</v>
      </c>
      <c r="L14" s="323">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0" thickBot="1" x14ac:dyDescent="0.4">
      <c r="A18" s="471" t="s">
        <v>133</v>
      </c>
      <c r="B18" s="471"/>
      <c r="C18" s="471"/>
      <c r="D18" s="471"/>
      <c r="E18" s="471"/>
      <c r="F18" s="471"/>
      <c r="G18" s="471"/>
      <c r="H18" s="471"/>
      <c r="I18" s="471"/>
      <c r="J18" s="471"/>
      <c r="K18" s="471"/>
      <c r="L18" s="471"/>
      <c r="M18" s="471"/>
      <c r="N18" s="471"/>
      <c r="O18" s="471"/>
      <c r="P18" s="471"/>
      <c r="Q18" s="471"/>
      <c r="R18" s="471"/>
      <c r="S18" s="471"/>
      <c r="T18" s="471"/>
      <c r="U18" s="471"/>
      <c r="V18" s="471"/>
    </row>
    <row r="19" spans="1:27" ht="17" thickTop="1" x14ac:dyDescent="0.2"/>
    <row r="20" spans="1:27" ht="17" thickBot="1" x14ac:dyDescent="0.25"/>
    <row r="21" spans="1:27" ht="20" thickBot="1" x14ac:dyDescent="0.3">
      <c r="A21" s="55" t="s">
        <v>33</v>
      </c>
      <c r="B21" s="56"/>
      <c r="C21" s="57" t="s">
        <v>34</v>
      </c>
      <c r="D21" s="58"/>
      <c r="E21" s="58"/>
      <c r="F21" s="59"/>
      <c r="G21" s="56"/>
      <c r="H21" s="55" t="s">
        <v>35</v>
      </c>
      <c r="I21" s="56"/>
      <c r="J21" s="56"/>
      <c r="M21" s="56"/>
      <c r="N21" s="56"/>
      <c r="O21" s="60" t="s">
        <v>36</v>
      </c>
      <c r="P21" s="58"/>
      <c r="Q21" s="58"/>
      <c r="R21" s="59"/>
      <c r="S21" s="56"/>
      <c r="T21" s="56"/>
      <c r="U21" s="56"/>
      <c r="V21" s="56"/>
      <c r="W21" s="56"/>
      <c r="X21" s="56"/>
      <c r="Y21" s="56"/>
      <c r="Z21" s="56"/>
      <c r="AA21" s="56"/>
    </row>
    <row r="22" spans="1:27" ht="20" thickBot="1" x14ac:dyDescent="0.3">
      <c r="A22" s="61">
        <v>298.14999999999998</v>
      </c>
      <c r="B22" s="56"/>
      <c r="C22" s="62"/>
      <c r="D22" s="63" t="s">
        <v>37</v>
      </c>
      <c r="E22" s="64" t="s">
        <v>38</v>
      </c>
      <c r="F22" s="65" t="s">
        <v>39</v>
      </c>
      <c r="G22" s="56"/>
      <c r="H22" s="66" t="s">
        <v>40</v>
      </c>
      <c r="I22" s="67" t="s">
        <v>9</v>
      </c>
      <c r="J22" s="67" t="s">
        <v>10</v>
      </c>
      <c r="K22" s="68" t="s">
        <v>7</v>
      </c>
      <c r="L22" s="69" t="s">
        <v>12</v>
      </c>
      <c r="M22" s="56"/>
      <c r="N22" s="56"/>
      <c r="O22" s="70"/>
      <c r="P22" s="71" t="s">
        <v>41</v>
      </c>
      <c r="Q22" s="72" t="s">
        <v>42</v>
      </c>
      <c r="R22" s="73" t="s">
        <v>43</v>
      </c>
      <c r="S22" s="56"/>
      <c r="T22" s="56"/>
      <c r="U22" s="56"/>
      <c r="V22" s="56"/>
      <c r="W22" s="56"/>
      <c r="X22" s="56"/>
      <c r="Y22" s="56"/>
      <c r="Z22" s="56"/>
      <c r="AA22" s="56"/>
    </row>
    <row r="23" spans="1:27" ht="22" thickBot="1" x14ac:dyDescent="0.3">
      <c r="A23" s="56"/>
      <c r="B23" s="56"/>
      <c r="C23" s="74" t="s">
        <v>44</v>
      </c>
      <c r="D23" s="75">
        <v>6.7290000000000003E-2</v>
      </c>
      <c r="E23" s="76">
        <v>1.0772900000000001</v>
      </c>
      <c r="F23" s="77">
        <v>2.33209</v>
      </c>
      <c r="G23" s="56"/>
      <c r="H23" s="78">
        <v>0</v>
      </c>
      <c r="I23" s="79">
        <f>H23*$H$7</f>
        <v>0</v>
      </c>
      <c r="J23" s="79">
        <f>H23*$I$7</f>
        <v>0</v>
      </c>
      <c r="K23" s="80">
        <f>H23*$F$7</f>
        <v>0</v>
      </c>
      <c r="L23" s="81">
        <f>H23*$K$7</f>
        <v>0</v>
      </c>
      <c r="M23" s="56"/>
      <c r="N23" s="56"/>
      <c r="O23" s="82" t="s">
        <v>45</v>
      </c>
      <c r="P23" s="83">
        <v>0.88900000000000001</v>
      </c>
      <c r="Q23" s="84">
        <v>2.9809999999999999</v>
      </c>
      <c r="R23" s="85">
        <v>27.391999999999999</v>
      </c>
      <c r="S23" s="56"/>
      <c r="T23" s="56"/>
      <c r="U23" s="56"/>
      <c r="V23" s="56"/>
      <c r="W23" s="56"/>
      <c r="X23" s="56"/>
      <c r="Y23" s="56"/>
      <c r="Z23" s="56"/>
      <c r="AA23" s="56"/>
    </row>
    <row r="24" spans="1:27" ht="22" thickBot="1" x14ac:dyDescent="0.3">
      <c r="A24" s="55" t="s">
        <v>46</v>
      </c>
      <c r="B24" s="56"/>
      <c r="C24" s="86" t="s">
        <v>47</v>
      </c>
      <c r="D24" s="246">
        <f>D23*$U$9</f>
        <v>1.117014E-28</v>
      </c>
      <c r="E24" s="223">
        <f t="shared" ref="E24:F24" si="0">E23*$U$9</f>
        <v>1.7883014E-27</v>
      </c>
      <c r="F24" s="324">
        <f t="shared" si="0"/>
        <v>3.8712694000000001E-27</v>
      </c>
      <c r="G24" s="56"/>
      <c r="M24" s="56"/>
      <c r="N24" s="56"/>
      <c r="O24" s="88" t="s">
        <v>48</v>
      </c>
      <c r="P24" s="83">
        <v>0</v>
      </c>
      <c r="Q24" s="84">
        <v>0</v>
      </c>
      <c r="R24" s="85">
        <v>1.377</v>
      </c>
      <c r="S24" s="56"/>
      <c r="T24" s="56"/>
      <c r="U24" s="56"/>
      <c r="V24" s="56"/>
      <c r="W24" s="56"/>
      <c r="X24" s="56"/>
      <c r="Y24" s="56"/>
      <c r="Z24" s="56"/>
      <c r="AA24" s="56"/>
    </row>
    <row r="25" spans="1:27" ht="22" thickBot="1" x14ac:dyDescent="0.3">
      <c r="A25" s="61">
        <v>1</v>
      </c>
      <c r="B25" s="56"/>
      <c r="C25" s="89" t="s">
        <v>49</v>
      </c>
      <c r="D25" s="90">
        <f>D24*($Q$8)^2</f>
        <v>1.1170140000000001E-48</v>
      </c>
      <c r="E25" s="91">
        <f>E24*($Q$8)^2</f>
        <v>1.7883014000000001E-47</v>
      </c>
      <c r="F25" s="92">
        <f t="shared" ref="F25" si="1">F24*($Q$8)^2</f>
        <v>3.8712694000000007E-47</v>
      </c>
      <c r="G25" s="56"/>
      <c r="M25" s="56"/>
      <c r="N25" s="56"/>
      <c r="O25" s="88" t="s">
        <v>50</v>
      </c>
      <c r="P25" s="83">
        <v>0.88900000000000001</v>
      </c>
      <c r="Q25" s="84">
        <v>2.9809999999999999</v>
      </c>
      <c r="R25" s="85">
        <v>26.013999999999999</v>
      </c>
      <c r="S25" s="56"/>
      <c r="T25" s="56"/>
      <c r="U25" s="56"/>
      <c r="V25" s="56"/>
      <c r="W25" s="56"/>
      <c r="X25" s="56"/>
      <c r="Y25" s="56"/>
      <c r="Z25" s="56"/>
      <c r="AA25" s="56"/>
    </row>
    <row r="26" spans="1:27" ht="20" thickBot="1" x14ac:dyDescent="0.3">
      <c r="A26" s="56"/>
      <c r="B26" s="56"/>
      <c r="C26" s="56"/>
      <c r="D26" s="56"/>
      <c r="E26" s="56"/>
      <c r="F26" s="56"/>
      <c r="G26" s="56"/>
      <c r="H26" s="55" t="s">
        <v>51</v>
      </c>
      <c r="I26" s="56"/>
      <c r="J26" s="56"/>
      <c r="K26" s="56"/>
      <c r="M26" s="56"/>
      <c r="N26" s="56"/>
      <c r="O26" s="88" t="s">
        <v>52</v>
      </c>
      <c r="P26" s="83">
        <v>0</v>
      </c>
      <c r="Q26" s="84">
        <v>0</v>
      </c>
      <c r="R26" s="85">
        <v>0</v>
      </c>
      <c r="S26" s="56"/>
      <c r="T26" s="56"/>
      <c r="U26" s="56"/>
      <c r="V26" s="56"/>
      <c r="W26" s="56"/>
      <c r="X26" s="56"/>
      <c r="Y26" s="56"/>
      <c r="Z26" s="56"/>
      <c r="AA26" s="56"/>
    </row>
    <row r="27" spans="1:27" ht="20" thickBot="1" x14ac:dyDescent="0.3">
      <c r="A27" s="55" t="s">
        <v>53</v>
      </c>
      <c r="B27" s="56"/>
      <c r="C27" s="55" t="s">
        <v>54</v>
      </c>
      <c r="D27" s="56"/>
      <c r="E27" s="56"/>
      <c r="F27" s="56"/>
      <c r="G27" s="56"/>
      <c r="H27" s="66" t="s">
        <v>40</v>
      </c>
      <c r="I27" s="67" t="s">
        <v>9</v>
      </c>
      <c r="J27" s="67" t="s">
        <v>10</v>
      </c>
      <c r="K27" s="68" t="s">
        <v>7</v>
      </c>
      <c r="L27" s="69" t="s">
        <v>12</v>
      </c>
      <c r="M27" s="56"/>
      <c r="N27" s="56"/>
      <c r="O27" s="93" t="s">
        <v>55</v>
      </c>
      <c r="P27" s="94">
        <v>0</v>
      </c>
      <c r="Q27" s="95">
        <v>0</v>
      </c>
      <c r="R27" s="96">
        <v>0</v>
      </c>
      <c r="S27" s="56"/>
      <c r="T27" s="56"/>
      <c r="U27" s="56"/>
      <c r="V27" s="56"/>
      <c r="W27" s="56"/>
      <c r="X27" s="56"/>
      <c r="Y27" s="56"/>
      <c r="Z27" s="56"/>
      <c r="AA27" s="56"/>
    </row>
    <row r="28" spans="1:27" ht="20" thickBot="1" x14ac:dyDescent="0.3">
      <c r="A28" s="61">
        <v>1.00783</v>
      </c>
      <c r="B28" s="56"/>
      <c r="C28" s="97" t="s">
        <v>37</v>
      </c>
      <c r="D28" s="98" t="s">
        <v>38</v>
      </c>
      <c r="E28" s="99" t="s">
        <v>39</v>
      </c>
      <c r="F28" s="56"/>
      <c r="G28" s="56"/>
      <c r="H28" s="100">
        <v>1.4159999999999999E-3</v>
      </c>
      <c r="I28" s="79">
        <f>H28*$H$7</f>
        <v>0.88854424799999998</v>
      </c>
      <c r="J28" s="79">
        <f>H28*$I$7</f>
        <v>3.717708</v>
      </c>
      <c r="K28" s="101">
        <f>H28*$F$7</f>
        <v>3.85303512E-2</v>
      </c>
      <c r="L28" s="81">
        <f>H28*$K$7</f>
        <v>6.1737599999999998E-21</v>
      </c>
      <c r="M28" s="56"/>
      <c r="N28" s="56"/>
      <c r="O28" s="56"/>
      <c r="P28" s="56"/>
      <c r="Q28" s="56"/>
      <c r="R28" s="56"/>
      <c r="S28" s="56"/>
      <c r="T28" s="56"/>
      <c r="U28" s="56"/>
      <c r="V28" s="56"/>
      <c r="W28" s="56"/>
      <c r="X28" s="56"/>
      <c r="Y28" s="56"/>
      <c r="Z28" s="56"/>
      <c r="AA28" s="56"/>
    </row>
    <row r="29" spans="1:27" ht="20" thickBot="1" x14ac:dyDescent="0.3">
      <c r="A29" s="56"/>
      <c r="B29" s="56"/>
      <c r="C29" s="275" t="s">
        <v>134</v>
      </c>
      <c r="D29" s="276" t="s">
        <v>134</v>
      </c>
      <c r="E29" s="276" t="s">
        <v>134</v>
      </c>
      <c r="F29" s="56"/>
      <c r="G29" s="56"/>
      <c r="L29" s="56"/>
      <c r="M29" s="56"/>
      <c r="N29" s="56"/>
      <c r="O29" s="56"/>
      <c r="P29" s="56"/>
      <c r="Q29" s="56"/>
      <c r="R29" s="56"/>
      <c r="S29" s="56"/>
      <c r="T29" s="56"/>
      <c r="U29" s="56"/>
      <c r="V29" s="56"/>
      <c r="W29" s="56"/>
      <c r="X29" s="56"/>
      <c r="Y29" s="56"/>
      <c r="Z29" s="56"/>
      <c r="AA29" s="56"/>
    </row>
    <row r="30" spans="1:27" ht="20" thickBot="1" x14ac:dyDescent="0.3">
      <c r="A30" s="55" t="s">
        <v>56</v>
      </c>
      <c r="B30" s="56"/>
      <c r="F30" s="56"/>
      <c r="G30" s="56"/>
      <c r="M30" s="56"/>
      <c r="O30" s="104" t="s">
        <v>57</v>
      </c>
      <c r="P30" s="105"/>
      <c r="Q30" s="105"/>
      <c r="R30" s="106"/>
      <c r="S30" s="56"/>
      <c r="T30" s="56"/>
      <c r="U30" s="56"/>
      <c r="V30" s="56"/>
      <c r="W30" s="56"/>
      <c r="X30" s="56"/>
      <c r="Y30" s="56"/>
      <c r="Z30" s="56"/>
      <c r="AA30" s="56"/>
    </row>
    <row r="31" spans="1:27" ht="20" thickBot="1" x14ac:dyDescent="0.3">
      <c r="A31" s="61" t="s">
        <v>134</v>
      </c>
      <c r="B31" s="56"/>
      <c r="C31" s="55" t="s">
        <v>58</v>
      </c>
      <c r="D31" s="56"/>
      <c r="E31" s="56"/>
      <c r="F31" s="56"/>
      <c r="G31" s="56"/>
      <c r="H31" s="55" t="s">
        <v>59</v>
      </c>
      <c r="I31" s="56"/>
      <c r="J31" s="56"/>
      <c r="K31" s="56"/>
      <c r="L31" s="56"/>
      <c r="M31" s="56"/>
      <c r="N31" s="56"/>
      <c r="O31" s="107"/>
      <c r="P31" s="108" t="s">
        <v>60</v>
      </c>
      <c r="Q31" s="109" t="s">
        <v>61</v>
      </c>
      <c r="R31" s="110" t="s">
        <v>62</v>
      </c>
      <c r="S31" s="56"/>
      <c r="T31" s="56"/>
      <c r="U31" s="56"/>
      <c r="V31" s="56"/>
      <c r="W31" s="56"/>
      <c r="X31" s="56"/>
      <c r="Y31" s="56"/>
      <c r="Z31" s="56"/>
      <c r="AA31" s="56"/>
    </row>
    <row r="32" spans="1:27" ht="20" thickBot="1" x14ac:dyDescent="0.3">
      <c r="A32" s="56"/>
      <c r="B32" s="56"/>
      <c r="C32" s="111" t="s">
        <v>37</v>
      </c>
      <c r="D32" s="111" t="s">
        <v>38</v>
      </c>
      <c r="E32" s="111" t="s">
        <v>39</v>
      </c>
      <c r="F32" s="56"/>
      <c r="G32" s="56"/>
      <c r="H32" s="66" t="s">
        <v>40</v>
      </c>
      <c r="I32" s="67" t="s">
        <v>9</v>
      </c>
      <c r="J32" s="67" t="s">
        <v>10</v>
      </c>
      <c r="K32" s="68" t="s">
        <v>7</v>
      </c>
      <c r="L32" s="69" t="s">
        <v>12</v>
      </c>
      <c r="M32" s="56"/>
      <c r="N32" s="56"/>
      <c r="O32" s="82" t="s">
        <v>48</v>
      </c>
      <c r="P32" s="112">
        <v>2</v>
      </c>
      <c r="Q32" s="113">
        <v>0.30103000000000002</v>
      </c>
      <c r="R32" s="113">
        <v>0.69314699999999996</v>
      </c>
      <c r="S32" s="56"/>
      <c r="T32" s="56"/>
      <c r="U32" s="56"/>
      <c r="V32" s="56"/>
      <c r="W32" s="56"/>
      <c r="X32" s="56"/>
      <c r="Y32" s="56"/>
      <c r="Z32" s="56"/>
      <c r="AA32" s="56"/>
    </row>
    <row r="33" spans="1:27" ht="20" thickBot="1" x14ac:dyDescent="0.3">
      <c r="A33" s="56"/>
      <c r="B33" s="56"/>
      <c r="C33" s="277" t="s">
        <v>134</v>
      </c>
      <c r="D33" s="278" t="s">
        <v>134</v>
      </c>
      <c r="E33" s="278" t="s">
        <v>134</v>
      </c>
      <c r="F33" s="56"/>
      <c r="G33" s="56"/>
      <c r="H33" s="100">
        <v>2.3600000000000001E-3</v>
      </c>
      <c r="I33" s="79">
        <f>H33*$H$7</f>
        <v>1.4809070800000002</v>
      </c>
      <c r="J33" s="79">
        <f>H33*$I$7</f>
        <v>6.19618</v>
      </c>
      <c r="K33" s="101">
        <f>H33*$F$7</f>
        <v>6.4217252000000002E-2</v>
      </c>
      <c r="L33" s="81">
        <f>H33*$K$7</f>
        <v>1.02896E-20</v>
      </c>
      <c r="M33" s="56"/>
      <c r="N33" s="56"/>
      <c r="O33" s="88" t="s">
        <v>50</v>
      </c>
      <c r="P33" s="83">
        <v>39767.9</v>
      </c>
      <c r="Q33" s="84">
        <v>4.5995330000000001</v>
      </c>
      <c r="R33" s="84">
        <v>10.590816</v>
      </c>
      <c r="S33" s="56"/>
      <c r="T33" s="56"/>
      <c r="U33" s="56"/>
      <c r="V33" s="56"/>
      <c r="W33" s="56"/>
      <c r="X33" s="56"/>
      <c r="Y33" s="56"/>
      <c r="Z33" s="56"/>
      <c r="AA33" s="56"/>
    </row>
    <row r="34" spans="1:27" ht="19" x14ac:dyDescent="0.25">
      <c r="A34" s="56"/>
      <c r="B34" s="56"/>
      <c r="E34" s="56"/>
      <c r="F34" s="56"/>
      <c r="G34" s="56"/>
      <c r="M34" s="56"/>
      <c r="N34" s="56"/>
      <c r="O34" s="88" t="s">
        <v>52</v>
      </c>
      <c r="P34" s="83">
        <v>1</v>
      </c>
      <c r="Q34" s="84">
        <v>0</v>
      </c>
      <c r="R34" s="84">
        <v>0</v>
      </c>
      <c r="S34" s="56"/>
      <c r="T34" s="56"/>
      <c r="U34" s="56"/>
      <c r="V34" s="56"/>
      <c r="W34" s="56"/>
      <c r="X34" s="56"/>
      <c r="Y34" s="56"/>
      <c r="Z34" s="56"/>
      <c r="AA34" s="56"/>
    </row>
    <row r="35" spans="1:27" ht="19" x14ac:dyDescent="0.25">
      <c r="A35" s="56"/>
      <c r="B35" s="56"/>
      <c r="E35" s="56"/>
      <c r="F35" s="56"/>
      <c r="H35" s="56"/>
      <c r="I35" s="56"/>
      <c r="J35" s="56"/>
      <c r="K35" s="56"/>
      <c r="L35" s="56"/>
      <c r="M35" s="56"/>
      <c r="N35" s="56"/>
      <c r="O35" s="88" t="s">
        <v>63</v>
      </c>
      <c r="P35" s="83">
        <v>79535.8</v>
      </c>
      <c r="Q35" s="84">
        <v>4.900563</v>
      </c>
      <c r="R35" s="84">
        <v>11.283963</v>
      </c>
      <c r="S35" s="56"/>
      <c r="T35" s="56"/>
      <c r="U35" s="56"/>
      <c r="V35" s="56"/>
      <c r="W35" s="56"/>
      <c r="X35" s="56"/>
      <c r="Y35" s="56"/>
      <c r="Z35" s="56"/>
      <c r="AA35" s="56"/>
    </row>
    <row r="36" spans="1:27" ht="20" thickBot="1" x14ac:dyDescent="0.3">
      <c r="A36" s="56"/>
      <c r="B36" s="56"/>
      <c r="C36" s="55" t="s">
        <v>64</v>
      </c>
      <c r="D36" s="56"/>
      <c r="E36" s="56"/>
      <c r="F36" s="56"/>
      <c r="H36" s="55" t="s">
        <v>65</v>
      </c>
      <c r="I36" s="56"/>
      <c r="J36" s="56"/>
      <c r="K36" s="56"/>
      <c r="L36" s="56"/>
      <c r="M36" s="56"/>
      <c r="N36" s="56"/>
      <c r="O36" s="88" t="s">
        <v>66</v>
      </c>
      <c r="P36" s="83">
        <v>79535.8</v>
      </c>
      <c r="Q36" s="84">
        <v>4.900563</v>
      </c>
      <c r="R36" s="84">
        <v>11.283963</v>
      </c>
      <c r="S36" s="56"/>
      <c r="T36" s="56"/>
      <c r="U36" s="56"/>
      <c r="V36" s="56"/>
      <c r="W36" s="56"/>
      <c r="X36" s="56"/>
      <c r="Y36" s="56"/>
      <c r="Z36" s="56"/>
      <c r="AA36" s="56"/>
    </row>
    <row r="37" spans="1:27" ht="20" thickBot="1" x14ac:dyDescent="0.3">
      <c r="A37" s="56"/>
      <c r="B37" s="56"/>
      <c r="C37" s="117" t="s">
        <v>67</v>
      </c>
      <c r="D37" s="118">
        <v>0</v>
      </c>
      <c r="E37" s="56"/>
      <c r="F37" s="56"/>
      <c r="H37" s="66" t="s">
        <v>40</v>
      </c>
      <c r="I37" s="67" t="s">
        <v>9</v>
      </c>
      <c r="J37" s="67" t="s">
        <v>10</v>
      </c>
      <c r="K37" s="69" t="s">
        <v>7</v>
      </c>
      <c r="L37" s="69" t="s">
        <v>12</v>
      </c>
      <c r="M37" s="56"/>
      <c r="N37" s="56"/>
      <c r="O37" s="88" t="s">
        <v>68</v>
      </c>
      <c r="P37" s="83">
        <v>1</v>
      </c>
      <c r="Q37" s="84">
        <v>0</v>
      </c>
      <c r="R37" s="84">
        <v>0</v>
      </c>
      <c r="S37" s="56"/>
      <c r="T37" s="56"/>
      <c r="U37" s="56"/>
      <c r="V37" s="56"/>
      <c r="W37" s="56"/>
      <c r="X37" s="56"/>
      <c r="Y37" s="56"/>
      <c r="Z37" s="56"/>
      <c r="AA37" s="56"/>
    </row>
    <row r="38" spans="1:27" ht="20" thickBot="1" x14ac:dyDescent="0.3">
      <c r="A38" s="56"/>
      <c r="B38" s="56"/>
      <c r="C38" s="119" t="s">
        <v>69</v>
      </c>
      <c r="D38" s="120">
        <v>0</v>
      </c>
      <c r="E38" s="56"/>
      <c r="F38" s="56"/>
      <c r="H38" s="100">
        <v>-1.0654E-2</v>
      </c>
      <c r="I38" s="79">
        <f>H38*$H$7</f>
        <v>-6.6854169620000006</v>
      </c>
      <c r="J38" s="79">
        <f>H38*$I$7</f>
        <v>-27.972077000000002</v>
      </c>
      <c r="K38" s="101">
        <f>H38*$F$7</f>
        <v>-0.2899027978</v>
      </c>
      <c r="L38" s="81">
        <f>H38*$K$7</f>
        <v>-4.645144E-20</v>
      </c>
      <c r="M38" s="56"/>
      <c r="N38" s="56"/>
      <c r="O38" s="93" t="s">
        <v>70</v>
      </c>
      <c r="P38" s="83">
        <v>1</v>
      </c>
      <c r="Q38" s="84">
        <v>0</v>
      </c>
      <c r="R38" s="84">
        <v>0</v>
      </c>
      <c r="S38" s="56"/>
      <c r="T38" s="56"/>
      <c r="U38" s="56"/>
      <c r="V38" s="56"/>
      <c r="W38" s="56"/>
      <c r="X38" s="56"/>
      <c r="Y38" s="56"/>
      <c r="Z38" s="56"/>
      <c r="AA38" s="56"/>
    </row>
    <row r="39" spans="1:27" ht="19" x14ac:dyDescent="0.25">
      <c r="A39" s="56"/>
      <c r="B39" s="56"/>
      <c r="C39" s="56"/>
      <c r="D39" s="56"/>
      <c r="E39" s="56"/>
      <c r="F39" s="56"/>
      <c r="J39" s="56"/>
      <c r="K39" s="56"/>
      <c r="L39" s="56"/>
      <c r="M39" s="56"/>
      <c r="N39" s="56"/>
      <c r="O39" s="121"/>
      <c r="P39" s="56"/>
      <c r="Q39" s="56"/>
      <c r="R39" s="56"/>
      <c r="S39" s="56"/>
      <c r="T39" s="56"/>
      <c r="U39" s="56"/>
      <c r="V39" s="56"/>
      <c r="W39" s="56"/>
      <c r="X39" s="56"/>
      <c r="Y39" s="56"/>
      <c r="Z39" s="56"/>
      <c r="AA39" s="56"/>
    </row>
    <row r="40" spans="1:27" ht="20" thickBot="1" x14ac:dyDescent="0.3">
      <c r="A40" s="56"/>
      <c r="B40" s="56"/>
      <c r="C40" s="56"/>
      <c r="D40" s="56"/>
      <c r="E40" s="56"/>
      <c r="F40" s="56"/>
      <c r="J40" s="56"/>
      <c r="K40" s="56"/>
      <c r="L40" s="56"/>
      <c r="M40" s="56"/>
      <c r="N40" s="56"/>
      <c r="O40" s="121"/>
      <c r="P40" s="56"/>
      <c r="Q40" s="56"/>
      <c r="R40" s="56"/>
      <c r="S40" s="56"/>
      <c r="T40" s="56"/>
      <c r="U40" s="56"/>
      <c r="V40" s="56"/>
      <c r="W40" s="56"/>
      <c r="X40" s="56"/>
      <c r="Y40" s="56"/>
      <c r="Z40" s="56"/>
      <c r="AA40" s="56"/>
    </row>
    <row r="41" spans="1:27" ht="64" customHeight="1" thickBot="1" x14ac:dyDescent="0.3">
      <c r="A41" s="56"/>
      <c r="B41" s="56"/>
      <c r="D41" s="122" t="s">
        <v>71</v>
      </c>
      <c r="E41" s="123" t="s">
        <v>72</v>
      </c>
      <c r="F41" s="124" t="s">
        <v>73</v>
      </c>
      <c r="G41" s="125" t="s">
        <v>74</v>
      </c>
      <c r="I41" s="56"/>
      <c r="J41" s="56"/>
      <c r="K41" s="56"/>
      <c r="L41" s="56"/>
      <c r="M41" s="56"/>
      <c r="N41" s="56"/>
      <c r="O41" s="56"/>
      <c r="P41" s="56"/>
      <c r="Q41" s="56"/>
      <c r="R41" s="56"/>
      <c r="S41" s="56"/>
      <c r="T41" s="56"/>
      <c r="U41" s="56"/>
      <c r="V41" s="56"/>
      <c r="W41" s="56"/>
      <c r="X41" s="56"/>
      <c r="Y41" s="56"/>
      <c r="Z41" s="56"/>
      <c r="AA41" s="56"/>
    </row>
    <row r="42" spans="1:27" ht="20" thickBot="1" x14ac:dyDescent="0.3">
      <c r="A42" s="56"/>
      <c r="B42" s="56"/>
      <c r="C42" s="221">
        <v>1</v>
      </c>
      <c r="D42" s="279" t="s">
        <v>134</v>
      </c>
      <c r="E42" s="279" t="s">
        <v>134</v>
      </c>
      <c r="F42" s="279" t="s">
        <v>134</v>
      </c>
      <c r="G42" s="279" t="s">
        <v>134</v>
      </c>
      <c r="H42" s="131"/>
      <c r="K42" s="56"/>
      <c r="L42" s="56"/>
      <c r="M42" s="56"/>
      <c r="N42" s="56"/>
      <c r="O42" s="56"/>
      <c r="P42" s="56"/>
      <c r="Q42" s="56"/>
      <c r="R42" s="56"/>
      <c r="S42" s="56"/>
      <c r="T42" s="56"/>
      <c r="U42" s="56"/>
      <c r="V42" s="56"/>
      <c r="W42" s="56"/>
      <c r="X42" s="56"/>
      <c r="Y42" s="56"/>
      <c r="Z42" s="56"/>
      <c r="AA42" s="56"/>
    </row>
    <row r="43" spans="1:27" ht="19" x14ac:dyDescent="0.25">
      <c r="A43" s="56"/>
      <c r="B43" s="56"/>
      <c r="C43" s="131"/>
      <c r="D43" s="56"/>
      <c r="E43" s="56"/>
      <c r="F43" s="158"/>
      <c r="G43" s="56"/>
      <c r="H43" s="131"/>
      <c r="K43" s="56"/>
      <c r="L43" s="56"/>
      <c r="M43" s="56"/>
      <c r="N43" s="56"/>
      <c r="O43" s="56"/>
      <c r="P43" s="56"/>
      <c r="Q43" s="56"/>
      <c r="R43" s="56"/>
      <c r="S43" s="56"/>
      <c r="T43" s="56"/>
      <c r="U43" s="56"/>
      <c r="V43" s="56"/>
      <c r="W43" s="56"/>
      <c r="X43" s="56"/>
      <c r="Y43" s="56"/>
      <c r="Z43" s="56"/>
      <c r="AA43" s="56"/>
    </row>
    <row r="44" spans="1:27" ht="20" thickBot="1" x14ac:dyDescent="0.3">
      <c r="A44" s="56"/>
      <c r="B44" s="56"/>
      <c r="C44" s="131"/>
      <c r="D44" s="56"/>
      <c r="E44" s="56"/>
      <c r="F44" s="158"/>
      <c r="G44" s="56"/>
      <c r="H44" s="131"/>
      <c r="J44" s="137" t="s">
        <v>75</v>
      </c>
      <c r="M44" s="56"/>
      <c r="N44" s="56"/>
      <c r="O44" s="56"/>
      <c r="P44" s="56"/>
      <c r="Q44" s="56"/>
      <c r="R44" s="56"/>
      <c r="S44" s="56"/>
      <c r="T44" s="56"/>
      <c r="U44" s="56"/>
      <c r="V44" s="56"/>
      <c r="W44" s="56"/>
      <c r="X44" s="56"/>
      <c r="Y44" s="56"/>
      <c r="Z44" s="56"/>
      <c r="AA44" s="56"/>
    </row>
    <row r="45" spans="1:27" ht="20" thickBot="1" x14ac:dyDescent="0.3">
      <c r="A45" s="56"/>
      <c r="B45" s="56"/>
      <c r="C45" s="131"/>
      <c r="D45" s="56"/>
      <c r="E45" s="56"/>
      <c r="F45" s="158"/>
      <c r="G45" s="56"/>
      <c r="H45" s="131"/>
      <c r="J45" s="138">
        <v>1</v>
      </c>
      <c r="K45" s="140">
        <f>J45+1</f>
        <v>2</v>
      </c>
      <c r="L45" s="131"/>
      <c r="M45" s="56"/>
      <c r="N45" s="56"/>
      <c r="O45" s="56"/>
      <c r="P45" s="56"/>
      <c r="Q45" s="56"/>
      <c r="R45" s="56"/>
      <c r="S45" s="56"/>
      <c r="T45" s="56"/>
      <c r="U45" s="56"/>
      <c r="V45" s="56"/>
      <c r="W45" s="56"/>
      <c r="X45" s="56"/>
      <c r="Y45" s="56"/>
      <c r="Z45" s="56"/>
      <c r="AA45" s="56"/>
    </row>
    <row r="46" spans="1:27" ht="20" thickBot="1" x14ac:dyDescent="0.3">
      <c r="A46" s="56"/>
      <c r="B46" s="56"/>
      <c r="C46" s="131"/>
      <c r="D46" s="56"/>
      <c r="E46" s="56"/>
      <c r="F46" s="158"/>
      <c r="G46" s="56"/>
      <c r="H46" s="131"/>
      <c r="J46" s="141">
        <v>-0.50027278419099996</v>
      </c>
      <c r="K46" s="143">
        <v>-0.50027278419099996</v>
      </c>
      <c r="L46" s="280"/>
      <c r="M46" s="56"/>
      <c r="N46" s="56"/>
      <c r="O46" s="56"/>
      <c r="P46" s="56"/>
      <c r="Q46" s="56"/>
      <c r="R46" s="56"/>
      <c r="S46" s="56"/>
      <c r="T46" s="56"/>
      <c r="U46" s="56"/>
      <c r="V46" s="56"/>
      <c r="W46" s="56"/>
      <c r="X46" s="56"/>
      <c r="Y46" s="56"/>
      <c r="Z46" s="56"/>
      <c r="AA46" s="56"/>
    </row>
    <row r="47" spans="1:27" ht="19" x14ac:dyDescent="0.25">
      <c r="A47" s="56"/>
      <c r="B47" s="56"/>
      <c r="C47" s="131"/>
      <c r="D47" s="56"/>
      <c r="E47" s="56"/>
      <c r="F47" s="158"/>
      <c r="G47" s="56"/>
      <c r="H47" s="131"/>
      <c r="K47" s="56"/>
      <c r="L47" s="56"/>
      <c r="M47" s="56"/>
      <c r="N47" s="56"/>
      <c r="O47" s="56"/>
      <c r="P47" s="56"/>
      <c r="Q47" s="56"/>
      <c r="R47" s="56"/>
      <c r="S47" s="56"/>
      <c r="T47" s="56"/>
      <c r="U47" s="56"/>
      <c r="V47" s="56"/>
      <c r="W47" s="56"/>
      <c r="X47" s="56"/>
      <c r="Y47" s="56"/>
      <c r="Z47" s="56"/>
      <c r="AA47" s="56"/>
    </row>
    <row r="48" spans="1:27" ht="19" x14ac:dyDescent="0.25">
      <c r="A48" s="56"/>
      <c r="B48" s="56"/>
      <c r="C48" s="131"/>
      <c r="D48" s="56"/>
      <c r="E48" s="56"/>
      <c r="F48" s="158"/>
      <c r="G48" s="56"/>
      <c r="H48" s="131"/>
      <c r="K48" s="56"/>
      <c r="L48" s="56"/>
      <c r="M48" s="56"/>
      <c r="N48" s="56"/>
      <c r="O48" s="56"/>
      <c r="P48" s="56"/>
      <c r="Q48" s="56"/>
      <c r="R48" s="56"/>
      <c r="S48" s="56"/>
      <c r="T48" s="56"/>
      <c r="U48" s="56"/>
      <c r="V48" s="56"/>
      <c r="W48" s="56"/>
      <c r="X48" s="56"/>
      <c r="Y48" s="56"/>
      <c r="Z48" s="56"/>
      <c r="AA48" s="56"/>
    </row>
    <row r="49" spans="1:27" ht="19" x14ac:dyDescent="0.25">
      <c r="A49" s="56"/>
      <c r="B49" s="56"/>
      <c r="C49" s="131"/>
      <c r="D49" s="56"/>
      <c r="E49" s="56"/>
      <c r="F49" s="158"/>
      <c r="G49" s="56"/>
      <c r="H49" s="131"/>
      <c r="K49" s="56"/>
      <c r="L49" s="56"/>
      <c r="M49" s="56"/>
      <c r="N49" s="56"/>
      <c r="O49" s="56"/>
      <c r="P49" s="56"/>
      <c r="Q49" s="56"/>
      <c r="R49" s="56"/>
      <c r="S49" s="56"/>
      <c r="T49" s="56"/>
      <c r="U49" s="56"/>
      <c r="V49" s="56"/>
      <c r="W49" s="56"/>
      <c r="X49" s="56"/>
      <c r="Y49" s="56"/>
      <c r="Z49" s="56"/>
      <c r="AA49" s="56"/>
    </row>
    <row r="50" spans="1:27" ht="19" x14ac:dyDescent="0.25">
      <c r="A50" s="56"/>
      <c r="B50" s="56"/>
      <c r="C50" s="131"/>
      <c r="D50" s="56"/>
      <c r="E50" s="56"/>
      <c r="F50" s="158"/>
      <c r="G50" s="56"/>
      <c r="H50" s="131"/>
      <c r="K50" s="56"/>
      <c r="L50" s="56"/>
      <c r="M50" s="56"/>
      <c r="N50" s="56"/>
      <c r="O50" s="56"/>
      <c r="P50" s="56"/>
      <c r="Q50" s="56"/>
      <c r="R50" s="56"/>
      <c r="S50" s="56"/>
      <c r="T50" s="56"/>
      <c r="U50" s="56"/>
      <c r="V50" s="56"/>
      <c r="W50" s="56"/>
      <c r="X50" s="56"/>
      <c r="Y50" s="56"/>
      <c r="Z50" s="56"/>
      <c r="AA50" s="56"/>
    </row>
    <row r="51" spans="1:27" ht="19" x14ac:dyDescent="0.25">
      <c r="A51" s="56"/>
      <c r="B51" s="56"/>
      <c r="C51" s="56"/>
      <c r="D51" s="56"/>
      <c r="E51" s="56"/>
      <c r="F51" s="56"/>
      <c r="G51" s="56"/>
      <c r="H51" s="56"/>
      <c r="K51" s="56"/>
      <c r="L51" s="56"/>
      <c r="M51" s="56"/>
      <c r="N51" s="56"/>
      <c r="O51" s="56"/>
      <c r="P51" s="56"/>
      <c r="Q51" s="56"/>
      <c r="R51" s="56"/>
      <c r="S51" s="56"/>
      <c r="T51" s="56"/>
      <c r="U51" s="56"/>
      <c r="V51" s="56"/>
      <c r="W51" s="56"/>
      <c r="X51" s="56"/>
      <c r="Y51" s="56"/>
      <c r="Z51" s="56"/>
      <c r="AA51" s="56"/>
    </row>
    <row r="52" spans="1:27" ht="19" x14ac:dyDescent="0.2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spans="1:27" ht="30" thickBot="1" x14ac:dyDescent="0.4">
      <c r="A53" s="471" t="s">
        <v>135</v>
      </c>
      <c r="B53" s="471"/>
      <c r="C53" s="471"/>
      <c r="D53" s="471"/>
      <c r="E53" s="471"/>
      <c r="F53" s="471"/>
      <c r="G53" s="471"/>
      <c r="H53" s="471"/>
      <c r="I53" s="471"/>
      <c r="J53" s="471"/>
      <c r="K53" s="471"/>
      <c r="L53" s="471"/>
      <c r="M53" s="471"/>
      <c r="N53" s="471"/>
      <c r="O53" s="471"/>
      <c r="P53" s="471"/>
      <c r="Q53" s="471"/>
      <c r="R53" s="471"/>
      <c r="S53" s="471"/>
      <c r="T53" s="471"/>
      <c r="U53" s="471"/>
      <c r="V53" s="471"/>
      <c r="W53" s="56"/>
      <c r="X53" s="56"/>
      <c r="Y53" s="56"/>
      <c r="Z53" s="56"/>
      <c r="AA53" s="56"/>
    </row>
    <row r="54" spans="1:27" ht="20" thickTop="1"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spans="1:27" ht="19" x14ac:dyDescent="0.25">
      <c r="A55" s="56"/>
      <c r="B55" s="56"/>
      <c r="C55" s="56"/>
      <c r="D55" s="56"/>
      <c r="E55" s="56"/>
      <c r="F55" s="56" t="s">
        <v>77</v>
      </c>
      <c r="G55" s="56"/>
      <c r="H55" s="56"/>
      <c r="I55" s="56"/>
      <c r="J55" s="56"/>
      <c r="K55" s="56"/>
      <c r="L55" s="56"/>
      <c r="M55" s="56"/>
      <c r="N55" s="56"/>
      <c r="O55" s="56"/>
      <c r="Q55" s="56"/>
      <c r="R55" s="56"/>
      <c r="S55" s="56"/>
      <c r="T55" s="56"/>
      <c r="U55" s="56"/>
      <c r="V55" s="56"/>
      <c r="W55" s="56"/>
      <c r="X55" s="56"/>
      <c r="Y55" s="56"/>
      <c r="Z55" s="56"/>
      <c r="AA55" s="56"/>
    </row>
    <row r="56" spans="1:27" ht="27" x14ac:dyDescent="0.35">
      <c r="B56" s="56"/>
      <c r="C56" s="149" t="s">
        <v>78</v>
      </c>
      <c r="D56" s="150"/>
      <c r="E56" s="56"/>
      <c r="F56" s="56"/>
      <c r="G56" s="56"/>
      <c r="H56" s="56"/>
      <c r="I56" s="56"/>
      <c r="J56" s="56"/>
      <c r="K56" s="56"/>
      <c r="L56" s="56"/>
      <c r="M56" s="56"/>
      <c r="N56" s="56"/>
      <c r="O56" s="56"/>
      <c r="Q56" s="56"/>
      <c r="R56" s="56"/>
      <c r="S56" s="56"/>
      <c r="T56" s="56"/>
      <c r="U56" s="56"/>
      <c r="V56" s="56"/>
      <c r="W56" s="56"/>
      <c r="X56" s="56"/>
      <c r="Y56" s="56"/>
      <c r="Z56" s="56"/>
      <c r="AA56" s="56"/>
    </row>
    <row r="57" spans="1:27" ht="19" x14ac:dyDescent="0.25">
      <c r="B57" s="56"/>
      <c r="C57" s="56"/>
      <c r="D57" s="56"/>
      <c r="E57" s="56"/>
      <c r="F57" s="56"/>
      <c r="G57" s="56"/>
      <c r="H57" s="56"/>
      <c r="I57" s="56"/>
      <c r="J57" s="56"/>
      <c r="K57" s="56"/>
      <c r="L57" s="56"/>
      <c r="M57" s="56"/>
      <c r="N57" s="56"/>
      <c r="O57" s="56"/>
      <c r="Q57" s="56"/>
      <c r="R57" s="56"/>
      <c r="S57" s="56"/>
      <c r="T57" s="56"/>
      <c r="U57" s="56"/>
      <c r="V57" s="56"/>
      <c r="W57" s="56"/>
      <c r="X57" s="56"/>
      <c r="Y57" s="56"/>
      <c r="Z57" s="56"/>
      <c r="AA57" s="56"/>
    </row>
    <row r="58" spans="1:27" ht="19" x14ac:dyDescent="0.25">
      <c r="B58" s="56"/>
      <c r="C58" s="56"/>
      <c r="D58" s="56"/>
      <c r="E58" s="56"/>
      <c r="F58" s="56"/>
      <c r="G58" s="56"/>
      <c r="H58" s="56"/>
      <c r="I58" s="56"/>
      <c r="J58" s="56"/>
      <c r="K58" s="56"/>
      <c r="L58" s="56"/>
      <c r="M58" s="56"/>
      <c r="N58" s="56"/>
      <c r="O58" s="56"/>
      <c r="Q58" s="56"/>
      <c r="R58" s="56"/>
      <c r="S58" s="56"/>
      <c r="T58" s="56"/>
      <c r="U58" s="56"/>
      <c r="V58" s="56"/>
      <c r="W58" s="56"/>
      <c r="X58" s="56"/>
      <c r="Y58" s="56"/>
      <c r="Z58" s="56"/>
      <c r="AA58" s="56"/>
    </row>
    <row r="59" spans="1:27" ht="19" x14ac:dyDescent="0.25">
      <c r="B59" s="56"/>
      <c r="D59" s="56"/>
      <c r="E59" s="56"/>
      <c r="F59" s="56"/>
      <c r="G59" s="56"/>
      <c r="H59" s="56"/>
      <c r="I59" s="56"/>
      <c r="J59" s="56"/>
      <c r="K59" s="56"/>
      <c r="L59" s="56"/>
      <c r="M59" s="56"/>
      <c r="N59" s="56"/>
      <c r="O59" s="56"/>
      <c r="Q59" s="56"/>
      <c r="R59" s="56"/>
      <c r="S59" s="56"/>
      <c r="T59" s="56"/>
      <c r="U59" s="56"/>
      <c r="V59" s="56"/>
      <c r="W59" s="56"/>
      <c r="X59" s="56"/>
      <c r="Y59" s="56"/>
      <c r="Z59" s="56"/>
      <c r="AA59" s="56"/>
    </row>
    <row r="60" spans="1:27" ht="19" x14ac:dyDescent="0.25">
      <c r="B60" s="56"/>
      <c r="C60" s="56"/>
      <c r="D60" s="56"/>
      <c r="E60" s="56"/>
      <c r="F60" s="56"/>
      <c r="G60" s="56"/>
      <c r="H60" s="56"/>
      <c r="I60" s="56"/>
      <c r="J60" s="56"/>
      <c r="K60" s="56"/>
      <c r="L60" s="56"/>
      <c r="M60" s="56"/>
      <c r="N60" s="56"/>
      <c r="O60" s="56"/>
      <c r="Q60" s="56"/>
      <c r="R60" s="56"/>
      <c r="S60" s="56"/>
      <c r="T60" s="56"/>
      <c r="U60" s="56"/>
      <c r="V60" s="56"/>
      <c r="W60" s="56"/>
      <c r="X60" s="56"/>
      <c r="Y60" s="56"/>
      <c r="Z60" s="56"/>
      <c r="AA60" s="56"/>
    </row>
    <row r="61" spans="1:27" ht="19" x14ac:dyDescent="0.25">
      <c r="B61" s="56"/>
      <c r="C61" s="56"/>
      <c r="D61" s="56"/>
      <c r="E61" s="56"/>
      <c r="F61" s="56"/>
      <c r="G61" s="56"/>
      <c r="H61" s="56"/>
      <c r="I61" s="56"/>
      <c r="J61" s="56"/>
      <c r="K61" s="56"/>
      <c r="L61" s="56"/>
      <c r="M61" s="56"/>
      <c r="N61" s="56"/>
      <c r="O61" s="56"/>
      <c r="Q61" s="56"/>
      <c r="R61" s="56"/>
      <c r="S61" s="56"/>
      <c r="T61" s="56"/>
      <c r="U61" s="56"/>
      <c r="V61" s="56"/>
      <c r="W61" s="56"/>
      <c r="X61" s="56"/>
      <c r="Y61" s="56"/>
      <c r="Z61" s="56"/>
      <c r="AA61" s="56"/>
    </row>
    <row r="62" spans="1:27" ht="19" x14ac:dyDescent="0.25">
      <c r="B62" s="56"/>
      <c r="C62" s="56"/>
      <c r="D62" s="56"/>
      <c r="E62" s="56"/>
      <c r="F62" s="56"/>
      <c r="G62" s="56"/>
      <c r="H62" s="56"/>
      <c r="I62" s="56"/>
      <c r="J62" s="56"/>
      <c r="K62" s="56"/>
      <c r="L62" s="56"/>
      <c r="M62" s="56"/>
      <c r="N62" s="56"/>
      <c r="O62" s="56"/>
      <c r="Q62" s="56"/>
      <c r="R62" s="56"/>
      <c r="S62" s="56"/>
      <c r="T62" s="56"/>
      <c r="U62" s="56"/>
      <c r="V62" s="56"/>
      <c r="W62" s="56"/>
      <c r="X62" s="56"/>
      <c r="Y62" s="56"/>
      <c r="Z62" s="56"/>
      <c r="AA62" s="56"/>
    </row>
    <row r="63" spans="1:27" ht="20" thickBot="1" x14ac:dyDescent="0.3">
      <c r="B63" s="56"/>
      <c r="C63" s="56"/>
      <c r="D63" s="56"/>
      <c r="E63" s="56"/>
      <c r="F63" s="56"/>
      <c r="G63" s="56"/>
      <c r="H63" s="56"/>
      <c r="I63" s="56"/>
      <c r="J63" s="56"/>
      <c r="K63" s="56"/>
      <c r="L63" s="56"/>
      <c r="M63" s="56"/>
      <c r="N63" s="56"/>
      <c r="O63" s="56"/>
      <c r="Q63" s="56"/>
      <c r="R63" s="56"/>
      <c r="S63" s="56"/>
      <c r="T63" s="56"/>
      <c r="U63" s="56"/>
      <c r="V63" s="56"/>
      <c r="W63" s="56"/>
      <c r="X63" s="56"/>
      <c r="Y63" s="56"/>
      <c r="Z63" s="56"/>
      <c r="AA63" s="56"/>
    </row>
    <row r="64" spans="1:27" ht="30" customHeight="1" thickBot="1" x14ac:dyDescent="0.35">
      <c r="B64" s="56"/>
      <c r="C64" s="151" t="s">
        <v>79</v>
      </c>
      <c r="D64" s="152" t="s">
        <v>80</v>
      </c>
      <c r="E64" s="151" t="s">
        <v>81</v>
      </c>
      <c r="F64" s="56"/>
      <c r="G64" s="56"/>
      <c r="H64" s="153" t="s">
        <v>82</v>
      </c>
      <c r="I64" s="154"/>
      <c r="J64" s="154"/>
      <c r="K64" s="154"/>
      <c r="L64" s="154"/>
      <c r="M64" s="154"/>
      <c r="N64" s="154"/>
      <c r="O64" s="56"/>
      <c r="Q64" s="56"/>
      <c r="R64" s="56"/>
      <c r="S64" s="56"/>
      <c r="T64" s="56"/>
      <c r="U64" s="56"/>
      <c r="V64" s="56"/>
      <c r="W64" s="56"/>
      <c r="X64" s="56"/>
      <c r="Y64" s="56"/>
      <c r="Z64" s="56"/>
      <c r="AA64" s="56"/>
    </row>
    <row r="65" spans="2:27" ht="20" thickBot="1" x14ac:dyDescent="0.3">
      <c r="B65" s="56"/>
      <c r="C65" s="155">
        <v>298.14999999999998</v>
      </c>
      <c r="D65" s="156">
        <f t="shared" ref="D65:D83" si="2">C65*$B$8/$B$16</f>
        <v>4.0625788058228471E-26</v>
      </c>
      <c r="E65" s="157">
        <f xml:space="preserve"> (2*PI()*$A$28*$U$9*$B$8*C65/($B$14^2))^(3/2)*D65</f>
        <v>39748.853510380723</v>
      </c>
      <c r="F65" s="158"/>
      <c r="G65" s="56"/>
      <c r="H65" s="56"/>
      <c r="I65" s="56"/>
      <c r="J65" s="56"/>
      <c r="K65" s="56"/>
      <c r="L65" s="56"/>
      <c r="M65" s="56"/>
      <c r="N65" s="56"/>
      <c r="O65" s="56"/>
      <c r="Q65" s="56"/>
      <c r="R65" s="56"/>
      <c r="S65" s="56"/>
      <c r="T65" s="56"/>
      <c r="U65" s="56"/>
      <c r="V65" s="56"/>
      <c r="W65" s="56"/>
      <c r="X65" s="56"/>
      <c r="Y65" s="56"/>
      <c r="Z65" s="56"/>
      <c r="AA65" s="56"/>
    </row>
    <row r="66" spans="2:27" ht="20" thickBot="1" x14ac:dyDescent="0.3">
      <c r="B66" s="56"/>
      <c r="C66" s="155">
        <v>300</v>
      </c>
      <c r="D66" s="156">
        <f t="shared" si="2"/>
        <v>4.0877868245743891E-26</v>
      </c>
      <c r="E66" s="157">
        <f xml:space="preserve"> (2*PI()*$A$28*$U$9*$B$8*C66/($B$14^2))^(3/2)*D66</f>
        <v>40368.323106654447</v>
      </c>
      <c r="F66" s="56"/>
      <c r="G66" s="56"/>
      <c r="L66" s="151" t="s">
        <v>83</v>
      </c>
      <c r="M66" s="56"/>
      <c r="N66" s="56"/>
      <c r="O66" s="56"/>
      <c r="Q66" s="56"/>
      <c r="R66" s="56"/>
      <c r="S66" s="56"/>
      <c r="T66" s="56"/>
      <c r="U66" s="56"/>
      <c r="V66" s="56"/>
      <c r="W66" s="56"/>
      <c r="X66" s="56"/>
      <c r="Y66" s="56"/>
      <c r="Z66" s="56"/>
      <c r="AA66" s="56"/>
    </row>
    <row r="67" spans="2:27" ht="19" x14ac:dyDescent="0.25">
      <c r="B67" s="56"/>
      <c r="C67" s="159">
        <f>C66+100</f>
        <v>400</v>
      </c>
      <c r="D67" s="160">
        <f t="shared" si="2"/>
        <v>5.4503824327658529E-26</v>
      </c>
      <c r="E67" s="161">
        <f t="shared" ref="E67:E83" si="3" xml:space="preserve"> (2*PI()*$A$28*$U$9*$B$8*C67/($B$14^2))^(3/2)*D67</f>
        <v>82868.132310616726</v>
      </c>
      <c r="F67" s="56"/>
      <c r="G67" s="56"/>
      <c r="K67" s="162" t="s">
        <v>84</v>
      </c>
      <c r="L67" s="129">
        <f>$E$65</f>
        <v>39748.853510380723</v>
      </c>
      <c r="M67" s="56"/>
      <c r="N67" s="56"/>
      <c r="O67" s="56"/>
      <c r="Q67" s="56"/>
      <c r="R67" s="56"/>
      <c r="S67" s="56"/>
      <c r="T67" s="56"/>
      <c r="U67" s="56"/>
      <c r="V67" s="56"/>
      <c r="W67" s="56"/>
      <c r="X67" s="56"/>
      <c r="Y67" s="56"/>
      <c r="Z67" s="56"/>
      <c r="AA67" s="56"/>
    </row>
    <row r="68" spans="2:27" ht="20" thickBot="1" x14ac:dyDescent="0.3">
      <c r="B68" s="56"/>
      <c r="C68" s="159">
        <f t="shared" ref="C68:C83" si="4">C67+100</f>
        <v>500</v>
      </c>
      <c r="D68" s="160">
        <f t="shared" si="2"/>
        <v>6.812978040957315E-26</v>
      </c>
      <c r="E68" s="161">
        <f t="shared" si="3"/>
        <v>144764.66954295631</v>
      </c>
      <c r="F68" s="56"/>
      <c r="G68" s="56"/>
      <c r="K68" s="163" t="s">
        <v>85</v>
      </c>
      <c r="L68" s="147">
        <f>P33</f>
        <v>39767.9</v>
      </c>
      <c r="M68" s="56"/>
      <c r="N68" s="56"/>
      <c r="O68" s="56"/>
      <c r="Q68" s="56"/>
      <c r="R68" s="56"/>
      <c r="S68" s="56"/>
      <c r="T68" s="56"/>
      <c r="U68" s="56"/>
      <c r="V68" s="56"/>
      <c r="W68" s="56"/>
      <c r="X68" s="56"/>
      <c r="Y68" s="56"/>
      <c r="Z68" s="56"/>
      <c r="AA68" s="56"/>
    </row>
    <row r="69" spans="2:27" ht="22" x14ac:dyDescent="0.3">
      <c r="B69" s="56"/>
      <c r="C69" s="159">
        <f t="shared" si="4"/>
        <v>600</v>
      </c>
      <c r="D69" s="160">
        <f t="shared" si="2"/>
        <v>8.1755736491487783E-26</v>
      </c>
      <c r="E69" s="161">
        <f t="shared" si="3"/>
        <v>228357.72011076027</v>
      </c>
      <c r="F69" s="56"/>
      <c r="G69" s="56"/>
      <c r="H69" s="56"/>
      <c r="I69" s="56"/>
      <c r="K69" s="164" t="s">
        <v>86</v>
      </c>
      <c r="L69" s="165">
        <f>ABS(L67-L68)/L67</f>
        <v>4.7917079204069958E-4</v>
      </c>
      <c r="M69" s="56"/>
      <c r="N69" s="56"/>
      <c r="O69" s="56"/>
      <c r="Q69" s="56"/>
      <c r="R69" s="56"/>
      <c r="S69" s="56"/>
      <c r="T69" s="56"/>
      <c r="U69" s="56"/>
      <c r="V69" s="56"/>
      <c r="W69" s="56"/>
      <c r="X69" s="56"/>
      <c r="Y69" s="56"/>
      <c r="Z69" s="56"/>
      <c r="AA69" s="56"/>
    </row>
    <row r="70" spans="2:27" ht="19" x14ac:dyDescent="0.25">
      <c r="B70" s="56"/>
      <c r="C70" s="159">
        <f t="shared" si="4"/>
        <v>700</v>
      </c>
      <c r="D70" s="160">
        <f t="shared" si="2"/>
        <v>9.5381692573402415E-26</v>
      </c>
      <c r="E70" s="161">
        <f t="shared" si="3"/>
        <v>335724.21923775156</v>
      </c>
      <c r="F70" s="56"/>
      <c r="G70" s="56"/>
      <c r="Q70" s="56"/>
      <c r="R70" s="56"/>
      <c r="S70" s="56"/>
      <c r="T70" s="56"/>
      <c r="U70" s="56"/>
      <c r="V70" s="56"/>
      <c r="W70" s="56"/>
      <c r="X70" s="56"/>
      <c r="Y70" s="56"/>
      <c r="Z70" s="56"/>
      <c r="AA70" s="56"/>
    </row>
    <row r="71" spans="2:27" ht="19" x14ac:dyDescent="0.25">
      <c r="B71" s="56"/>
      <c r="C71" s="159">
        <f t="shared" si="4"/>
        <v>800</v>
      </c>
      <c r="D71" s="160">
        <f t="shared" si="2"/>
        <v>1.0900764865531706E-25</v>
      </c>
      <c r="E71" s="161">
        <f t="shared" si="3"/>
        <v>468772.94640881027</v>
      </c>
      <c r="F71" s="56"/>
      <c r="G71" s="56"/>
      <c r="Q71" s="56"/>
      <c r="R71" s="56"/>
      <c r="S71" s="56"/>
      <c r="T71" s="56"/>
      <c r="U71" s="56"/>
      <c r="V71" s="56"/>
      <c r="W71" s="56"/>
      <c r="X71" s="56"/>
      <c r="Y71" s="56"/>
      <c r="Z71" s="56"/>
      <c r="AA71" s="56"/>
    </row>
    <row r="72" spans="2:27" ht="19" x14ac:dyDescent="0.25">
      <c r="B72" s="56"/>
      <c r="C72" s="159">
        <f t="shared" si="4"/>
        <v>900</v>
      </c>
      <c r="D72" s="160">
        <f t="shared" si="2"/>
        <v>1.2263360473723168E-25</v>
      </c>
      <c r="E72" s="161">
        <f t="shared" si="3"/>
        <v>629279.87973373779</v>
      </c>
      <c r="F72" s="56"/>
      <c r="G72" s="56"/>
      <c r="Q72" s="56"/>
      <c r="R72" s="56"/>
      <c r="S72" s="56"/>
      <c r="T72" s="56"/>
      <c r="U72" s="56"/>
      <c r="V72" s="56"/>
      <c r="W72" s="56"/>
      <c r="X72" s="56"/>
      <c r="Y72" s="56"/>
      <c r="Z72" s="56"/>
      <c r="AA72" s="56"/>
    </row>
    <row r="73" spans="2:27" ht="19" x14ac:dyDescent="0.25">
      <c r="C73" s="159">
        <f t="shared" si="4"/>
        <v>1000</v>
      </c>
      <c r="D73" s="160">
        <f t="shared" si="2"/>
        <v>1.362595608191463E-25</v>
      </c>
      <c r="E73" s="161">
        <f t="shared" si="3"/>
        <v>818912.6360804349</v>
      </c>
    </row>
    <row r="74" spans="2:27" ht="19" x14ac:dyDescent="0.25">
      <c r="C74" s="159">
        <f t="shared" si="4"/>
        <v>1100</v>
      </c>
      <c r="D74" s="160">
        <f t="shared" si="2"/>
        <v>1.4988551690106094E-25</v>
      </c>
      <c r="E74" s="161">
        <f t="shared" si="3"/>
        <v>1039248.2105053912</v>
      </c>
    </row>
    <row r="75" spans="2:27" ht="19" x14ac:dyDescent="0.25">
      <c r="C75" s="159">
        <f t="shared" si="4"/>
        <v>1200</v>
      </c>
      <c r="D75" s="160">
        <f t="shared" si="2"/>
        <v>1.6351147298297557E-25</v>
      </c>
      <c r="E75" s="161">
        <f t="shared" si="3"/>
        <v>1291786.3394129495</v>
      </c>
    </row>
    <row r="76" spans="2:27" ht="19" x14ac:dyDescent="0.25">
      <c r="C76" s="159">
        <f t="shared" si="4"/>
        <v>1300</v>
      </c>
      <c r="D76" s="160">
        <f t="shared" si="2"/>
        <v>1.7713742906489019E-25</v>
      </c>
      <c r="E76" s="161">
        <f t="shared" si="3"/>
        <v>1577959.8664058954</v>
      </c>
    </row>
    <row r="77" spans="2:27" ht="19" x14ac:dyDescent="0.25">
      <c r="C77" s="159">
        <f t="shared" si="4"/>
        <v>1400</v>
      </c>
      <c r="D77" s="160">
        <f t="shared" si="2"/>
        <v>1.9076338514680483E-25</v>
      </c>
      <c r="E77" s="161">
        <f t="shared" si="3"/>
        <v>1899142.9762525919</v>
      </c>
    </row>
    <row r="78" spans="2:27" ht="19" x14ac:dyDescent="0.25">
      <c r="C78" s="159">
        <f t="shared" si="4"/>
        <v>1500</v>
      </c>
      <c r="D78" s="160">
        <f t="shared" si="2"/>
        <v>2.043893412287195E-25</v>
      </c>
      <c r="E78" s="161">
        <f t="shared" si="3"/>
        <v>2256657.865103865</v>
      </c>
    </row>
    <row r="79" spans="2:27" ht="19" x14ac:dyDescent="0.25">
      <c r="C79" s="159">
        <f t="shared" si="4"/>
        <v>1600</v>
      </c>
      <c r="D79" s="160">
        <f t="shared" si="2"/>
        <v>2.1801529731063412E-25</v>
      </c>
      <c r="E79" s="161">
        <f t="shared" si="3"/>
        <v>2651780.2339397119</v>
      </c>
    </row>
    <row r="80" spans="2:27" ht="19" x14ac:dyDescent="0.25">
      <c r="C80" s="159">
        <f t="shared" si="4"/>
        <v>1700</v>
      </c>
      <c r="D80" s="160">
        <f t="shared" si="2"/>
        <v>2.3164125339254876E-25</v>
      </c>
      <c r="E80" s="161">
        <f t="shared" si="3"/>
        <v>3085743.8770825602</v>
      </c>
    </row>
    <row r="81" spans="3:26" ht="19" x14ac:dyDescent="0.25">
      <c r="C81" s="159">
        <f t="shared" si="4"/>
        <v>1800</v>
      </c>
      <c r="D81" s="160">
        <f t="shared" si="2"/>
        <v>2.4526720947446336E-25</v>
      </c>
      <c r="E81" s="161">
        <f t="shared" si="3"/>
        <v>3559744.5617918582</v>
      </c>
    </row>
    <row r="82" spans="3:26" ht="19" x14ac:dyDescent="0.25">
      <c r="C82" s="159">
        <f t="shared" si="4"/>
        <v>1900</v>
      </c>
      <c r="D82" s="160">
        <f t="shared" si="2"/>
        <v>2.58893165556378E-25</v>
      </c>
      <c r="E82" s="161">
        <f t="shared" si="3"/>
        <v>4074943.3434961871</v>
      </c>
    </row>
    <row r="83" spans="3:26" ht="20" thickBot="1" x14ac:dyDescent="0.3">
      <c r="C83" s="166">
        <f t="shared" si="4"/>
        <v>2000</v>
      </c>
      <c r="D83" s="167">
        <f t="shared" si="2"/>
        <v>2.725191216382926E-25</v>
      </c>
      <c r="E83" s="168">
        <f t="shared" si="3"/>
        <v>4632469.425374628</v>
      </c>
    </row>
    <row r="92" spans="3:26" ht="22" customHeight="1" x14ac:dyDescent="0.25">
      <c r="F92" s="56" t="s">
        <v>77</v>
      </c>
      <c r="Y92" s="56" t="s">
        <v>77</v>
      </c>
    </row>
    <row r="93" spans="3:26" ht="27" x14ac:dyDescent="0.35">
      <c r="C93" s="149" t="s">
        <v>151</v>
      </c>
      <c r="D93" s="169"/>
      <c r="E93" s="56"/>
      <c r="F93" s="56"/>
      <c r="G93" s="56"/>
      <c r="U93" s="472" t="s">
        <v>88</v>
      </c>
      <c r="V93" s="472"/>
      <c r="W93" s="472"/>
      <c r="X93" s="56"/>
      <c r="Y93" s="56"/>
      <c r="Z93" s="56"/>
    </row>
    <row r="94" spans="3:26" ht="19" x14ac:dyDescent="0.25">
      <c r="E94" s="56"/>
      <c r="G94" s="56"/>
      <c r="X94" s="56"/>
      <c r="Z94" s="56"/>
    </row>
    <row r="95" spans="3:26" ht="20" thickBot="1" x14ac:dyDescent="0.3">
      <c r="E95" s="56"/>
      <c r="F95" s="56"/>
      <c r="G95" s="56"/>
    </row>
    <row r="96" spans="3:26" ht="20" thickBot="1" x14ac:dyDescent="0.3">
      <c r="C96" s="170" t="s">
        <v>89</v>
      </c>
      <c r="E96" s="56"/>
      <c r="F96" s="56"/>
      <c r="G96" s="56"/>
    </row>
    <row r="97" spans="3:34" ht="22" thickBot="1" x14ac:dyDescent="0.3">
      <c r="C97" s="171" t="s">
        <v>90</v>
      </c>
      <c r="D97" s="281" t="str" cm="1">
        <f t="array" ref="D97">INDEX($E:$E,(COLUMN(D97)-4)*1+42)</f>
        <v>-</v>
      </c>
      <c r="E97" s="56"/>
      <c r="F97" s="56"/>
      <c r="G97" s="56"/>
      <c r="H97" s="56"/>
      <c r="I97" s="56"/>
      <c r="J97" s="56"/>
      <c r="K97" s="56"/>
      <c r="L97" s="56"/>
    </row>
    <row r="98" spans="3:34" ht="20" thickBot="1" x14ac:dyDescent="0.3">
      <c r="C98" s="173" t="s">
        <v>91</v>
      </c>
      <c r="D98" s="217" t="s">
        <v>134</v>
      </c>
      <c r="E98" s="158"/>
      <c r="F98" s="158"/>
      <c r="G98" s="158"/>
      <c r="H98" s="158"/>
      <c r="I98" s="158"/>
      <c r="J98" s="158"/>
      <c r="K98" s="158"/>
      <c r="L98" s="158"/>
    </row>
    <row r="99" spans="3:34" ht="20" thickBot="1" x14ac:dyDescent="0.3">
      <c r="L99" s="185" t="s">
        <v>158</v>
      </c>
      <c r="M99" s="373">
        <f>0</f>
        <v>0</v>
      </c>
    </row>
    <row r="100" spans="3:34" ht="30" customHeight="1" thickBot="1" x14ac:dyDescent="0.5">
      <c r="C100" s="473" t="s">
        <v>152</v>
      </c>
      <c r="D100" s="480"/>
      <c r="E100" s="175" t="s">
        <v>93</v>
      </c>
    </row>
    <row r="101" spans="3:34" ht="38" customHeight="1" thickBot="1" x14ac:dyDescent="0.35">
      <c r="C101" s="176" t="s">
        <v>94</v>
      </c>
      <c r="D101" s="282">
        <v>1</v>
      </c>
      <c r="E101" s="283"/>
      <c r="F101" s="284"/>
      <c r="G101" s="284"/>
      <c r="H101" s="284"/>
      <c r="I101" s="284"/>
      <c r="K101" s="153" t="s">
        <v>82</v>
      </c>
      <c r="L101" s="154"/>
      <c r="M101" s="154"/>
      <c r="N101" s="154"/>
      <c r="O101" s="154"/>
      <c r="Q101" s="56"/>
      <c r="U101" s="181" t="s">
        <v>79</v>
      </c>
      <c r="V101" s="182" t="s">
        <v>95</v>
      </c>
      <c r="W101" s="183" t="s">
        <v>96</v>
      </c>
      <c r="X101" s="183" t="s">
        <v>150</v>
      </c>
      <c r="Y101" s="361" t="s">
        <v>153</v>
      </c>
      <c r="Z101" s="184" t="s">
        <v>99</v>
      </c>
      <c r="AB101" s="463" t="s">
        <v>82</v>
      </c>
      <c r="AC101" s="463"/>
      <c r="AD101" s="463"/>
      <c r="AE101" s="463"/>
      <c r="AF101" s="463"/>
      <c r="AG101" s="463"/>
      <c r="AH101" s="463"/>
    </row>
    <row r="102" spans="3:34" ht="20" thickBot="1" x14ac:dyDescent="0.3">
      <c r="C102" s="185">
        <v>298.14999999999998</v>
      </c>
      <c r="D102" s="285">
        <f>1</f>
        <v>1</v>
      </c>
      <c r="E102" s="286">
        <f xml:space="preserve"> PRODUCT(D102)</f>
        <v>1</v>
      </c>
      <c r="F102" s="269"/>
      <c r="G102" s="269"/>
      <c r="H102" s="269"/>
      <c r="I102" s="269"/>
      <c r="U102" s="185">
        <v>298.14999999999998</v>
      </c>
      <c r="V102" s="190">
        <f>$E65</f>
        <v>39748.853510380723</v>
      </c>
      <c r="W102" s="191">
        <f>1</f>
        <v>1</v>
      </c>
      <c r="X102" s="192">
        <f>$D137</f>
        <v>1</v>
      </c>
      <c r="Y102" s="193">
        <f>$D175</f>
        <v>2</v>
      </c>
      <c r="Z102" s="194">
        <f>PRODUCT(V102:Y102)</f>
        <v>79497.707020761445</v>
      </c>
    </row>
    <row r="103" spans="3:34" ht="22" thickBot="1" x14ac:dyDescent="0.3">
      <c r="C103" s="195">
        <v>300</v>
      </c>
      <c r="D103" s="285">
        <f>1</f>
        <v>1</v>
      </c>
      <c r="E103" s="287">
        <f t="shared" ref="E103:E119" si="5" xml:space="preserve"> PRODUCT(D103)</f>
        <v>1</v>
      </c>
      <c r="F103" s="269"/>
      <c r="G103" s="269"/>
      <c r="H103" s="269"/>
      <c r="I103" s="269"/>
      <c r="M103" s="151" t="s">
        <v>156</v>
      </c>
      <c r="N103" s="181" t="s">
        <v>155</v>
      </c>
      <c r="O103" s="374" t="s">
        <v>157</v>
      </c>
      <c r="U103" s="195">
        <v>300</v>
      </c>
      <c r="V103" s="199">
        <f t="shared" ref="V103:V120" si="6">$E66</f>
        <v>40368.323106654447</v>
      </c>
      <c r="W103" s="56">
        <f>1</f>
        <v>1</v>
      </c>
      <c r="X103" s="158">
        <f t="shared" ref="X103:X120" si="7">$D138</f>
        <v>1</v>
      </c>
      <c r="Y103" s="200">
        <f t="shared" ref="Y103:Y120" si="8">$D176</f>
        <v>2</v>
      </c>
      <c r="Z103" s="194">
        <f t="shared" ref="Z103:Z120" si="9">PRODUCT(V103:Y103)</f>
        <v>80736.646213308893</v>
      </c>
    </row>
    <row r="104" spans="3:34" ht="20" thickBot="1" x14ac:dyDescent="0.3">
      <c r="C104" s="202">
        <f>C103+100</f>
        <v>400</v>
      </c>
      <c r="D104" s="288">
        <f>1</f>
        <v>1</v>
      </c>
      <c r="E104" s="287">
        <f t="shared" si="5"/>
        <v>1</v>
      </c>
      <c r="F104" s="269"/>
      <c r="G104" s="269"/>
      <c r="H104" s="269"/>
      <c r="I104" s="269"/>
      <c r="L104" s="162" t="s">
        <v>84</v>
      </c>
      <c r="M104" s="129">
        <f>E102</f>
        <v>1</v>
      </c>
      <c r="N104" s="378">
        <f>E124</f>
        <v>1</v>
      </c>
      <c r="O104" s="378">
        <f>M99</f>
        <v>0</v>
      </c>
      <c r="U104" s="202">
        <f>U103+100</f>
        <v>400</v>
      </c>
      <c r="V104" s="199">
        <f t="shared" si="6"/>
        <v>82868.132310616726</v>
      </c>
      <c r="W104" s="56">
        <f>1</f>
        <v>1</v>
      </c>
      <c r="X104" s="158">
        <f t="shared" si="7"/>
        <v>1</v>
      </c>
      <c r="Y104" s="200">
        <f t="shared" si="8"/>
        <v>2</v>
      </c>
      <c r="Z104" s="194">
        <f t="shared" si="9"/>
        <v>165736.26462123345</v>
      </c>
    </row>
    <row r="105" spans="3:34" ht="23" thickBot="1" x14ac:dyDescent="0.35">
      <c r="C105" s="202">
        <f t="shared" ref="C105:C120" si="10">C104+100</f>
        <v>500</v>
      </c>
      <c r="D105" s="288">
        <f>1</f>
        <v>1</v>
      </c>
      <c r="E105" s="287">
        <f t="shared" si="5"/>
        <v>1</v>
      </c>
      <c r="F105" s="269"/>
      <c r="G105" s="269"/>
      <c r="H105" s="269"/>
      <c r="I105" s="269"/>
      <c r="L105" s="163" t="s">
        <v>85</v>
      </c>
      <c r="M105" s="147">
        <f>P38</f>
        <v>1</v>
      </c>
      <c r="N105" s="364">
        <f>P37</f>
        <v>1</v>
      </c>
      <c r="O105" s="364">
        <f>D38</f>
        <v>0</v>
      </c>
      <c r="U105" s="202">
        <f t="shared" ref="U105:U120" si="11">U104+100</f>
        <v>500</v>
      </c>
      <c r="V105" s="199">
        <f t="shared" si="6"/>
        <v>144764.66954295631</v>
      </c>
      <c r="W105" s="56">
        <f>1</f>
        <v>1</v>
      </c>
      <c r="X105" s="158">
        <f t="shared" si="7"/>
        <v>1</v>
      </c>
      <c r="Y105" s="200">
        <f t="shared" si="8"/>
        <v>2</v>
      </c>
      <c r="Z105" s="194">
        <f t="shared" si="9"/>
        <v>289529.33908591262</v>
      </c>
      <c r="AE105" s="151" t="s">
        <v>160</v>
      </c>
      <c r="AF105" s="218" t="s">
        <v>168</v>
      </c>
    </row>
    <row r="106" spans="3:34" ht="23" thickBot="1" x14ac:dyDescent="0.35">
      <c r="C106" s="202">
        <f t="shared" si="10"/>
        <v>600</v>
      </c>
      <c r="D106" s="288">
        <f>1</f>
        <v>1</v>
      </c>
      <c r="E106" s="287">
        <f t="shared" si="5"/>
        <v>1</v>
      </c>
      <c r="F106" s="269"/>
      <c r="G106" s="269"/>
      <c r="H106" s="269"/>
      <c r="I106" s="269"/>
      <c r="L106" s="164" t="s">
        <v>86</v>
      </c>
      <c r="M106" s="165">
        <f>ABS(M104-M105)/M104</f>
        <v>0</v>
      </c>
      <c r="N106" s="165">
        <f t="shared" ref="N106" si="12">ABS(N104-N105)/N104</f>
        <v>0</v>
      </c>
      <c r="O106" s="165">
        <f>0</f>
        <v>0</v>
      </c>
      <c r="U106" s="202">
        <f t="shared" si="11"/>
        <v>600</v>
      </c>
      <c r="V106" s="199">
        <f t="shared" si="6"/>
        <v>228357.72011076027</v>
      </c>
      <c r="W106" s="56">
        <f>1</f>
        <v>1</v>
      </c>
      <c r="X106" s="158">
        <f t="shared" si="7"/>
        <v>1</v>
      </c>
      <c r="Y106" s="200">
        <f t="shared" si="8"/>
        <v>2</v>
      </c>
      <c r="Z106" s="194">
        <f t="shared" si="9"/>
        <v>456715.44022152055</v>
      </c>
      <c r="AD106" s="162" t="s">
        <v>84</v>
      </c>
      <c r="AE106" s="289">
        <f>Z102</f>
        <v>79497.707020761445</v>
      </c>
      <c r="AF106" s="379">
        <f>V103*X103*Y103*E103</f>
        <v>80736.646213308893</v>
      </c>
    </row>
    <row r="107" spans="3:34" ht="20" thickBot="1" x14ac:dyDescent="0.3">
      <c r="C107" s="202">
        <f t="shared" si="10"/>
        <v>700</v>
      </c>
      <c r="D107" s="288">
        <f>1</f>
        <v>1</v>
      </c>
      <c r="E107" s="287">
        <f t="shared" si="5"/>
        <v>1</v>
      </c>
      <c r="F107" s="269"/>
      <c r="G107" s="269"/>
      <c r="H107" s="269"/>
      <c r="I107" s="269"/>
      <c r="U107" s="202">
        <f t="shared" si="11"/>
        <v>700</v>
      </c>
      <c r="V107" s="199">
        <f t="shared" si="6"/>
        <v>335724.21923775156</v>
      </c>
      <c r="W107" s="56">
        <f>1</f>
        <v>1</v>
      </c>
      <c r="X107" s="158">
        <f t="shared" si="7"/>
        <v>1</v>
      </c>
      <c r="Y107" s="200">
        <f t="shared" si="8"/>
        <v>2</v>
      </c>
      <c r="Z107" s="194">
        <f t="shared" si="9"/>
        <v>671448.43847550312</v>
      </c>
      <c r="AD107" s="163" t="s">
        <v>85</v>
      </c>
      <c r="AE107" s="290">
        <f>$P35</f>
        <v>79535.8</v>
      </c>
      <c r="AF107" s="199"/>
    </row>
    <row r="108" spans="3:34" ht="23" thickBot="1" x14ac:dyDescent="0.35">
      <c r="C108" s="202">
        <f t="shared" si="10"/>
        <v>800</v>
      </c>
      <c r="D108" s="288">
        <f>1</f>
        <v>1</v>
      </c>
      <c r="E108" s="287">
        <f t="shared" si="5"/>
        <v>1</v>
      </c>
      <c r="F108" s="269"/>
      <c r="G108" s="269"/>
      <c r="H108" s="269"/>
      <c r="I108" s="269"/>
      <c r="U108" s="202">
        <f t="shared" si="11"/>
        <v>800</v>
      </c>
      <c r="V108" s="199">
        <f t="shared" si="6"/>
        <v>468772.94640881027</v>
      </c>
      <c r="W108" s="56">
        <f>1</f>
        <v>1</v>
      </c>
      <c r="X108" s="158">
        <f t="shared" si="7"/>
        <v>1</v>
      </c>
      <c r="Y108" s="200">
        <f t="shared" si="8"/>
        <v>2</v>
      </c>
      <c r="Z108" s="194">
        <f t="shared" si="9"/>
        <v>937545.89281762054</v>
      </c>
      <c r="AD108" s="164" t="s">
        <v>86</v>
      </c>
      <c r="AE108" s="165">
        <f>ABS(AE106-AE107)/AE106</f>
        <v>4.7917079204069958E-4</v>
      </c>
      <c r="AF108" s="291"/>
    </row>
    <row r="109" spans="3:34" ht="20" thickBot="1" x14ac:dyDescent="0.3">
      <c r="C109" s="202">
        <f t="shared" si="10"/>
        <v>900</v>
      </c>
      <c r="D109" s="288">
        <f>1</f>
        <v>1</v>
      </c>
      <c r="E109" s="287">
        <f t="shared" si="5"/>
        <v>1</v>
      </c>
      <c r="F109" s="269"/>
      <c r="G109" s="269"/>
      <c r="H109" s="269"/>
      <c r="I109" s="269"/>
      <c r="U109" s="202">
        <f t="shared" si="11"/>
        <v>900</v>
      </c>
      <c r="V109" s="199">
        <f t="shared" si="6"/>
        <v>629279.87973373779</v>
      </c>
      <c r="W109" s="56">
        <f>1</f>
        <v>1</v>
      </c>
      <c r="X109" s="158">
        <f t="shared" si="7"/>
        <v>1</v>
      </c>
      <c r="Y109" s="200">
        <f t="shared" si="8"/>
        <v>2</v>
      </c>
      <c r="Z109" s="194">
        <f t="shared" si="9"/>
        <v>1258559.7594674756</v>
      </c>
    </row>
    <row r="110" spans="3:34" ht="20" thickBot="1" x14ac:dyDescent="0.3">
      <c r="C110" s="202">
        <f t="shared" si="10"/>
        <v>1000</v>
      </c>
      <c r="D110" s="288">
        <f>1</f>
        <v>1</v>
      </c>
      <c r="E110" s="287">
        <f t="shared" si="5"/>
        <v>1</v>
      </c>
      <c r="F110" s="269"/>
      <c r="G110" s="269"/>
      <c r="H110" s="269"/>
      <c r="I110" s="269"/>
      <c r="U110" s="202">
        <f t="shared" si="11"/>
        <v>1000</v>
      </c>
      <c r="V110" s="199">
        <f t="shared" si="6"/>
        <v>818912.6360804349</v>
      </c>
      <c r="W110" s="56">
        <f>1</f>
        <v>1</v>
      </c>
      <c r="X110" s="158">
        <f t="shared" si="7"/>
        <v>1</v>
      </c>
      <c r="Y110" s="200">
        <f t="shared" si="8"/>
        <v>2</v>
      </c>
      <c r="Z110" s="194">
        <f t="shared" si="9"/>
        <v>1637825.2721608698</v>
      </c>
    </row>
    <row r="111" spans="3:34" ht="20" thickBot="1" x14ac:dyDescent="0.3">
      <c r="C111" s="202">
        <f t="shared" si="10"/>
        <v>1100</v>
      </c>
      <c r="D111" s="288">
        <f>1</f>
        <v>1</v>
      </c>
      <c r="E111" s="287">
        <f t="shared" si="5"/>
        <v>1</v>
      </c>
      <c r="F111" s="269"/>
      <c r="G111" s="269"/>
      <c r="H111" s="269"/>
      <c r="I111" s="269"/>
      <c r="U111" s="202">
        <f t="shared" si="11"/>
        <v>1100</v>
      </c>
      <c r="V111" s="199">
        <f t="shared" si="6"/>
        <v>1039248.2105053912</v>
      </c>
      <c r="W111" s="56">
        <f>1</f>
        <v>1</v>
      </c>
      <c r="X111" s="158">
        <f t="shared" si="7"/>
        <v>1</v>
      </c>
      <c r="Y111" s="200">
        <f t="shared" si="8"/>
        <v>2</v>
      </c>
      <c r="Z111" s="194">
        <f t="shared" si="9"/>
        <v>2078496.4210107825</v>
      </c>
    </row>
    <row r="112" spans="3:34" ht="20" thickBot="1" x14ac:dyDescent="0.3">
      <c r="C112" s="202">
        <f t="shared" si="10"/>
        <v>1200</v>
      </c>
      <c r="D112" s="288">
        <f>1</f>
        <v>1</v>
      </c>
      <c r="E112" s="287">
        <f t="shared" si="5"/>
        <v>1</v>
      </c>
      <c r="F112" s="269"/>
      <c r="G112" s="269"/>
      <c r="H112" s="269"/>
      <c r="I112" s="269"/>
      <c r="U112" s="202">
        <f t="shared" si="11"/>
        <v>1200</v>
      </c>
      <c r="V112" s="199">
        <f t="shared" si="6"/>
        <v>1291786.3394129495</v>
      </c>
      <c r="W112" s="56">
        <f>1</f>
        <v>1</v>
      </c>
      <c r="X112" s="158">
        <f t="shared" si="7"/>
        <v>1</v>
      </c>
      <c r="Y112" s="200">
        <f t="shared" si="8"/>
        <v>2</v>
      </c>
      <c r="Z112" s="194">
        <f t="shared" si="9"/>
        <v>2583572.678825899</v>
      </c>
    </row>
    <row r="113" spans="2:26" ht="20" thickBot="1" x14ac:dyDescent="0.3">
      <c r="C113" s="202">
        <f t="shared" si="10"/>
        <v>1300</v>
      </c>
      <c r="D113" s="288">
        <f>1</f>
        <v>1</v>
      </c>
      <c r="E113" s="287">
        <f t="shared" si="5"/>
        <v>1</v>
      </c>
      <c r="F113" s="269"/>
      <c r="G113" s="269"/>
      <c r="H113" s="269"/>
      <c r="I113" s="269"/>
      <c r="U113" s="202">
        <f t="shared" si="11"/>
        <v>1300</v>
      </c>
      <c r="V113" s="199">
        <f t="shared" si="6"/>
        <v>1577959.8664058954</v>
      </c>
      <c r="W113" s="56">
        <f>1</f>
        <v>1</v>
      </c>
      <c r="X113" s="158">
        <f t="shared" si="7"/>
        <v>1</v>
      </c>
      <c r="Y113" s="200">
        <f t="shared" si="8"/>
        <v>2</v>
      </c>
      <c r="Z113" s="194">
        <f t="shared" si="9"/>
        <v>3155919.7328117909</v>
      </c>
    </row>
    <row r="114" spans="2:26" ht="20" thickBot="1" x14ac:dyDescent="0.3">
      <c r="C114" s="202">
        <f t="shared" si="10"/>
        <v>1400</v>
      </c>
      <c r="D114" s="288">
        <f>1</f>
        <v>1</v>
      </c>
      <c r="E114" s="287">
        <f t="shared" si="5"/>
        <v>1</v>
      </c>
      <c r="F114" s="269"/>
      <c r="G114" s="269"/>
      <c r="H114" s="269"/>
      <c r="I114" s="269"/>
      <c r="U114" s="202">
        <f t="shared" si="11"/>
        <v>1400</v>
      </c>
      <c r="V114" s="199">
        <f t="shared" si="6"/>
        <v>1899142.9762525919</v>
      </c>
      <c r="W114" s="56">
        <f>1</f>
        <v>1</v>
      </c>
      <c r="X114" s="158">
        <f t="shared" si="7"/>
        <v>1</v>
      </c>
      <c r="Y114" s="200">
        <f t="shared" si="8"/>
        <v>2</v>
      </c>
      <c r="Z114" s="194">
        <f t="shared" si="9"/>
        <v>3798285.9525051839</v>
      </c>
    </row>
    <row r="115" spans="2:26" ht="20" thickBot="1" x14ac:dyDescent="0.3">
      <c r="C115" s="202">
        <f t="shared" si="10"/>
        <v>1500</v>
      </c>
      <c r="D115" s="288">
        <f>1</f>
        <v>1</v>
      </c>
      <c r="E115" s="287">
        <f t="shared" si="5"/>
        <v>1</v>
      </c>
      <c r="F115" s="269"/>
      <c r="G115" s="269"/>
      <c r="H115" s="269"/>
      <c r="I115" s="269"/>
      <c r="U115" s="202">
        <f t="shared" si="11"/>
        <v>1500</v>
      </c>
      <c r="V115" s="199">
        <f t="shared" si="6"/>
        <v>2256657.865103865</v>
      </c>
      <c r="W115" s="56">
        <f>1</f>
        <v>1</v>
      </c>
      <c r="X115" s="158">
        <f t="shared" si="7"/>
        <v>1</v>
      </c>
      <c r="Y115" s="200">
        <f t="shared" si="8"/>
        <v>2</v>
      </c>
      <c r="Z115" s="194">
        <f t="shared" si="9"/>
        <v>4513315.7302077301</v>
      </c>
    </row>
    <row r="116" spans="2:26" ht="20" thickBot="1" x14ac:dyDescent="0.3">
      <c r="C116" s="202">
        <f t="shared" si="10"/>
        <v>1600</v>
      </c>
      <c r="D116" s="288">
        <f>1</f>
        <v>1</v>
      </c>
      <c r="E116" s="287">
        <f t="shared" si="5"/>
        <v>1</v>
      </c>
      <c r="F116" s="269"/>
      <c r="G116" s="269"/>
      <c r="H116" s="269"/>
      <c r="I116" s="269"/>
      <c r="U116" s="202">
        <f t="shared" si="11"/>
        <v>1600</v>
      </c>
      <c r="V116" s="199">
        <f t="shared" si="6"/>
        <v>2651780.2339397119</v>
      </c>
      <c r="W116" s="56">
        <f>1</f>
        <v>1</v>
      </c>
      <c r="X116" s="158">
        <f t="shared" si="7"/>
        <v>1</v>
      </c>
      <c r="Y116" s="200">
        <f t="shared" si="8"/>
        <v>2</v>
      </c>
      <c r="Z116" s="194">
        <f t="shared" si="9"/>
        <v>5303560.4678794239</v>
      </c>
    </row>
    <row r="117" spans="2:26" ht="20" thickBot="1" x14ac:dyDescent="0.3">
      <c r="C117" s="202">
        <f t="shared" si="10"/>
        <v>1700</v>
      </c>
      <c r="D117" s="288">
        <f>1</f>
        <v>1</v>
      </c>
      <c r="E117" s="287">
        <f t="shared" si="5"/>
        <v>1</v>
      </c>
      <c r="F117" s="269"/>
      <c r="G117" s="269"/>
      <c r="H117" s="269"/>
      <c r="I117" s="269"/>
      <c r="U117" s="202">
        <f t="shared" si="11"/>
        <v>1700</v>
      </c>
      <c r="V117" s="199">
        <f t="shared" si="6"/>
        <v>3085743.8770825602</v>
      </c>
      <c r="W117" s="56">
        <f>1</f>
        <v>1</v>
      </c>
      <c r="X117" s="158">
        <f t="shared" si="7"/>
        <v>1</v>
      </c>
      <c r="Y117" s="200">
        <f t="shared" si="8"/>
        <v>2</v>
      </c>
      <c r="Z117" s="194">
        <f t="shared" si="9"/>
        <v>6171487.7541651204</v>
      </c>
    </row>
    <row r="118" spans="2:26" ht="20" thickBot="1" x14ac:dyDescent="0.3">
      <c r="C118" s="202">
        <f t="shared" si="10"/>
        <v>1800</v>
      </c>
      <c r="D118" s="288">
        <f>1</f>
        <v>1</v>
      </c>
      <c r="E118" s="287">
        <f t="shared" si="5"/>
        <v>1</v>
      </c>
      <c r="F118" s="269"/>
      <c r="G118" s="269"/>
      <c r="H118" s="269"/>
      <c r="I118" s="269"/>
      <c r="U118" s="202">
        <f t="shared" si="11"/>
        <v>1800</v>
      </c>
      <c r="V118" s="199">
        <f t="shared" si="6"/>
        <v>3559744.5617918582</v>
      </c>
      <c r="W118" s="56">
        <f>1</f>
        <v>1</v>
      </c>
      <c r="X118" s="158">
        <f t="shared" si="7"/>
        <v>1</v>
      </c>
      <c r="Y118" s="200">
        <f t="shared" si="8"/>
        <v>2</v>
      </c>
      <c r="Z118" s="194">
        <f t="shared" si="9"/>
        <v>7119489.1235837163</v>
      </c>
    </row>
    <row r="119" spans="2:26" ht="20" thickBot="1" x14ac:dyDescent="0.3">
      <c r="C119" s="202">
        <f t="shared" si="10"/>
        <v>1900</v>
      </c>
      <c r="D119" s="288">
        <f>1</f>
        <v>1</v>
      </c>
      <c r="E119" s="287">
        <f t="shared" si="5"/>
        <v>1</v>
      </c>
      <c r="F119" s="269"/>
      <c r="G119" s="269"/>
      <c r="H119" s="269"/>
      <c r="I119" s="269"/>
      <c r="U119" s="202">
        <f t="shared" si="11"/>
        <v>1900</v>
      </c>
      <c r="V119" s="199">
        <f t="shared" si="6"/>
        <v>4074943.3434961871</v>
      </c>
      <c r="W119" s="56">
        <f>1</f>
        <v>1</v>
      </c>
      <c r="X119" s="158">
        <f t="shared" si="7"/>
        <v>1</v>
      </c>
      <c r="Y119" s="200">
        <f t="shared" si="8"/>
        <v>2</v>
      </c>
      <c r="Z119" s="194">
        <f t="shared" si="9"/>
        <v>8149886.6869923742</v>
      </c>
    </row>
    <row r="120" spans="2:26" ht="20" thickBot="1" x14ac:dyDescent="0.3">
      <c r="C120" s="205">
        <f t="shared" si="10"/>
        <v>2000</v>
      </c>
      <c r="D120" s="292">
        <f>1</f>
        <v>1</v>
      </c>
      <c r="E120" s="293">
        <f xml:space="preserve"> PRODUCT(D120)</f>
        <v>1</v>
      </c>
      <c r="F120" s="269"/>
      <c r="G120" s="269"/>
      <c r="H120" s="269"/>
      <c r="I120" s="269"/>
      <c r="U120" s="205">
        <f t="shared" si="11"/>
        <v>2000</v>
      </c>
      <c r="V120" s="207">
        <f t="shared" si="6"/>
        <v>4632469.425374628</v>
      </c>
      <c r="W120" s="208">
        <f>1</f>
        <v>1</v>
      </c>
      <c r="X120" s="209">
        <f t="shared" si="7"/>
        <v>1</v>
      </c>
      <c r="Y120" s="210">
        <f t="shared" si="8"/>
        <v>2</v>
      </c>
      <c r="Z120" s="194">
        <f t="shared" si="9"/>
        <v>9264938.8507492561</v>
      </c>
    </row>
    <row r="122" spans="2:26" ht="17" thickBot="1" x14ac:dyDescent="0.25"/>
    <row r="123" spans="2:26" ht="32" thickBot="1" x14ac:dyDescent="0.5">
      <c r="C123" s="366" t="s">
        <v>92</v>
      </c>
      <c r="D123" s="177">
        <v>1</v>
      </c>
      <c r="E123" s="175" t="s">
        <v>93</v>
      </c>
      <c r="F123" s="284"/>
      <c r="G123" s="284"/>
      <c r="H123" s="284"/>
      <c r="I123" s="284"/>
      <c r="J123" s="284"/>
      <c r="K123" s="284"/>
      <c r="L123" s="284"/>
      <c r="M123" s="381"/>
    </row>
    <row r="124" spans="2:26" ht="20" thickBot="1" x14ac:dyDescent="0.3">
      <c r="C124" s="185">
        <v>298.14999999999998</v>
      </c>
      <c r="D124" s="380">
        <f>1</f>
        <v>1</v>
      </c>
      <c r="E124" s="274">
        <f>D124</f>
        <v>1</v>
      </c>
      <c r="F124" s="269"/>
      <c r="G124" s="269"/>
      <c r="H124" s="269"/>
      <c r="I124" s="269"/>
      <c r="J124" s="269"/>
      <c r="K124" s="269"/>
      <c r="L124" s="269"/>
    </row>
    <row r="127" spans="2:26" ht="19" x14ac:dyDescent="0.25">
      <c r="B127" s="56"/>
      <c r="C127" s="56"/>
      <c r="D127" s="56"/>
      <c r="E127" s="56"/>
      <c r="F127" s="56" t="s">
        <v>77</v>
      </c>
      <c r="G127" s="56"/>
      <c r="H127" s="56"/>
      <c r="I127" s="56"/>
      <c r="J127" s="56"/>
      <c r="K127" s="56"/>
      <c r="L127" s="56"/>
      <c r="M127" s="56"/>
      <c r="N127" s="56"/>
      <c r="O127" s="56"/>
    </row>
    <row r="128" spans="2:26" ht="27" x14ac:dyDescent="0.35">
      <c r="B128" s="56"/>
      <c r="C128" s="149" t="s">
        <v>100</v>
      </c>
      <c r="D128" s="150"/>
      <c r="E128" s="56"/>
      <c r="F128" s="56"/>
      <c r="G128" s="56"/>
      <c r="H128" s="56"/>
      <c r="I128" s="56"/>
      <c r="J128" s="56"/>
      <c r="K128" s="56"/>
      <c r="L128" s="56"/>
      <c r="M128" s="56"/>
      <c r="N128" s="56"/>
      <c r="O128" s="56"/>
    </row>
    <row r="129" spans="2:15" ht="20" thickBot="1" x14ac:dyDescent="0.3">
      <c r="B129" s="56"/>
      <c r="C129" s="56"/>
      <c r="D129" s="56"/>
      <c r="E129" s="56"/>
      <c r="F129" s="56"/>
      <c r="G129" s="56"/>
      <c r="H129" s="56"/>
      <c r="I129" s="56"/>
      <c r="J129" s="56"/>
      <c r="K129" s="56"/>
      <c r="L129" s="56"/>
      <c r="M129" s="56"/>
      <c r="N129" s="56"/>
      <c r="O129" s="56"/>
    </row>
    <row r="130" spans="2:15" ht="20" thickBot="1" x14ac:dyDescent="0.3">
      <c r="B130" s="56"/>
      <c r="C130" s="57" t="s">
        <v>34</v>
      </c>
      <c r="D130" s="58"/>
      <c r="E130" s="58"/>
      <c r="F130" s="59"/>
      <c r="G130" s="56"/>
      <c r="H130" s="56"/>
      <c r="I130" s="56"/>
      <c r="J130" s="56"/>
      <c r="K130" s="56"/>
      <c r="L130" s="56"/>
      <c r="M130" s="56"/>
      <c r="N130" s="56"/>
      <c r="O130" s="56"/>
    </row>
    <row r="131" spans="2:15" ht="20" thickBot="1" x14ac:dyDescent="0.3">
      <c r="B131" s="56"/>
      <c r="C131" s="62"/>
      <c r="D131" s="63" t="s">
        <v>37</v>
      </c>
      <c r="E131" s="64" t="s">
        <v>38</v>
      </c>
      <c r="F131" s="65" t="s">
        <v>39</v>
      </c>
      <c r="G131" s="56"/>
      <c r="H131" s="56"/>
      <c r="I131" s="56"/>
      <c r="J131" s="56"/>
      <c r="K131" s="56"/>
      <c r="L131" s="56"/>
      <c r="M131" s="56"/>
      <c r="N131" s="56"/>
      <c r="O131" s="56"/>
    </row>
    <row r="132" spans="2:15" ht="22" thickBot="1" x14ac:dyDescent="0.3">
      <c r="B132" s="56"/>
      <c r="C132" s="212" t="s">
        <v>101</v>
      </c>
      <c r="D132" s="90">
        <f>D24*($Q$8)^2</f>
        <v>1.1170140000000001E-48</v>
      </c>
      <c r="E132" s="90">
        <f t="shared" ref="E132:F132" si="13">E24*($Q$8)^2</f>
        <v>1.7883014000000001E-47</v>
      </c>
      <c r="F132" s="90">
        <f t="shared" si="13"/>
        <v>3.8712694000000007E-47</v>
      </c>
      <c r="G132" s="56"/>
      <c r="H132" s="56"/>
      <c r="I132" s="56"/>
      <c r="J132" s="56"/>
      <c r="K132" s="56"/>
      <c r="L132" s="56"/>
      <c r="M132" s="56"/>
      <c r="N132" s="56"/>
      <c r="O132" s="56"/>
    </row>
    <row r="133" spans="2:15" ht="19" x14ac:dyDescent="0.25">
      <c r="B133" s="56"/>
      <c r="C133" s="56"/>
      <c r="D133" s="56"/>
      <c r="E133" s="56"/>
      <c r="F133" s="56"/>
      <c r="G133" s="56"/>
      <c r="H133" s="56"/>
      <c r="I133" s="56"/>
      <c r="J133" s="56"/>
      <c r="K133" s="56"/>
      <c r="L133" s="56"/>
      <c r="M133" s="56"/>
      <c r="N133" s="56"/>
      <c r="O133" s="56"/>
    </row>
    <row r="134" spans="2:15" ht="19" x14ac:dyDescent="0.25">
      <c r="B134" s="56"/>
      <c r="C134" s="56"/>
      <c r="D134" s="56"/>
      <c r="E134" s="56"/>
      <c r="F134" s="56"/>
      <c r="G134" s="56"/>
      <c r="H134" s="56"/>
      <c r="I134" s="56"/>
      <c r="J134" s="56"/>
      <c r="K134" s="56"/>
      <c r="L134" s="56"/>
      <c r="M134" s="56"/>
      <c r="N134" s="56"/>
      <c r="O134" s="56"/>
    </row>
    <row r="135" spans="2:15" ht="20" thickBot="1" x14ac:dyDescent="0.3">
      <c r="B135" s="56"/>
      <c r="C135" s="56"/>
      <c r="D135" s="56"/>
      <c r="E135" s="56"/>
      <c r="F135" s="56"/>
      <c r="G135" s="56"/>
      <c r="H135" s="56"/>
      <c r="I135" s="56"/>
      <c r="J135" s="56"/>
      <c r="K135" s="56"/>
      <c r="L135" s="56"/>
      <c r="M135" s="56"/>
      <c r="N135" s="56"/>
      <c r="O135" s="56"/>
    </row>
    <row r="136" spans="2:15" ht="23" thickBot="1" x14ac:dyDescent="0.35">
      <c r="B136" s="56"/>
      <c r="C136" s="213" t="s">
        <v>79</v>
      </c>
      <c r="D136" s="151" t="s">
        <v>136</v>
      </c>
      <c r="E136" s="294"/>
      <c r="F136" s="56"/>
      <c r="G136" s="56"/>
      <c r="H136" s="153" t="s">
        <v>82</v>
      </c>
      <c r="I136" s="154"/>
      <c r="J136" s="154"/>
      <c r="K136" s="154"/>
      <c r="L136" s="154"/>
      <c r="M136" s="154"/>
      <c r="N136" s="154"/>
      <c r="O136" s="56"/>
    </row>
    <row r="137" spans="2:15" ht="20" thickBot="1" x14ac:dyDescent="0.3">
      <c r="B137" s="56"/>
      <c r="C137" s="155">
        <v>298.14999999999998</v>
      </c>
      <c r="D137" s="157">
        <f>1</f>
        <v>1</v>
      </c>
      <c r="E137" s="158"/>
      <c r="F137" s="158"/>
      <c r="G137" s="56"/>
      <c r="H137" s="56"/>
      <c r="I137" s="56"/>
      <c r="J137" s="56"/>
      <c r="K137" s="56"/>
      <c r="L137" s="56"/>
      <c r="M137" s="56"/>
      <c r="N137" s="56"/>
      <c r="O137" s="56"/>
    </row>
    <row r="138" spans="2:15" ht="20" thickBot="1" x14ac:dyDescent="0.3">
      <c r="B138" s="56"/>
      <c r="C138" s="155">
        <v>300</v>
      </c>
      <c r="D138" s="157">
        <f>1</f>
        <v>1</v>
      </c>
      <c r="E138" s="158"/>
      <c r="F138" s="56"/>
      <c r="G138" s="56"/>
      <c r="L138" s="151" t="s">
        <v>83</v>
      </c>
      <c r="M138" s="294"/>
      <c r="N138" s="56"/>
      <c r="O138" s="56"/>
    </row>
    <row r="139" spans="2:15" ht="19" x14ac:dyDescent="0.25">
      <c r="B139" s="56"/>
      <c r="C139" s="159">
        <f>C138+100</f>
        <v>400</v>
      </c>
      <c r="D139" s="161">
        <f>1</f>
        <v>1</v>
      </c>
      <c r="E139" s="158"/>
      <c r="F139" s="56"/>
      <c r="G139" s="111"/>
      <c r="H139" s="56"/>
      <c r="K139" s="162" t="s">
        <v>84</v>
      </c>
      <c r="L139" s="129">
        <f>1</f>
        <v>1</v>
      </c>
      <c r="M139" s="158"/>
      <c r="N139" s="56"/>
      <c r="O139" s="56"/>
    </row>
    <row r="140" spans="2:15" ht="20" thickBot="1" x14ac:dyDescent="0.3">
      <c r="B140" s="56"/>
      <c r="C140" s="159">
        <f t="shared" ref="C140:C155" si="14">C139+100</f>
        <v>500</v>
      </c>
      <c r="D140" s="161">
        <f>1</f>
        <v>1</v>
      </c>
      <c r="E140" s="158"/>
      <c r="F140" s="56"/>
      <c r="G140" s="56"/>
      <c r="K140" s="163" t="s">
        <v>85</v>
      </c>
      <c r="L140" s="147">
        <f>P34</f>
        <v>1</v>
      </c>
      <c r="M140" s="158"/>
      <c r="N140" s="56"/>
      <c r="O140" s="56"/>
    </row>
    <row r="141" spans="2:15" ht="22" x14ac:dyDescent="0.3">
      <c r="B141" s="56"/>
      <c r="C141" s="159">
        <f t="shared" si="14"/>
        <v>600</v>
      </c>
      <c r="D141" s="161">
        <f>1</f>
        <v>1</v>
      </c>
      <c r="E141" s="158"/>
      <c r="F141" s="56"/>
      <c r="G141" s="56"/>
      <c r="H141" s="56"/>
      <c r="I141" s="56"/>
      <c r="K141" s="164" t="s">
        <v>86</v>
      </c>
      <c r="L141" s="165">
        <f>ABS(L139-L140)/L139</f>
        <v>0</v>
      </c>
      <c r="M141" s="295"/>
      <c r="N141" s="56"/>
      <c r="O141" s="56"/>
    </row>
    <row r="142" spans="2:15" ht="19" x14ac:dyDescent="0.25">
      <c r="B142" s="56"/>
      <c r="C142" s="159">
        <f t="shared" si="14"/>
        <v>700</v>
      </c>
      <c r="D142" s="161">
        <f>1</f>
        <v>1</v>
      </c>
      <c r="E142" s="158"/>
      <c r="F142" s="56"/>
      <c r="G142" s="56"/>
    </row>
    <row r="143" spans="2:15" ht="19" x14ac:dyDescent="0.25">
      <c r="B143" s="56"/>
      <c r="C143" s="159">
        <f t="shared" si="14"/>
        <v>800</v>
      </c>
      <c r="D143" s="161">
        <f>1</f>
        <v>1</v>
      </c>
      <c r="E143" s="158"/>
      <c r="F143" s="56"/>
      <c r="G143" s="56"/>
    </row>
    <row r="144" spans="2:15" ht="19" x14ac:dyDescent="0.25">
      <c r="B144" s="56"/>
      <c r="C144" s="159">
        <f t="shared" si="14"/>
        <v>900</v>
      </c>
      <c r="D144" s="161">
        <f>1</f>
        <v>1</v>
      </c>
      <c r="E144" s="158"/>
      <c r="F144" s="56"/>
      <c r="G144" s="56"/>
    </row>
    <row r="145" spans="3:5" ht="19" x14ac:dyDescent="0.25">
      <c r="C145" s="159">
        <f t="shared" si="14"/>
        <v>1000</v>
      </c>
      <c r="D145" s="161">
        <f>1</f>
        <v>1</v>
      </c>
      <c r="E145" s="158"/>
    </row>
    <row r="146" spans="3:5" ht="19" x14ac:dyDescent="0.25">
      <c r="C146" s="159">
        <f t="shared" si="14"/>
        <v>1100</v>
      </c>
      <c r="D146" s="161">
        <f>1</f>
        <v>1</v>
      </c>
      <c r="E146" s="158"/>
    </row>
    <row r="147" spans="3:5" ht="19" x14ac:dyDescent="0.25">
      <c r="C147" s="159">
        <f t="shared" si="14"/>
        <v>1200</v>
      </c>
      <c r="D147" s="161">
        <f>1</f>
        <v>1</v>
      </c>
      <c r="E147" s="158"/>
    </row>
    <row r="148" spans="3:5" ht="19" x14ac:dyDescent="0.25">
      <c r="C148" s="159">
        <f t="shared" si="14"/>
        <v>1300</v>
      </c>
      <c r="D148" s="161">
        <f>1</f>
        <v>1</v>
      </c>
      <c r="E148" s="158"/>
    </row>
    <row r="149" spans="3:5" ht="19" x14ac:dyDescent="0.25">
      <c r="C149" s="159">
        <f t="shared" si="14"/>
        <v>1400</v>
      </c>
      <c r="D149" s="161">
        <f>1</f>
        <v>1</v>
      </c>
      <c r="E149" s="158"/>
    </row>
    <row r="150" spans="3:5" ht="19" x14ac:dyDescent="0.25">
      <c r="C150" s="159">
        <f t="shared" si="14"/>
        <v>1500</v>
      </c>
      <c r="D150" s="161">
        <f>1</f>
        <v>1</v>
      </c>
      <c r="E150" s="158"/>
    </row>
    <row r="151" spans="3:5" ht="19" x14ac:dyDescent="0.25">
      <c r="C151" s="159">
        <f t="shared" si="14"/>
        <v>1600</v>
      </c>
      <c r="D151" s="161">
        <f>1</f>
        <v>1</v>
      </c>
      <c r="E151" s="158"/>
    </row>
    <row r="152" spans="3:5" ht="19" x14ac:dyDescent="0.25">
      <c r="C152" s="159">
        <f t="shared" si="14"/>
        <v>1700</v>
      </c>
      <c r="D152" s="161">
        <f>1</f>
        <v>1</v>
      </c>
      <c r="E152" s="158"/>
    </row>
    <row r="153" spans="3:5" ht="19" x14ac:dyDescent="0.25">
      <c r="C153" s="159">
        <f t="shared" si="14"/>
        <v>1800</v>
      </c>
      <c r="D153" s="161">
        <f>1</f>
        <v>1</v>
      </c>
      <c r="E153" s="158"/>
    </row>
    <row r="154" spans="3:5" ht="19" x14ac:dyDescent="0.25">
      <c r="C154" s="159">
        <f t="shared" si="14"/>
        <v>1900</v>
      </c>
      <c r="D154" s="161">
        <f>1</f>
        <v>1</v>
      </c>
      <c r="E154" s="158"/>
    </row>
    <row r="155" spans="3:5" ht="20" thickBot="1" x14ac:dyDescent="0.3">
      <c r="C155" s="166">
        <f t="shared" si="14"/>
        <v>2000</v>
      </c>
      <c r="D155" s="168">
        <f>1</f>
        <v>1</v>
      </c>
    </row>
    <row r="162" spans="2:16" ht="19" x14ac:dyDescent="0.25">
      <c r="B162" s="56"/>
      <c r="C162" s="56"/>
      <c r="D162" s="56"/>
      <c r="E162" s="56"/>
      <c r="F162" s="56"/>
      <c r="G162" s="56"/>
      <c r="H162" s="56"/>
      <c r="I162" s="56"/>
      <c r="J162" s="56"/>
      <c r="K162" s="56"/>
      <c r="L162" s="56"/>
      <c r="M162" s="56"/>
      <c r="N162" s="56"/>
      <c r="O162" s="56"/>
      <c r="P162" s="56"/>
    </row>
    <row r="163" spans="2:16" ht="19" x14ac:dyDescent="0.25">
      <c r="B163" s="56"/>
      <c r="C163" s="56"/>
      <c r="D163" s="56"/>
      <c r="E163" s="56"/>
      <c r="F163" s="56" t="s">
        <v>77</v>
      </c>
      <c r="G163" s="56"/>
      <c r="H163" s="56"/>
      <c r="I163" s="56"/>
      <c r="J163" s="56"/>
      <c r="K163" s="56"/>
      <c r="L163" s="56"/>
      <c r="M163" s="56"/>
      <c r="N163" s="56"/>
      <c r="O163" s="56"/>
    </row>
    <row r="164" spans="2:16" ht="27" x14ac:dyDescent="0.35">
      <c r="B164" s="56"/>
      <c r="C164" s="149" t="s">
        <v>107</v>
      </c>
      <c r="D164" s="150"/>
      <c r="E164" s="56"/>
      <c r="F164" s="56"/>
      <c r="G164" s="56"/>
      <c r="H164" s="56"/>
      <c r="I164" s="56"/>
      <c r="J164" s="56"/>
      <c r="K164" s="56"/>
      <c r="L164" s="56"/>
      <c r="M164" s="56"/>
      <c r="N164" s="56"/>
      <c r="O164" s="56"/>
    </row>
    <row r="165" spans="2:16" ht="19" x14ac:dyDescent="0.25">
      <c r="B165" s="56"/>
      <c r="C165" s="56"/>
      <c r="D165" s="56"/>
      <c r="E165" s="56"/>
      <c r="F165" s="56"/>
      <c r="G165" s="56"/>
      <c r="H165" s="56"/>
      <c r="I165" s="56"/>
      <c r="J165" s="56"/>
      <c r="K165" s="56"/>
      <c r="L165" s="56"/>
      <c r="M165" s="56"/>
      <c r="N165" s="56"/>
      <c r="O165" s="56"/>
    </row>
    <row r="166" spans="2:16" ht="20" thickBot="1" x14ac:dyDescent="0.3">
      <c r="B166" s="56"/>
      <c r="C166" s="137" t="s">
        <v>108</v>
      </c>
      <c r="F166" s="56"/>
      <c r="G166" s="56"/>
      <c r="H166" s="56"/>
      <c r="I166" s="56"/>
      <c r="J166" s="56"/>
      <c r="K166" s="56"/>
      <c r="L166" s="56"/>
      <c r="M166" s="56"/>
      <c r="N166" s="56"/>
      <c r="O166" s="56"/>
    </row>
    <row r="167" spans="2:16" ht="20" thickBot="1" x14ac:dyDescent="0.3">
      <c r="B167" s="56"/>
      <c r="C167" s="180"/>
      <c r="D167" s="138">
        <v>1</v>
      </c>
      <c r="E167" s="140" t="s">
        <v>109</v>
      </c>
      <c r="G167" s="56"/>
      <c r="H167" s="56"/>
      <c r="I167" s="56"/>
      <c r="J167" s="56"/>
      <c r="K167" s="56"/>
      <c r="L167" s="56"/>
      <c r="M167" s="56"/>
      <c r="N167" s="56"/>
      <c r="O167" s="56"/>
    </row>
    <row r="168" spans="2:16" ht="20" thickBot="1" x14ac:dyDescent="0.3">
      <c r="B168" s="56"/>
      <c r="C168" s="214" t="s">
        <v>110</v>
      </c>
      <c r="D168" s="215">
        <f>J$46</f>
        <v>-0.50027278419099996</v>
      </c>
      <c r="E168" s="215">
        <f t="shared" ref="E168" si="15">K$46</f>
        <v>-0.50027278419099996</v>
      </c>
      <c r="F168" s="415"/>
      <c r="G168" s="56"/>
      <c r="H168" s="56"/>
      <c r="I168" s="56"/>
      <c r="J168" s="56"/>
      <c r="K168" s="56"/>
      <c r="L168" s="56"/>
      <c r="M168" s="56"/>
      <c r="N168" s="56"/>
      <c r="O168" s="56"/>
    </row>
    <row r="169" spans="2:16" ht="20" thickBot="1" x14ac:dyDescent="0.3">
      <c r="B169" s="56"/>
      <c r="C169" s="216" t="s">
        <v>111</v>
      </c>
      <c r="D169" s="217">
        <f>D168*$K$7</f>
        <v>-2.1811893390727599E-18</v>
      </c>
      <c r="E169" s="217">
        <f t="shared" ref="E169" si="16">E168*$K$7</f>
        <v>-2.1811893390727599E-18</v>
      </c>
      <c r="F169" s="266"/>
      <c r="G169" s="56"/>
      <c r="H169" s="56"/>
      <c r="I169" s="56"/>
      <c r="J169" s="56"/>
      <c r="K169" s="56"/>
      <c r="L169" s="56"/>
      <c r="M169" s="56"/>
      <c r="N169" s="56"/>
      <c r="O169" s="56"/>
    </row>
    <row r="170" spans="2:16" ht="20" thickBot="1" x14ac:dyDescent="0.3">
      <c r="B170" s="56"/>
      <c r="D170" s="56"/>
      <c r="E170" s="56"/>
      <c r="F170" s="56"/>
      <c r="G170" s="56"/>
      <c r="H170" s="56"/>
      <c r="I170" s="56"/>
      <c r="J170" s="56"/>
      <c r="K170" s="56"/>
      <c r="L170" s="56"/>
      <c r="M170" s="56"/>
      <c r="N170" s="56"/>
      <c r="O170" s="56"/>
    </row>
    <row r="171" spans="2:16" ht="22" thickBot="1" x14ac:dyDescent="0.35">
      <c r="B171" s="56"/>
      <c r="C171" s="218" t="s">
        <v>112</v>
      </c>
      <c r="D171" s="56"/>
      <c r="E171" s="56"/>
      <c r="F171" s="56"/>
      <c r="G171" s="56"/>
      <c r="H171" s="56"/>
      <c r="I171" s="56"/>
      <c r="J171" s="56"/>
      <c r="K171" s="56"/>
      <c r="L171" s="56"/>
      <c r="M171" s="56"/>
      <c r="N171" s="56"/>
      <c r="O171" s="56"/>
    </row>
    <row r="172" spans="2:16" ht="23" thickBot="1" x14ac:dyDescent="0.35">
      <c r="B172" s="56"/>
      <c r="C172" s="219">
        <f>E169+L23</f>
        <v>-2.1811893390727599E-18</v>
      </c>
      <c r="F172" s="56"/>
      <c r="G172" s="56"/>
      <c r="H172" s="153" t="s">
        <v>82</v>
      </c>
      <c r="I172" s="154"/>
      <c r="J172" s="154"/>
      <c r="K172" s="154"/>
      <c r="L172" s="154"/>
      <c r="M172" s="154"/>
      <c r="N172" s="56"/>
      <c r="O172" s="56"/>
    </row>
    <row r="173" spans="2:16" ht="20" thickBot="1" x14ac:dyDescent="0.3">
      <c r="B173" s="56"/>
      <c r="F173" s="158"/>
      <c r="G173" s="56"/>
      <c r="H173" s="56"/>
      <c r="I173" s="56"/>
      <c r="J173" s="56"/>
      <c r="K173" s="56"/>
      <c r="L173" s="56"/>
      <c r="M173" s="56"/>
      <c r="N173" s="56"/>
      <c r="O173" s="56"/>
    </row>
    <row r="174" spans="2:16" ht="22" thickBot="1" x14ac:dyDescent="0.3">
      <c r="B174" s="56"/>
      <c r="C174" s="213" t="s">
        <v>79</v>
      </c>
      <c r="D174" s="220" t="s">
        <v>113</v>
      </c>
      <c r="F174" s="56"/>
      <c r="G174" s="56"/>
      <c r="L174" s="151" t="s">
        <v>83</v>
      </c>
      <c r="M174" s="56"/>
      <c r="N174" s="56"/>
      <c r="O174" s="56"/>
    </row>
    <row r="175" spans="2:16" ht="20" thickBot="1" x14ac:dyDescent="0.3">
      <c r="B175" s="56"/>
      <c r="C175" s="155">
        <v>298.14999999999998</v>
      </c>
      <c r="D175" s="157">
        <f>2</f>
        <v>2</v>
      </c>
      <c r="F175" s="56"/>
      <c r="G175" s="56"/>
      <c r="K175" s="162" t="s">
        <v>84</v>
      </c>
      <c r="L175" s="129">
        <f>2</f>
        <v>2</v>
      </c>
      <c r="M175" s="56"/>
      <c r="N175" s="56"/>
      <c r="O175" s="56"/>
    </row>
    <row r="176" spans="2:16" ht="20" thickBot="1" x14ac:dyDescent="0.3">
      <c r="B176" s="56"/>
      <c r="C176" s="155">
        <v>300</v>
      </c>
      <c r="D176" s="157">
        <f>2</f>
        <v>2</v>
      </c>
      <c r="F176" s="56"/>
      <c r="G176" s="56"/>
      <c r="K176" s="163" t="s">
        <v>85</v>
      </c>
      <c r="L176" s="147">
        <f>P32</f>
        <v>2</v>
      </c>
      <c r="M176" s="56"/>
      <c r="N176" s="56"/>
      <c r="O176" s="56"/>
    </row>
    <row r="177" spans="2:15" ht="22" x14ac:dyDescent="0.3">
      <c r="B177" s="56"/>
      <c r="C177" s="159">
        <f>C176+100</f>
        <v>400</v>
      </c>
      <c r="D177" s="161">
        <f>2</f>
        <v>2</v>
      </c>
      <c r="F177" s="56"/>
      <c r="G177" s="56"/>
      <c r="H177" s="56"/>
      <c r="I177" s="56"/>
      <c r="K177" s="164" t="s">
        <v>86</v>
      </c>
      <c r="L177" s="165">
        <f>ABS(L175-L176)/L175</f>
        <v>0</v>
      </c>
      <c r="M177" s="56"/>
      <c r="N177" s="56"/>
      <c r="O177" s="56"/>
    </row>
    <row r="178" spans="2:15" ht="19" x14ac:dyDescent="0.25">
      <c r="B178" s="56"/>
      <c r="C178" s="159">
        <f t="shared" ref="C178:C193" si="17">C177+100</f>
        <v>500</v>
      </c>
      <c r="D178" s="161">
        <f>2</f>
        <v>2</v>
      </c>
      <c r="F178" s="56"/>
      <c r="G178" s="56"/>
    </row>
    <row r="179" spans="2:15" ht="19" x14ac:dyDescent="0.25">
      <c r="B179" s="56"/>
      <c r="C179" s="159">
        <f t="shared" si="17"/>
        <v>600</v>
      </c>
      <c r="D179" s="161">
        <f>2</f>
        <v>2</v>
      </c>
      <c r="F179" s="56"/>
      <c r="G179" s="56"/>
    </row>
    <row r="180" spans="2:15" ht="19" x14ac:dyDescent="0.25">
      <c r="B180" s="56"/>
      <c r="C180" s="159">
        <f t="shared" si="17"/>
        <v>700</v>
      </c>
      <c r="D180" s="161">
        <f>2</f>
        <v>2</v>
      </c>
      <c r="F180" s="56"/>
      <c r="G180" s="56"/>
    </row>
    <row r="181" spans="2:15" ht="19" x14ac:dyDescent="0.25">
      <c r="C181" s="159">
        <f t="shared" si="17"/>
        <v>800</v>
      </c>
      <c r="D181" s="161">
        <f>2</f>
        <v>2</v>
      </c>
    </row>
    <row r="182" spans="2:15" ht="19" x14ac:dyDescent="0.25">
      <c r="C182" s="159">
        <f t="shared" si="17"/>
        <v>900</v>
      </c>
      <c r="D182" s="161">
        <f>2</f>
        <v>2</v>
      </c>
    </row>
    <row r="183" spans="2:15" ht="19" x14ac:dyDescent="0.25">
      <c r="C183" s="159">
        <f t="shared" si="17"/>
        <v>1000</v>
      </c>
      <c r="D183" s="161">
        <f>2</f>
        <v>2</v>
      </c>
    </row>
    <row r="184" spans="2:15" ht="19" x14ac:dyDescent="0.25">
      <c r="C184" s="159">
        <f t="shared" si="17"/>
        <v>1100</v>
      </c>
      <c r="D184" s="161">
        <f>2</f>
        <v>2</v>
      </c>
    </row>
    <row r="185" spans="2:15" ht="19" x14ac:dyDescent="0.25">
      <c r="C185" s="159">
        <f t="shared" si="17"/>
        <v>1200</v>
      </c>
      <c r="D185" s="161">
        <f>2</f>
        <v>2</v>
      </c>
    </row>
    <row r="186" spans="2:15" ht="19" x14ac:dyDescent="0.25">
      <c r="C186" s="159">
        <f t="shared" si="17"/>
        <v>1300</v>
      </c>
      <c r="D186" s="161">
        <f>2</f>
        <v>2</v>
      </c>
    </row>
    <row r="187" spans="2:15" ht="19" x14ac:dyDescent="0.25">
      <c r="C187" s="159">
        <f t="shared" si="17"/>
        <v>1400</v>
      </c>
      <c r="D187" s="161">
        <f>2</f>
        <v>2</v>
      </c>
    </row>
    <row r="188" spans="2:15" ht="19" x14ac:dyDescent="0.25">
      <c r="C188" s="159">
        <f t="shared" si="17"/>
        <v>1500</v>
      </c>
      <c r="D188" s="161">
        <f>2</f>
        <v>2</v>
      </c>
    </row>
    <row r="189" spans="2:15" ht="19" x14ac:dyDescent="0.25">
      <c r="C189" s="159">
        <f t="shared" si="17"/>
        <v>1600</v>
      </c>
      <c r="D189" s="161">
        <f>2</f>
        <v>2</v>
      </c>
    </row>
    <row r="190" spans="2:15" ht="19" x14ac:dyDescent="0.25">
      <c r="C190" s="159">
        <f t="shared" si="17"/>
        <v>1700</v>
      </c>
      <c r="D190" s="161">
        <f>2</f>
        <v>2</v>
      </c>
    </row>
    <row r="191" spans="2:15" ht="19" x14ac:dyDescent="0.25">
      <c r="C191" s="159">
        <f t="shared" si="17"/>
        <v>1800</v>
      </c>
      <c r="D191" s="161">
        <f>2</f>
        <v>2</v>
      </c>
    </row>
    <row r="192" spans="2:15" ht="19" x14ac:dyDescent="0.25">
      <c r="C192" s="159">
        <f t="shared" si="17"/>
        <v>1900</v>
      </c>
      <c r="D192" s="161">
        <f>2</f>
        <v>2</v>
      </c>
    </row>
    <row r="193" spans="3:11" ht="20" thickBot="1" x14ac:dyDescent="0.3">
      <c r="C193" s="166">
        <f t="shared" si="17"/>
        <v>2000</v>
      </c>
      <c r="D193" s="168">
        <f>2</f>
        <v>2</v>
      </c>
    </row>
    <row r="197" spans="3:11" ht="17" thickBot="1" x14ac:dyDescent="0.25"/>
    <row r="198" spans="3:11" ht="20" thickBot="1" x14ac:dyDescent="0.3">
      <c r="E198" s="56"/>
      <c r="F198" s="56" t="s">
        <v>77</v>
      </c>
      <c r="G198" s="56"/>
      <c r="H198" s="476" t="s">
        <v>114</v>
      </c>
      <c r="I198" s="477"/>
      <c r="J198" s="477"/>
      <c r="K198" s="478"/>
    </row>
    <row r="199" spans="3:11" ht="28" thickBot="1" x14ac:dyDescent="0.4">
      <c r="C199" s="149" t="s">
        <v>115</v>
      </c>
      <c r="D199" s="150"/>
      <c r="E199" s="56"/>
      <c r="F199" s="56"/>
      <c r="G199" s="56"/>
      <c r="H199" s="221" t="s">
        <v>116</v>
      </c>
      <c r="I199" s="221" t="s">
        <v>117</v>
      </c>
      <c r="J199" s="221" t="s">
        <v>118</v>
      </c>
      <c r="K199" s="221" t="s">
        <v>119</v>
      </c>
    </row>
    <row r="202" spans="3:11" ht="17" thickBot="1" x14ac:dyDescent="0.25"/>
    <row r="203" spans="3:11" ht="20" thickBot="1" x14ac:dyDescent="0.25">
      <c r="D203" s="461" t="s">
        <v>120</v>
      </c>
      <c r="E203" s="462"/>
    </row>
    <row r="204" spans="3:11" ht="20" thickBot="1" x14ac:dyDescent="0.3">
      <c r="D204" s="173" t="s">
        <v>121</v>
      </c>
      <c r="E204" s="222" t="s">
        <v>122</v>
      </c>
    </row>
    <row r="205" spans="3:11" ht="19" x14ac:dyDescent="0.25">
      <c r="C205" s="82" t="s">
        <v>45</v>
      </c>
      <c r="D205" s="325">
        <f>$Q23</f>
        <v>2.9809999999999999</v>
      </c>
      <c r="E205" s="129">
        <f>D205*4.184</f>
        <v>12.472504000000001</v>
      </c>
    </row>
    <row r="206" spans="3:11" ht="19" x14ac:dyDescent="0.25">
      <c r="C206" s="88" t="s">
        <v>48</v>
      </c>
      <c r="D206" s="87">
        <f t="shared" ref="D206:D209" si="18">$Q24</f>
        <v>0</v>
      </c>
      <c r="E206" s="135">
        <f t="shared" ref="E206:E209" si="19">D206*4.184</f>
        <v>0</v>
      </c>
    </row>
    <row r="207" spans="3:11" ht="19" x14ac:dyDescent="0.25">
      <c r="C207" s="88" t="s">
        <v>50</v>
      </c>
      <c r="D207" s="87">
        <f t="shared" si="18"/>
        <v>2.9809999999999999</v>
      </c>
      <c r="E207" s="135">
        <f t="shared" si="19"/>
        <v>12.472504000000001</v>
      </c>
    </row>
    <row r="208" spans="3:11" ht="19" x14ac:dyDescent="0.25">
      <c r="C208" s="88" t="s">
        <v>52</v>
      </c>
      <c r="D208" s="87">
        <f t="shared" si="18"/>
        <v>0</v>
      </c>
      <c r="E208" s="135">
        <f t="shared" si="19"/>
        <v>0</v>
      </c>
    </row>
    <row r="209" spans="3:16" ht="20" thickBot="1" x14ac:dyDescent="0.3">
      <c r="C209" s="93" t="s">
        <v>55</v>
      </c>
      <c r="D209" s="90">
        <f t="shared" si="18"/>
        <v>0</v>
      </c>
      <c r="E209" s="147">
        <f t="shared" si="19"/>
        <v>0</v>
      </c>
      <c r="K209">
        <f>COLUMN(E205)</f>
        <v>5</v>
      </c>
    </row>
    <row r="210" spans="3:16" ht="24" customHeight="1" x14ac:dyDescent="0.2"/>
    <row r="211" spans="3:16" ht="17" thickBot="1" x14ac:dyDescent="0.25"/>
    <row r="212" spans="3:16" ht="23" thickBot="1" x14ac:dyDescent="0.35">
      <c r="D212" s="464" t="s">
        <v>122</v>
      </c>
      <c r="E212" s="465"/>
      <c r="F212" s="465"/>
      <c r="G212" s="465"/>
      <c r="H212" s="466"/>
      <c r="J212" s="153" t="s">
        <v>82</v>
      </c>
      <c r="K212" s="154"/>
      <c r="L212" s="154"/>
      <c r="M212" s="154"/>
      <c r="N212" s="154"/>
      <c r="O212" s="154"/>
      <c r="P212" s="56"/>
    </row>
    <row r="213" spans="3:16" ht="20" thickBot="1" x14ac:dyDescent="0.3">
      <c r="C213" s="213" t="s">
        <v>79</v>
      </c>
      <c r="D213" s="224" t="s">
        <v>123</v>
      </c>
      <c r="E213" s="225" t="s">
        <v>124</v>
      </c>
      <c r="F213" s="225" t="s">
        <v>125</v>
      </c>
      <c r="G213" s="226" t="s">
        <v>126</v>
      </c>
      <c r="H213" s="218" t="s">
        <v>127</v>
      </c>
      <c r="J213" s="56"/>
      <c r="K213" s="56"/>
      <c r="L213" s="56"/>
      <c r="M213" s="56"/>
      <c r="N213" s="56"/>
      <c r="O213" s="56"/>
      <c r="P213" s="56"/>
    </row>
    <row r="214" spans="3:16" ht="20" thickBot="1" x14ac:dyDescent="0.3">
      <c r="C214" s="185">
        <v>298.14999999999998</v>
      </c>
      <c r="D214" s="262">
        <f>3*$B$7/2</f>
        <v>12.471599999999999</v>
      </c>
      <c r="E214" s="263">
        <v>0</v>
      </c>
      <c r="F214" s="263">
        <v>0</v>
      </c>
      <c r="G214" s="263">
        <v>0</v>
      </c>
      <c r="H214" s="230">
        <f t="shared" ref="H214:H232" si="20">SUM(D214:G214)</f>
        <v>12.471599999999999</v>
      </c>
      <c r="K214" s="224" t="s">
        <v>123</v>
      </c>
      <c r="L214" s="225" t="s">
        <v>124</v>
      </c>
      <c r="M214" s="225" t="s">
        <v>125</v>
      </c>
      <c r="N214" s="226" t="s">
        <v>126</v>
      </c>
      <c r="O214" s="218" t="s">
        <v>127</v>
      </c>
      <c r="P214" s="56"/>
    </row>
    <row r="215" spans="3:16" ht="19" x14ac:dyDescent="0.25">
      <c r="C215" s="155">
        <v>300</v>
      </c>
      <c r="D215" s="262">
        <f>3*$B$7/2</f>
        <v>12.471599999999999</v>
      </c>
      <c r="E215" s="263">
        <v>0</v>
      </c>
      <c r="F215" s="263">
        <v>0</v>
      </c>
      <c r="G215" s="296">
        <v>0</v>
      </c>
      <c r="H215" s="230">
        <f t="shared" si="20"/>
        <v>12.471599999999999</v>
      </c>
      <c r="J215" s="162" t="s">
        <v>84</v>
      </c>
      <c r="K215" s="129">
        <f>D$214</f>
        <v>12.471599999999999</v>
      </c>
      <c r="L215" s="129">
        <f t="shared" ref="L215:O215" si="21">E$214</f>
        <v>0</v>
      </c>
      <c r="M215" s="129">
        <f t="shared" si="21"/>
        <v>0</v>
      </c>
      <c r="N215" s="129">
        <f t="shared" si="21"/>
        <v>0</v>
      </c>
      <c r="O215" s="129">
        <f t="shared" si="21"/>
        <v>12.471599999999999</v>
      </c>
      <c r="P215" s="56"/>
    </row>
    <row r="216" spans="3:16" ht="20" thickBot="1" x14ac:dyDescent="0.3">
      <c r="C216" s="159">
        <f>C215+100</f>
        <v>400</v>
      </c>
      <c r="D216" s="266">
        <f t="shared" ref="D216:D232" si="22">3*$B$7/2</f>
        <v>12.471599999999999</v>
      </c>
      <c r="E216" s="267">
        <v>0</v>
      </c>
      <c r="F216" s="267">
        <v>0</v>
      </c>
      <c r="G216" s="297">
        <v>0</v>
      </c>
      <c r="H216" s="310">
        <f t="shared" si="20"/>
        <v>12.471599999999999</v>
      </c>
      <c r="J216" s="163" t="s">
        <v>85</v>
      </c>
      <c r="K216" s="147">
        <f>E207</f>
        <v>12.472504000000001</v>
      </c>
      <c r="L216" s="147">
        <f>E209</f>
        <v>0</v>
      </c>
      <c r="M216" s="147">
        <f>E208</f>
        <v>0</v>
      </c>
      <c r="N216" s="147">
        <f>E206</f>
        <v>0</v>
      </c>
      <c r="O216" s="147">
        <f>E205</f>
        <v>12.472504000000001</v>
      </c>
      <c r="P216" s="56"/>
    </row>
    <row r="217" spans="3:16" ht="22" x14ac:dyDescent="0.3">
      <c r="C217" s="159">
        <f t="shared" ref="C217:C232" si="23">C216+100</f>
        <v>500</v>
      </c>
      <c r="D217" s="266">
        <f t="shared" si="22"/>
        <v>12.471599999999999</v>
      </c>
      <c r="E217" s="267">
        <v>0</v>
      </c>
      <c r="F217" s="267">
        <v>0</v>
      </c>
      <c r="G217" s="297">
        <v>0</v>
      </c>
      <c r="H217" s="310">
        <f t="shared" si="20"/>
        <v>12.471599999999999</v>
      </c>
      <c r="J217" s="164" t="s">
        <v>86</v>
      </c>
      <c r="K217" s="165">
        <f>IFERROR(ABS(K215-K216)/K215,0)</f>
        <v>7.2484685204946797E-5</v>
      </c>
      <c r="L217" s="165">
        <f t="shared" ref="L217:O217" si="24">IFERROR(ABS(L215-L216)/L215,0)</f>
        <v>0</v>
      </c>
      <c r="M217" s="165">
        <f t="shared" si="24"/>
        <v>0</v>
      </c>
      <c r="N217" s="165">
        <f t="shared" si="24"/>
        <v>0</v>
      </c>
      <c r="O217" s="165">
        <f t="shared" si="24"/>
        <v>7.2484685204946797E-5</v>
      </c>
      <c r="P217" s="56"/>
    </row>
    <row r="218" spans="3:16" ht="19" x14ac:dyDescent="0.25">
      <c r="C218" s="159">
        <f t="shared" si="23"/>
        <v>600</v>
      </c>
      <c r="D218" s="266">
        <f t="shared" si="22"/>
        <v>12.471599999999999</v>
      </c>
      <c r="E218" s="267">
        <v>0</v>
      </c>
      <c r="F218" s="267">
        <v>0</v>
      </c>
      <c r="G218" s="297">
        <v>0</v>
      </c>
      <c r="H218" s="310">
        <f t="shared" si="20"/>
        <v>12.471599999999999</v>
      </c>
    </row>
    <row r="219" spans="3:16" ht="19" x14ac:dyDescent="0.25">
      <c r="C219" s="159">
        <f t="shared" si="23"/>
        <v>700</v>
      </c>
      <c r="D219" s="266">
        <f t="shared" si="22"/>
        <v>12.471599999999999</v>
      </c>
      <c r="E219" s="267">
        <v>0</v>
      </c>
      <c r="F219" s="267">
        <v>0</v>
      </c>
      <c r="G219" s="297">
        <v>0</v>
      </c>
      <c r="H219" s="310">
        <f t="shared" si="20"/>
        <v>12.471599999999999</v>
      </c>
    </row>
    <row r="220" spans="3:16" ht="19" x14ac:dyDescent="0.25">
      <c r="C220" s="159">
        <f t="shared" si="23"/>
        <v>800</v>
      </c>
      <c r="D220" s="266">
        <f t="shared" si="22"/>
        <v>12.471599999999999</v>
      </c>
      <c r="E220" s="267">
        <v>0</v>
      </c>
      <c r="F220" s="267">
        <v>0</v>
      </c>
      <c r="G220" s="297">
        <v>0</v>
      </c>
      <c r="H220" s="310">
        <f t="shared" si="20"/>
        <v>12.471599999999999</v>
      </c>
    </row>
    <row r="221" spans="3:16" ht="19" x14ac:dyDescent="0.25">
      <c r="C221" s="159">
        <f t="shared" si="23"/>
        <v>900</v>
      </c>
      <c r="D221" s="266">
        <f t="shared" si="22"/>
        <v>12.471599999999999</v>
      </c>
      <c r="E221" s="267">
        <v>0</v>
      </c>
      <c r="F221" s="267">
        <v>0</v>
      </c>
      <c r="G221" s="297">
        <v>0</v>
      </c>
      <c r="H221" s="310">
        <f t="shared" si="20"/>
        <v>12.471599999999999</v>
      </c>
    </row>
    <row r="222" spans="3:16" ht="19" x14ac:dyDescent="0.25">
      <c r="C222" s="159">
        <f t="shared" si="23"/>
        <v>1000</v>
      </c>
      <c r="D222" s="266">
        <f t="shared" si="22"/>
        <v>12.471599999999999</v>
      </c>
      <c r="E222" s="267">
        <v>0</v>
      </c>
      <c r="F222" s="267">
        <v>0</v>
      </c>
      <c r="G222" s="297">
        <v>0</v>
      </c>
      <c r="H222" s="310">
        <f t="shared" si="20"/>
        <v>12.471599999999999</v>
      </c>
    </row>
    <row r="223" spans="3:16" ht="19" x14ac:dyDescent="0.25">
      <c r="C223" s="159">
        <f t="shared" si="23"/>
        <v>1100</v>
      </c>
      <c r="D223" s="266">
        <f t="shared" si="22"/>
        <v>12.471599999999999</v>
      </c>
      <c r="E223" s="267">
        <v>0</v>
      </c>
      <c r="F223" s="267">
        <v>0</v>
      </c>
      <c r="G223" s="297">
        <v>0</v>
      </c>
      <c r="H223" s="310">
        <f t="shared" si="20"/>
        <v>12.471599999999999</v>
      </c>
    </row>
    <row r="224" spans="3:16" ht="19" x14ac:dyDescent="0.25">
      <c r="C224" s="159">
        <f t="shared" si="23"/>
        <v>1200</v>
      </c>
      <c r="D224" s="266">
        <f t="shared" si="22"/>
        <v>12.471599999999999</v>
      </c>
      <c r="E224" s="267">
        <v>0</v>
      </c>
      <c r="F224" s="267">
        <v>0</v>
      </c>
      <c r="G224" s="297">
        <v>0</v>
      </c>
      <c r="H224" s="310">
        <f t="shared" si="20"/>
        <v>12.471599999999999</v>
      </c>
    </row>
    <row r="225" spans="3:11" ht="19" x14ac:dyDescent="0.25">
      <c r="C225" s="159">
        <f t="shared" si="23"/>
        <v>1300</v>
      </c>
      <c r="D225" s="266">
        <f t="shared" si="22"/>
        <v>12.471599999999999</v>
      </c>
      <c r="E225" s="267">
        <v>0</v>
      </c>
      <c r="F225" s="267">
        <v>0</v>
      </c>
      <c r="G225" s="297">
        <v>0</v>
      </c>
      <c r="H225" s="310">
        <f t="shared" si="20"/>
        <v>12.471599999999999</v>
      </c>
    </row>
    <row r="226" spans="3:11" ht="19" x14ac:dyDescent="0.25">
      <c r="C226" s="159">
        <f t="shared" si="23"/>
        <v>1400</v>
      </c>
      <c r="D226" s="266">
        <f t="shared" si="22"/>
        <v>12.471599999999999</v>
      </c>
      <c r="E226" s="267">
        <v>0</v>
      </c>
      <c r="F226" s="267">
        <v>0</v>
      </c>
      <c r="G226" s="297">
        <v>0</v>
      </c>
      <c r="H226" s="310">
        <f t="shared" si="20"/>
        <v>12.471599999999999</v>
      </c>
    </row>
    <row r="227" spans="3:11" ht="19" x14ac:dyDescent="0.25">
      <c r="C227" s="159">
        <f t="shared" si="23"/>
        <v>1500</v>
      </c>
      <c r="D227" s="266">
        <f t="shared" si="22"/>
        <v>12.471599999999999</v>
      </c>
      <c r="E227" s="267">
        <v>0</v>
      </c>
      <c r="F227" s="267">
        <v>0</v>
      </c>
      <c r="G227" s="297">
        <v>0</v>
      </c>
      <c r="H227" s="310">
        <f t="shared" si="20"/>
        <v>12.471599999999999</v>
      </c>
    </row>
    <row r="228" spans="3:11" ht="19" x14ac:dyDescent="0.25">
      <c r="C228" s="159">
        <f t="shared" si="23"/>
        <v>1600</v>
      </c>
      <c r="D228" s="266">
        <f t="shared" si="22"/>
        <v>12.471599999999999</v>
      </c>
      <c r="E228" s="267">
        <v>0</v>
      </c>
      <c r="F228" s="267">
        <v>0</v>
      </c>
      <c r="G228" s="297">
        <v>0</v>
      </c>
      <c r="H228" s="310">
        <f t="shared" si="20"/>
        <v>12.471599999999999</v>
      </c>
    </row>
    <row r="229" spans="3:11" ht="19" x14ac:dyDescent="0.25">
      <c r="C229" s="159">
        <f t="shared" si="23"/>
        <v>1700</v>
      </c>
      <c r="D229" s="266">
        <f t="shared" si="22"/>
        <v>12.471599999999999</v>
      </c>
      <c r="E229" s="267">
        <v>0</v>
      </c>
      <c r="F229" s="267">
        <v>0</v>
      </c>
      <c r="G229" s="297">
        <v>0</v>
      </c>
      <c r="H229" s="310">
        <f t="shared" si="20"/>
        <v>12.471599999999999</v>
      </c>
    </row>
    <row r="230" spans="3:11" ht="19" x14ac:dyDescent="0.25">
      <c r="C230" s="159">
        <f t="shared" si="23"/>
        <v>1800</v>
      </c>
      <c r="D230" s="266">
        <f t="shared" si="22"/>
        <v>12.471599999999999</v>
      </c>
      <c r="E230" s="267">
        <v>0</v>
      </c>
      <c r="F230" s="267">
        <v>0</v>
      </c>
      <c r="G230" s="297">
        <v>0</v>
      </c>
      <c r="H230" s="310">
        <f t="shared" si="20"/>
        <v>12.471599999999999</v>
      </c>
    </row>
    <row r="231" spans="3:11" ht="19" x14ac:dyDescent="0.25">
      <c r="C231" s="159">
        <f t="shared" si="23"/>
        <v>1900</v>
      </c>
      <c r="D231" s="266">
        <f t="shared" si="22"/>
        <v>12.471599999999999</v>
      </c>
      <c r="E231" s="267">
        <v>0</v>
      </c>
      <c r="F231" s="267">
        <v>0</v>
      </c>
      <c r="G231" s="297">
        <v>0</v>
      </c>
      <c r="H231" s="310">
        <f t="shared" si="20"/>
        <v>12.471599999999999</v>
      </c>
    </row>
    <row r="232" spans="3:11" ht="20" thickBot="1" x14ac:dyDescent="0.3">
      <c r="C232" s="166">
        <f t="shared" si="23"/>
        <v>2000</v>
      </c>
      <c r="D232" s="272">
        <f t="shared" si="22"/>
        <v>12.471599999999999</v>
      </c>
      <c r="E232" s="273">
        <v>0</v>
      </c>
      <c r="F232" s="273">
        <v>0</v>
      </c>
      <c r="G232" s="298">
        <v>0</v>
      </c>
      <c r="H232" s="311">
        <f t="shared" si="20"/>
        <v>12.471599999999999</v>
      </c>
    </row>
    <row r="238" spans="3:11" ht="17" thickBot="1" x14ac:dyDescent="0.25"/>
    <row r="239" spans="3:11" ht="20" thickBot="1" x14ac:dyDescent="0.3">
      <c r="E239" s="56"/>
      <c r="F239" s="56" t="s">
        <v>77</v>
      </c>
      <c r="G239" s="56"/>
      <c r="H239" s="476" t="s">
        <v>114</v>
      </c>
      <c r="I239" s="477"/>
      <c r="J239" s="477"/>
      <c r="K239" s="478"/>
    </row>
    <row r="240" spans="3:11" ht="28" thickBot="1" x14ac:dyDescent="0.4">
      <c r="C240" s="149" t="s">
        <v>128</v>
      </c>
      <c r="D240" s="150"/>
      <c r="E240" s="56"/>
      <c r="F240" s="56"/>
      <c r="G240" s="56"/>
      <c r="H240" s="221" t="s">
        <v>116</v>
      </c>
      <c r="I240" s="221" t="s">
        <v>117</v>
      </c>
      <c r="J240" s="221" t="s">
        <v>118</v>
      </c>
      <c r="K240" s="221" t="s">
        <v>119</v>
      </c>
    </row>
    <row r="244" spans="3:10" ht="20" thickBot="1" x14ac:dyDescent="0.25">
      <c r="D244" s="479"/>
      <c r="E244" s="479"/>
    </row>
    <row r="245" spans="3:10" ht="20" thickBot="1" x14ac:dyDescent="0.25">
      <c r="D245" s="461" t="s">
        <v>129</v>
      </c>
      <c r="E245" s="462"/>
    </row>
    <row r="246" spans="3:10" ht="20" thickBot="1" x14ac:dyDescent="0.3">
      <c r="D246" s="173" t="s">
        <v>121</v>
      </c>
      <c r="E246" s="222" t="s">
        <v>122</v>
      </c>
    </row>
    <row r="247" spans="3:10" ht="19" x14ac:dyDescent="0.25">
      <c r="C247" s="82" t="s">
        <v>45</v>
      </c>
      <c r="D247" s="289">
        <f>$R23</f>
        <v>27.391999999999999</v>
      </c>
      <c r="E247" s="129">
        <f>D247*4.184</f>
        <v>114.60812800000001</v>
      </c>
    </row>
    <row r="248" spans="3:10" ht="19" x14ac:dyDescent="0.25">
      <c r="C248" s="88" t="s">
        <v>48</v>
      </c>
      <c r="D248" s="326">
        <f t="shared" ref="D248:D251" si="25">$R24</f>
        <v>1.377</v>
      </c>
      <c r="E248" s="135">
        <f t="shared" ref="E248:E251" si="26">D248*4.184</f>
        <v>5.761368</v>
      </c>
    </row>
    <row r="249" spans="3:10" ht="19" x14ac:dyDescent="0.25">
      <c r="C249" s="88" t="s">
        <v>50</v>
      </c>
      <c r="D249" s="326">
        <f t="shared" si="25"/>
        <v>26.013999999999999</v>
      </c>
      <c r="E249" s="135">
        <f t="shared" si="26"/>
        <v>108.84257600000001</v>
      </c>
    </row>
    <row r="250" spans="3:10" ht="19" x14ac:dyDescent="0.25">
      <c r="C250" s="88" t="s">
        <v>52</v>
      </c>
      <c r="D250" s="326">
        <f t="shared" si="25"/>
        <v>0</v>
      </c>
      <c r="E250" s="135">
        <f t="shared" si="26"/>
        <v>0</v>
      </c>
    </row>
    <row r="251" spans="3:10" ht="20" thickBot="1" x14ac:dyDescent="0.3">
      <c r="C251" s="93" t="s">
        <v>55</v>
      </c>
      <c r="D251" s="327">
        <f t="shared" si="25"/>
        <v>0</v>
      </c>
      <c r="E251" s="147">
        <f t="shared" si="26"/>
        <v>0</v>
      </c>
    </row>
    <row r="253" spans="3:10" ht="17" thickBot="1" x14ac:dyDescent="0.25"/>
    <row r="254" spans="3:10" ht="20" thickBot="1" x14ac:dyDescent="0.3">
      <c r="C254" s="57" t="s">
        <v>34</v>
      </c>
      <c r="D254" s="242"/>
      <c r="E254" s="242"/>
      <c r="F254" s="242"/>
      <c r="G254" s="243"/>
      <c r="I254" s="66" t="s">
        <v>130</v>
      </c>
      <c r="J254" s="244">
        <f>($B$14^2)/(8*PI()*PI()*$G$258*$B$8)</f>
        <v>9.4413881949532694</v>
      </c>
    </row>
    <row r="255" spans="3:10" ht="20" thickBot="1" x14ac:dyDescent="0.3">
      <c r="C255" s="245"/>
      <c r="D255" s="63" t="s">
        <v>37</v>
      </c>
      <c r="E255" s="64" t="s">
        <v>38</v>
      </c>
      <c r="F255" s="65" t="s">
        <v>39</v>
      </c>
      <c r="G255" s="218" t="s">
        <v>127</v>
      </c>
      <c r="I255" s="111"/>
      <c r="J255" s="111"/>
    </row>
    <row r="256" spans="3:10" ht="22" thickBot="1" x14ac:dyDescent="0.3">
      <c r="C256" s="74" t="s">
        <v>44</v>
      </c>
      <c r="D256" s="328">
        <f>D$23</f>
        <v>6.7290000000000003E-2</v>
      </c>
      <c r="E256" s="76">
        <f t="shared" ref="E256:F256" si="27">E$23</f>
        <v>1.0772900000000001</v>
      </c>
      <c r="F256" s="329">
        <f t="shared" si="27"/>
        <v>2.33209</v>
      </c>
      <c r="G256" s="194">
        <f>SQRT(F256^2 + E256^2 + D256^2)</f>
        <v>2.569771479392672</v>
      </c>
      <c r="J256" s="111"/>
    </row>
    <row r="257" spans="1:18" ht="22" thickBot="1" x14ac:dyDescent="0.3">
      <c r="C257" s="86" t="s">
        <v>47</v>
      </c>
      <c r="D257" s="246">
        <f>D256*$U$9</f>
        <v>1.117014E-28</v>
      </c>
      <c r="E257" s="223">
        <f t="shared" ref="E257:F257" si="28">E256*$U$9</f>
        <v>1.7883014E-27</v>
      </c>
      <c r="F257" s="330">
        <f t="shared" si="28"/>
        <v>3.8712694000000001E-27</v>
      </c>
      <c r="G257" s="194">
        <f t="shared" ref="G257:G258" si="29">SQRT(F257^2 + E257^2 + D257^2)</f>
        <v>4.2658206557918347E-27</v>
      </c>
    </row>
    <row r="258" spans="1:18" ht="22" thickBot="1" x14ac:dyDescent="0.3">
      <c r="C258" s="89" t="s">
        <v>49</v>
      </c>
      <c r="D258" s="90">
        <f>D257*($Q$8)^2</f>
        <v>1.1170140000000001E-48</v>
      </c>
      <c r="E258" s="91">
        <f>E257*($Q$8)^2</f>
        <v>1.7883014000000001E-47</v>
      </c>
      <c r="F258" s="247">
        <f t="shared" ref="F258" si="30">F257*($Q$8)^2</f>
        <v>3.8712694000000007E-47</v>
      </c>
      <c r="G258" s="194">
        <f t="shared" si="29"/>
        <v>4.2658206557918358E-47</v>
      </c>
    </row>
    <row r="259" spans="1:18" ht="17" thickBot="1" x14ac:dyDescent="0.25"/>
    <row r="260" spans="1:18" ht="20" thickBot="1" x14ac:dyDescent="0.3">
      <c r="F260" s="248" t="s">
        <v>122</v>
      </c>
      <c r="G260" s="249"/>
      <c r="H260" s="249"/>
      <c r="I260" s="249"/>
      <c r="J260" s="250"/>
    </row>
    <row r="261" spans="1:18" ht="23" thickBot="1" x14ac:dyDescent="0.35">
      <c r="C261" s="213" t="s">
        <v>79</v>
      </c>
      <c r="D261" s="251" t="s">
        <v>131</v>
      </c>
      <c r="E261" s="185" t="s">
        <v>132</v>
      </c>
      <c r="F261" s="252" t="s">
        <v>123</v>
      </c>
      <c r="G261" s="253" t="s">
        <v>124</v>
      </c>
      <c r="H261" s="253" t="s">
        <v>125</v>
      </c>
      <c r="I261" s="254" t="s">
        <v>126</v>
      </c>
      <c r="J261" s="218" t="s">
        <v>127</v>
      </c>
      <c r="L261" s="153" t="s">
        <v>82</v>
      </c>
      <c r="M261" s="154"/>
      <c r="N261" s="154"/>
      <c r="O261" s="154"/>
      <c r="P261" s="154"/>
      <c r="Q261" s="154"/>
    </row>
    <row r="262" spans="1:18" ht="20" thickBot="1" x14ac:dyDescent="0.3">
      <c r="C262" s="185">
        <v>298.14999999999998</v>
      </c>
      <c r="D262" s="255">
        <f>$B$7*C262/$B$16</f>
        <v>2.4465219442388352E-2</v>
      </c>
      <c r="E262" s="256">
        <f>((2*PI()*$A$28*$U$9*$B$8*$C262)/($B$14*$B$14))^(3/2)</f>
        <v>9.7841433754858247E+29</v>
      </c>
      <c r="F262" s="257">
        <f t="shared" ref="F262:F280" si="31">$B$7*LN(($D262/$B$6)*EXP(5/2)*E262)</f>
        <v>108.83822435209699</v>
      </c>
      <c r="G262" s="259">
        <f>0</f>
        <v>0</v>
      </c>
      <c r="H262" s="259">
        <f>0</f>
        <v>0</v>
      </c>
      <c r="I262" s="299">
        <f xml:space="preserve"> $B$7*LN(2)</f>
        <v>5.7631029180476085</v>
      </c>
      <c r="J262" s="261">
        <f t="shared" ref="J262:J280" si="32">SUM(F262:I262)</f>
        <v>114.60132727014459</v>
      </c>
      <c r="L262" s="56"/>
      <c r="M262" s="56"/>
      <c r="N262" s="56"/>
      <c r="O262" s="56"/>
      <c r="P262" s="56"/>
      <c r="Q262" s="56"/>
    </row>
    <row r="263" spans="1:18" ht="20" thickBot="1" x14ac:dyDescent="0.3">
      <c r="C263" s="155">
        <v>300</v>
      </c>
      <c r="D263" s="255">
        <f>$B$7*C263/$B$16</f>
        <v>2.4617024426350848E-2</v>
      </c>
      <c r="E263" s="256">
        <f>((2*PI()*$A$28*$U$9*$B$8*$C263)/($B$14*$B$14))^(3/2)</f>
        <v>9.8753493856317975E+29</v>
      </c>
      <c r="F263" s="266">
        <f t="shared" si="31"/>
        <v>108.9668015404812</v>
      </c>
      <c r="G263" s="267">
        <f>0</f>
        <v>0</v>
      </c>
      <c r="H263" s="267">
        <f>0</f>
        <v>0</v>
      </c>
      <c r="I263" s="296">
        <f t="shared" ref="I263:I280" si="33" xml:space="preserve"> $B$7*LN(2)</f>
        <v>5.7631029180476085</v>
      </c>
      <c r="J263" s="261">
        <f t="shared" si="32"/>
        <v>114.72990445852881</v>
      </c>
      <c r="N263" s="224" t="s">
        <v>123</v>
      </c>
      <c r="O263" s="225" t="s">
        <v>124</v>
      </c>
      <c r="P263" s="225" t="s">
        <v>125</v>
      </c>
      <c r="Q263" s="226" t="s">
        <v>126</v>
      </c>
      <c r="R263" s="218" t="s">
        <v>127</v>
      </c>
    </row>
    <row r="264" spans="1:18" ht="20" thickBot="1" x14ac:dyDescent="0.3">
      <c r="C264" s="159">
        <f>C263+100</f>
        <v>400</v>
      </c>
      <c r="D264" s="264">
        <f t="shared" ref="D264:D280" si="34">$B$7*C264/$B$16</f>
        <v>3.2822699235134464E-2</v>
      </c>
      <c r="E264" s="265">
        <f t="shared" ref="E264:E280" si="35">(2*PI()*$A$28*$U$9*$B$8*$C264/($B$14)^2)^(3/2)</f>
        <v>1.5204095003029802E+30</v>
      </c>
      <c r="F264" s="266">
        <f t="shared" si="31"/>
        <v>114.94656109846397</v>
      </c>
      <c r="G264" s="267">
        <f>0</f>
        <v>0</v>
      </c>
      <c r="H264" s="267">
        <f>0</f>
        <v>0</v>
      </c>
      <c r="I264" s="297">
        <f t="shared" si="33"/>
        <v>5.7631029180476085</v>
      </c>
      <c r="J264" s="312">
        <f t="shared" si="32"/>
        <v>120.70966401651158</v>
      </c>
      <c r="M264" s="162" t="s">
        <v>84</v>
      </c>
      <c r="N264" s="268">
        <f>F$262</f>
        <v>108.83822435209699</v>
      </c>
      <c r="O264" s="268">
        <f>G$262</f>
        <v>0</v>
      </c>
      <c r="P264" s="268">
        <f>H$262</f>
        <v>0</v>
      </c>
      <c r="Q264" s="268">
        <f>I$262</f>
        <v>5.7631029180476085</v>
      </c>
      <c r="R264" s="268">
        <f>J$262</f>
        <v>114.60132727014459</v>
      </c>
    </row>
    <row r="265" spans="1:18" ht="20" thickBot="1" x14ac:dyDescent="0.3">
      <c r="C265" s="159">
        <f t="shared" ref="C265:C280" si="36">C264+100</f>
        <v>500</v>
      </c>
      <c r="D265" s="264">
        <f t="shared" si="34"/>
        <v>4.1028374043918084E-2</v>
      </c>
      <c r="E265" s="265">
        <f t="shared" si="35"/>
        <v>2.124836872696201E+30</v>
      </c>
      <c r="F265" s="266">
        <f t="shared" si="31"/>
        <v>119.58482295608108</v>
      </c>
      <c r="G265" s="267">
        <f>0</f>
        <v>0</v>
      </c>
      <c r="H265" s="267">
        <f>0</f>
        <v>0</v>
      </c>
      <c r="I265" s="297">
        <f t="shared" si="33"/>
        <v>5.7631029180476085</v>
      </c>
      <c r="J265" s="312">
        <f t="shared" si="32"/>
        <v>125.34792587412869</v>
      </c>
      <c r="M265" s="163" t="s">
        <v>85</v>
      </c>
      <c r="N265" s="268">
        <f>E249</f>
        <v>108.84257600000001</v>
      </c>
      <c r="O265" s="268">
        <f>E251</f>
        <v>0</v>
      </c>
      <c r="P265" s="268">
        <f>E250</f>
        <v>0</v>
      </c>
      <c r="Q265" s="268">
        <f>E248</f>
        <v>5.761368</v>
      </c>
      <c r="R265" s="268">
        <f>E247</f>
        <v>114.60812800000001</v>
      </c>
    </row>
    <row r="266" spans="1:18" ht="22" x14ac:dyDescent="0.3">
      <c r="C266" s="159">
        <f t="shared" si="36"/>
        <v>600</v>
      </c>
      <c r="D266" s="264">
        <f t="shared" si="34"/>
        <v>4.9234048852701696E-2</v>
      </c>
      <c r="E266" s="265">
        <f t="shared" si="35"/>
        <v>2.7931706068666675E+30</v>
      </c>
      <c r="F266" s="266">
        <f t="shared" si="31"/>
        <v>123.37455883560023</v>
      </c>
      <c r="G266" s="267">
        <f>0</f>
        <v>0</v>
      </c>
      <c r="H266" s="267">
        <f>0</f>
        <v>0</v>
      </c>
      <c r="I266" s="297">
        <f t="shared" si="33"/>
        <v>5.7631029180476085</v>
      </c>
      <c r="J266" s="312">
        <f t="shared" si="32"/>
        <v>129.13766175364785</v>
      </c>
      <c r="L266" s="56"/>
      <c r="M266" s="164" t="s">
        <v>86</v>
      </c>
      <c r="N266" s="165">
        <f>IFERROR(ABS(N264-N265)/N264,0)</f>
        <v>3.9982716815958679E-5</v>
      </c>
      <c r="O266" s="165">
        <f t="shared" ref="O266:R266" si="37">IFERROR(ABS(O264-O265)/O264,0)</f>
        <v>0</v>
      </c>
      <c r="P266" s="165">
        <f t="shared" si="37"/>
        <v>0</v>
      </c>
      <c r="Q266" s="165">
        <f t="shared" si="37"/>
        <v>3.0103887997132075E-4</v>
      </c>
      <c r="R266" s="165">
        <f t="shared" si="37"/>
        <v>5.9342505164730958E-5</v>
      </c>
    </row>
    <row r="267" spans="1:18" ht="19" x14ac:dyDescent="0.25">
      <c r="A267" s="269"/>
      <c r="C267" s="159">
        <f t="shared" si="36"/>
        <v>700</v>
      </c>
      <c r="D267" s="264">
        <f t="shared" si="34"/>
        <v>5.7439723661485309E-2</v>
      </c>
      <c r="E267" s="265">
        <f t="shared" si="35"/>
        <v>3.5197972501839381E+30</v>
      </c>
      <c r="F267" s="266">
        <f t="shared" si="31"/>
        <v>126.57873486648963</v>
      </c>
      <c r="G267" s="267">
        <f>0</f>
        <v>0</v>
      </c>
      <c r="H267" s="267">
        <f>0</f>
        <v>0</v>
      </c>
      <c r="I267" s="297">
        <f t="shared" si="33"/>
        <v>5.7631029180476085</v>
      </c>
      <c r="J267" s="312">
        <f t="shared" si="32"/>
        <v>132.34183778453723</v>
      </c>
    </row>
    <row r="268" spans="1:18" ht="19" x14ac:dyDescent="0.25">
      <c r="A268" s="269"/>
      <c r="C268" s="159">
        <f t="shared" si="36"/>
        <v>800</v>
      </c>
      <c r="D268" s="264">
        <f t="shared" si="34"/>
        <v>6.5645398470268929E-2</v>
      </c>
      <c r="E268" s="265">
        <f t="shared" si="35"/>
        <v>4.3003674713787616E+30</v>
      </c>
      <c r="F268" s="266">
        <f t="shared" si="31"/>
        <v>129.35431839358301</v>
      </c>
      <c r="G268" s="267">
        <f>0</f>
        <v>0</v>
      </c>
      <c r="H268" s="267">
        <f>0</f>
        <v>0</v>
      </c>
      <c r="I268" s="297">
        <f t="shared" si="33"/>
        <v>5.7631029180476085</v>
      </c>
      <c r="J268" s="312">
        <f t="shared" si="32"/>
        <v>135.11742131163064</v>
      </c>
    </row>
    <row r="269" spans="1:18" ht="19" x14ac:dyDescent="0.25">
      <c r="C269" s="159">
        <f t="shared" si="36"/>
        <v>900</v>
      </c>
      <c r="D269" s="264">
        <f t="shared" si="34"/>
        <v>7.3851073279052548E-2</v>
      </c>
      <c r="E269" s="265">
        <f t="shared" si="35"/>
        <v>5.1313820635224936E+30</v>
      </c>
      <c r="F269" s="266">
        <f t="shared" si="31"/>
        <v>131.80255657273648</v>
      </c>
      <c r="G269" s="267">
        <f>0</f>
        <v>0</v>
      </c>
      <c r="H269" s="267">
        <f>0</f>
        <v>0</v>
      </c>
      <c r="I269" s="297">
        <f t="shared" si="33"/>
        <v>5.7631029180476085</v>
      </c>
      <c r="J269" s="312">
        <f t="shared" si="32"/>
        <v>137.5656594907841</v>
      </c>
    </row>
    <row r="270" spans="1:18" ht="19" x14ac:dyDescent="0.25">
      <c r="C270" s="159">
        <f t="shared" si="36"/>
        <v>1000</v>
      </c>
      <c r="D270" s="264">
        <f t="shared" si="34"/>
        <v>8.2056748087836168E-2</v>
      </c>
      <c r="E270" s="265">
        <f t="shared" si="35"/>
        <v>6.0099462463948192E+30</v>
      </c>
      <c r="F270" s="266">
        <f t="shared" si="31"/>
        <v>133.99258025120014</v>
      </c>
      <c r="G270" s="267">
        <f>0</f>
        <v>0</v>
      </c>
      <c r="H270" s="267">
        <f>0</f>
        <v>0</v>
      </c>
      <c r="I270" s="297">
        <f t="shared" si="33"/>
        <v>5.7631029180476085</v>
      </c>
      <c r="J270" s="312">
        <f t="shared" si="32"/>
        <v>139.75568316924776</v>
      </c>
    </row>
    <row r="271" spans="1:18" ht="19" x14ac:dyDescent="0.25">
      <c r="C271" s="159">
        <f t="shared" si="36"/>
        <v>1100</v>
      </c>
      <c r="D271" s="264">
        <f t="shared" si="34"/>
        <v>9.0262422896619773E-2</v>
      </c>
      <c r="E271" s="265">
        <f t="shared" si="35"/>
        <v>6.9336132802704108E+30</v>
      </c>
      <c r="F271" s="266">
        <f t="shared" si="31"/>
        <v>135.97369764861276</v>
      </c>
      <c r="G271" s="267">
        <f>0</f>
        <v>0</v>
      </c>
      <c r="H271" s="267">
        <f>0</f>
        <v>0</v>
      </c>
      <c r="I271" s="297">
        <f t="shared" si="33"/>
        <v>5.7631029180476085</v>
      </c>
      <c r="J271" s="312">
        <f t="shared" si="32"/>
        <v>141.73680056666038</v>
      </c>
    </row>
    <row r="272" spans="1:18" ht="19" x14ac:dyDescent="0.25">
      <c r="C272" s="159">
        <f t="shared" si="36"/>
        <v>1200</v>
      </c>
      <c r="D272" s="264">
        <f t="shared" si="34"/>
        <v>9.8468097705403393E-2</v>
      </c>
      <c r="E272" s="265">
        <f t="shared" si="35"/>
        <v>7.9002795085054819E+30</v>
      </c>
      <c r="F272" s="266">
        <f t="shared" si="31"/>
        <v>137.78231613071929</v>
      </c>
      <c r="G272" s="267">
        <f>0</f>
        <v>0</v>
      </c>
      <c r="H272" s="267">
        <f>0</f>
        <v>0</v>
      </c>
      <c r="I272" s="297">
        <f t="shared" si="33"/>
        <v>5.7631029180476085</v>
      </c>
      <c r="J272" s="312">
        <f t="shared" si="32"/>
        <v>143.54541904876692</v>
      </c>
    </row>
    <row r="273" spans="3:10" ht="19" x14ac:dyDescent="0.25">
      <c r="C273" s="159">
        <f t="shared" si="36"/>
        <v>1300</v>
      </c>
      <c r="D273" s="264">
        <f t="shared" si="34"/>
        <v>0.10667377251418701</v>
      </c>
      <c r="E273" s="265">
        <f t="shared" si="35"/>
        <v>8.9081109211980625E+30</v>
      </c>
      <c r="F273" s="266">
        <f t="shared" si="31"/>
        <v>139.4460838524214</v>
      </c>
      <c r="G273" s="267">
        <f>0</f>
        <v>0</v>
      </c>
      <c r="H273" s="267">
        <f>0</f>
        <v>0</v>
      </c>
      <c r="I273" s="297">
        <f t="shared" si="33"/>
        <v>5.7631029180476085</v>
      </c>
      <c r="J273" s="312">
        <f t="shared" si="32"/>
        <v>145.20918677046902</v>
      </c>
    </row>
    <row r="274" spans="3:10" ht="19" x14ac:dyDescent="0.25">
      <c r="C274" s="159">
        <f t="shared" si="36"/>
        <v>1400</v>
      </c>
      <c r="D274" s="264">
        <f t="shared" si="34"/>
        <v>0.11487944732297062</v>
      </c>
      <c r="E274" s="265">
        <f t="shared" si="35"/>
        <v>9.9554900160273307E+30</v>
      </c>
      <c r="F274" s="266">
        <f t="shared" si="31"/>
        <v>140.98649216160868</v>
      </c>
      <c r="G274" s="267">
        <f>0</f>
        <v>0</v>
      </c>
      <c r="H274" s="267">
        <f>0</f>
        <v>0</v>
      </c>
      <c r="I274" s="297">
        <f t="shared" si="33"/>
        <v>5.7631029180476085</v>
      </c>
      <c r="J274" s="312">
        <f t="shared" si="32"/>
        <v>146.7495950796563</v>
      </c>
    </row>
    <row r="275" spans="3:10" ht="19" x14ac:dyDescent="0.25">
      <c r="C275" s="159">
        <f t="shared" si="36"/>
        <v>1500</v>
      </c>
      <c r="D275" s="264">
        <f t="shared" si="34"/>
        <v>0.12308512213175424</v>
      </c>
      <c r="E275" s="265">
        <f t="shared" si="35"/>
        <v>1.104097626391671E+31</v>
      </c>
      <c r="F275" s="266">
        <f t="shared" si="31"/>
        <v>142.42057798833636</v>
      </c>
      <c r="G275" s="267">
        <f>0</f>
        <v>0</v>
      </c>
      <c r="H275" s="267">
        <f>0</f>
        <v>0</v>
      </c>
      <c r="I275" s="297">
        <f t="shared" si="33"/>
        <v>5.7631029180476085</v>
      </c>
      <c r="J275" s="312">
        <f t="shared" si="32"/>
        <v>148.18368090638398</v>
      </c>
    </row>
    <row r="276" spans="3:10" ht="19" x14ac:dyDescent="0.25">
      <c r="C276" s="159">
        <f t="shared" si="36"/>
        <v>1600</v>
      </c>
      <c r="D276" s="264">
        <f t="shared" si="34"/>
        <v>0.13129079694053786</v>
      </c>
      <c r="E276" s="265">
        <f t="shared" si="35"/>
        <v>1.2163276002423735E+31</v>
      </c>
      <c r="F276" s="266">
        <f t="shared" si="31"/>
        <v>143.76207568870194</v>
      </c>
      <c r="G276" s="267">
        <f>0</f>
        <v>0</v>
      </c>
      <c r="H276" s="267">
        <f>0</f>
        <v>0</v>
      </c>
      <c r="I276" s="297">
        <f t="shared" si="33"/>
        <v>5.7631029180476085</v>
      </c>
      <c r="J276" s="312">
        <f t="shared" si="32"/>
        <v>149.52517860674956</v>
      </c>
    </row>
    <row r="277" spans="3:10" ht="19" x14ac:dyDescent="0.25">
      <c r="C277" s="159">
        <f t="shared" si="36"/>
        <v>1700</v>
      </c>
      <c r="D277" s="264">
        <f t="shared" si="34"/>
        <v>0.13949647174932148</v>
      </c>
      <c r="E277" s="265">
        <f t="shared" si="35"/>
        <v>1.3321219048376207E+31</v>
      </c>
      <c r="F277" s="266">
        <f t="shared" si="31"/>
        <v>145.02221907777843</v>
      </c>
      <c r="G277" s="267">
        <f>0</f>
        <v>0</v>
      </c>
      <c r="H277" s="267">
        <f>0</f>
        <v>0</v>
      </c>
      <c r="I277" s="297">
        <f t="shared" si="33"/>
        <v>5.7631029180476085</v>
      </c>
      <c r="J277" s="312">
        <f t="shared" si="32"/>
        <v>150.78532199582605</v>
      </c>
    </row>
    <row r="278" spans="3:10" ht="19" x14ac:dyDescent="0.25">
      <c r="C278" s="159">
        <f t="shared" si="36"/>
        <v>1800</v>
      </c>
      <c r="D278" s="264">
        <f t="shared" si="34"/>
        <v>0.1477021465581051</v>
      </c>
      <c r="E278" s="265">
        <f t="shared" si="35"/>
        <v>1.4513740215903139E+31</v>
      </c>
      <c r="F278" s="266">
        <f t="shared" si="31"/>
        <v>146.21031386785552</v>
      </c>
      <c r="G278" s="267">
        <f>0</f>
        <v>0</v>
      </c>
      <c r="H278" s="267">
        <f>0</f>
        <v>0</v>
      </c>
      <c r="I278" s="297">
        <f t="shared" si="33"/>
        <v>5.7631029180476085</v>
      </c>
      <c r="J278" s="312">
        <f t="shared" si="32"/>
        <v>151.97341678590314</v>
      </c>
    </row>
    <row r="279" spans="3:10" ht="19" x14ac:dyDescent="0.25">
      <c r="C279" s="159">
        <f t="shared" si="36"/>
        <v>1900</v>
      </c>
      <c r="D279" s="264">
        <f t="shared" si="34"/>
        <v>0.15590782136688872</v>
      </c>
      <c r="E279" s="265">
        <f t="shared" si="35"/>
        <v>1.5739864490972069E+31</v>
      </c>
      <c r="F279" s="266">
        <f t="shared" si="31"/>
        <v>147.33415512917952</v>
      </c>
      <c r="G279" s="267">
        <f>0</f>
        <v>0</v>
      </c>
      <c r="H279" s="267">
        <f>0</f>
        <v>0</v>
      </c>
      <c r="I279" s="297">
        <f t="shared" si="33"/>
        <v>5.7631029180476085</v>
      </c>
      <c r="J279" s="312">
        <f t="shared" si="32"/>
        <v>153.09725804722714</v>
      </c>
    </row>
    <row r="280" spans="3:10" ht="20" thickBot="1" x14ac:dyDescent="0.3">
      <c r="C280" s="166">
        <f t="shared" si="36"/>
        <v>2000</v>
      </c>
      <c r="D280" s="270">
        <f t="shared" si="34"/>
        <v>0.16411349617567234</v>
      </c>
      <c r="E280" s="271">
        <f t="shared" si="35"/>
        <v>1.6998694981569705E+31</v>
      </c>
      <c r="F280" s="272">
        <f t="shared" si="31"/>
        <v>148.40033754631915</v>
      </c>
      <c r="G280" s="273">
        <f>0</f>
        <v>0</v>
      </c>
      <c r="H280" s="273">
        <f>0</f>
        <v>0</v>
      </c>
      <c r="I280" s="298">
        <f t="shared" si="33"/>
        <v>5.7631029180476085</v>
      </c>
      <c r="J280" s="313">
        <f t="shared" si="32"/>
        <v>154.16344046436677</v>
      </c>
    </row>
  </sheetData>
  <mergeCells count="11">
    <mergeCell ref="A18:V18"/>
    <mergeCell ref="A53:V53"/>
    <mergeCell ref="U93:W93"/>
    <mergeCell ref="C100:D100"/>
    <mergeCell ref="D245:E245"/>
    <mergeCell ref="AB101:AH101"/>
    <mergeCell ref="D203:E203"/>
    <mergeCell ref="D212:H212"/>
    <mergeCell ref="H239:K239"/>
    <mergeCell ref="D244:E244"/>
    <mergeCell ref="H198:K19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2AD11-DB2F-2442-B7DB-059C937DF32D}">
  <dimension ref="A3:AH280"/>
  <sheetViews>
    <sheetView topLeftCell="A231" zoomScale="81" workbookViewId="0">
      <selection activeCell="G69" sqref="G69"/>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7.83203125" customWidth="1"/>
    <col min="9" max="9" width="13.6640625" customWidth="1"/>
    <col min="10" max="10" width="14.6640625" customWidth="1"/>
    <col min="11" max="11" width="14.33203125" customWidth="1"/>
    <col min="12" max="12" width="14.1640625" customWidth="1"/>
    <col min="13" max="13" width="16" customWidth="1"/>
    <col min="14" max="14" width="13.33203125" customWidth="1"/>
    <col min="15" max="15" width="14.1640625" customWidth="1"/>
    <col min="16" max="16" width="24" customWidth="1"/>
    <col min="17" max="17" width="21" customWidth="1"/>
    <col min="18" max="18" width="20" customWidth="1"/>
    <col min="21" max="21" width="17.33203125" customWidth="1"/>
    <col min="22" max="22" width="14.6640625" customWidth="1"/>
    <col min="23" max="23" width="14.33203125" customWidth="1"/>
    <col min="24" max="24" width="14.5" customWidth="1"/>
    <col min="25" max="25" width="13.33203125" customWidth="1"/>
    <col min="26" max="26" width="16.33203125" customWidth="1"/>
    <col min="28" max="28" width="13.6640625" customWidth="1"/>
    <col min="30" max="30" width="15.33203125" customWidth="1"/>
    <col min="31" max="31" width="15.5" customWidth="1"/>
    <col min="32" max="32" width="20.33203125" customWidth="1"/>
    <col min="33" max="33" width="15.16406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14">
        <v>1</v>
      </c>
      <c r="F7" s="315">
        <v>27.210699999999999</v>
      </c>
      <c r="G7" s="315">
        <v>219474.63</v>
      </c>
      <c r="H7" s="315">
        <v>627.50300000000004</v>
      </c>
      <c r="I7" s="315">
        <v>2625.5</v>
      </c>
      <c r="J7" s="315">
        <v>315777</v>
      </c>
      <c r="K7" s="315">
        <v>4.3599999999999999E-18</v>
      </c>
      <c r="L7" s="316">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17">
        <v>3.6750199999999997E-2</v>
      </c>
      <c r="F8" s="318">
        <v>1</v>
      </c>
      <c r="G8" s="318">
        <v>8065.73</v>
      </c>
      <c r="H8" s="318">
        <v>23.0609</v>
      </c>
      <c r="I8" s="318">
        <v>96.486900000000006</v>
      </c>
      <c r="J8" s="318">
        <v>11604.9</v>
      </c>
      <c r="K8" s="319">
        <v>1.5999999999999999E-19</v>
      </c>
      <c r="L8" s="320">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17">
        <v>4.5563300000000003E-6</v>
      </c>
      <c r="F9" s="318">
        <v>1.23981E-4</v>
      </c>
      <c r="G9" s="318">
        <v>1</v>
      </c>
      <c r="H9" s="318">
        <v>2.8590999999999998E-3</v>
      </c>
      <c r="I9" s="318">
        <v>1.1963E-2</v>
      </c>
      <c r="J9" s="318">
        <v>1.42879</v>
      </c>
      <c r="K9" s="318">
        <v>1.9863000000000001E-23</v>
      </c>
      <c r="L9" s="320">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17">
        <v>1.59362E-3</v>
      </c>
      <c r="F10" s="318">
        <v>4.3363400000000003E-2</v>
      </c>
      <c r="G10" s="318">
        <v>349.75700000000001</v>
      </c>
      <c r="H10" s="318">
        <v>1</v>
      </c>
      <c r="I10" s="318">
        <v>4.1840000000000002</v>
      </c>
      <c r="J10" s="318">
        <v>503.22800000000001</v>
      </c>
      <c r="K10" s="318">
        <v>6.9500000000000005E-21</v>
      </c>
      <c r="L10" s="320">
        <v>10485400000000</v>
      </c>
    </row>
    <row r="11" spans="1:22" ht="22" x14ac:dyDescent="0.3">
      <c r="A11" s="26" t="s">
        <v>25</v>
      </c>
      <c r="B11" s="48">
        <v>8.8541799999999997E-12</v>
      </c>
      <c r="D11" s="28" t="s">
        <v>10</v>
      </c>
      <c r="E11" s="317">
        <v>3.8088E-4</v>
      </c>
      <c r="F11" s="318">
        <v>1.0364099999999999E-2</v>
      </c>
      <c r="G11" s="318">
        <v>83.593000000000004</v>
      </c>
      <c r="H11" s="318">
        <v>0.23900099999999999</v>
      </c>
      <c r="I11" s="318">
        <v>1</v>
      </c>
      <c r="J11" s="318">
        <v>120.274</v>
      </c>
      <c r="K11" s="318">
        <v>1.6599999999999999E-21</v>
      </c>
      <c r="L11" s="320">
        <v>2506070000000</v>
      </c>
    </row>
    <row r="12" spans="1:22" ht="22" x14ac:dyDescent="0.3">
      <c r="A12" s="46" t="s">
        <v>26</v>
      </c>
      <c r="B12" s="47">
        <v>5.2917700000000002E-12</v>
      </c>
      <c r="D12" s="49" t="s">
        <v>11</v>
      </c>
      <c r="E12" s="317">
        <v>3.1667800000000002E-6</v>
      </c>
      <c r="F12" s="318">
        <v>8.6170500000000004E-5</v>
      </c>
      <c r="G12" s="318">
        <v>0.69502799999999998</v>
      </c>
      <c r="H12" s="318">
        <v>1.9872000000000002E-3</v>
      </c>
      <c r="I12" s="318">
        <v>8.3140000000000002E-3</v>
      </c>
      <c r="J12" s="318">
        <v>1</v>
      </c>
      <c r="K12" s="318">
        <v>1.38054E-23</v>
      </c>
      <c r="L12" s="320">
        <v>20836400000</v>
      </c>
    </row>
    <row r="13" spans="1:22" ht="19" x14ac:dyDescent="0.25">
      <c r="A13" s="26" t="s">
        <v>27</v>
      </c>
      <c r="B13" s="50">
        <f>298.15</f>
        <v>298.14999999999998</v>
      </c>
      <c r="D13" s="28" t="s">
        <v>12</v>
      </c>
      <c r="E13" s="317">
        <v>2.294E+17</v>
      </c>
      <c r="F13" s="318">
        <v>6.24181E+18</v>
      </c>
      <c r="G13" s="318">
        <v>5.0344500000000003E+22</v>
      </c>
      <c r="H13" s="318">
        <v>1.44E+20</v>
      </c>
      <c r="I13" s="318">
        <v>6.02E+20</v>
      </c>
      <c r="J13" s="318">
        <v>7.2435399999999999E+22</v>
      </c>
      <c r="K13" s="318">
        <v>1</v>
      </c>
      <c r="L13" s="320">
        <v>1.5093E+33</v>
      </c>
    </row>
    <row r="14" spans="1:22" ht="20" thickBot="1" x14ac:dyDescent="0.3">
      <c r="A14" s="26" t="s">
        <v>28</v>
      </c>
      <c r="B14" s="51">
        <v>6.626068E-34</v>
      </c>
      <c r="D14" s="52" t="s">
        <v>13</v>
      </c>
      <c r="E14" s="321">
        <v>1.5198300000000001E-16</v>
      </c>
      <c r="F14" s="322">
        <v>4.13558E-15</v>
      </c>
      <c r="G14" s="322">
        <v>3.3356499999999997E-11</v>
      </c>
      <c r="H14" s="322">
        <v>9.5370000000000002E-14</v>
      </c>
      <c r="I14" s="322"/>
      <c r="J14" s="322">
        <v>4.7993E-11</v>
      </c>
      <c r="K14" s="322">
        <v>6.62561E-34</v>
      </c>
      <c r="L14" s="323">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471" t="s">
        <v>137</v>
      </c>
      <c r="B18" s="471"/>
      <c r="C18" s="471"/>
      <c r="D18" s="471"/>
      <c r="E18" s="471"/>
      <c r="F18" s="471"/>
      <c r="G18" s="471"/>
      <c r="H18" s="471"/>
      <c r="I18" s="471"/>
      <c r="J18" s="471"/>
      <c r="K18" s="471"/>
      <c r="L18" s="471"/>
      <c r="M18" s="471"/>
      <c r="N18" s="471"/>
      <c r="O18" s="471"/>
      <c r="P18" s="471"/>
      <c r="Q18" s="471"/>
      <c r="R18" s="471"/>
      <c r="S18" s="471"/>
      <c r="T18" s="471"/>
      <c r="U18" s="471"/>
      <c r="V18" s="471"/>
    </row>
    <row r="19" spans="1:27" ht="17" thickTop="1" x14ac:dyDescent="0.2"/>
    <row r="20" spans="1:27" ht="17" thickBot="1" x14ac:dyDescent="0.25"/>
    <row r="21" spans="1:27" ht="20" thickBot="1" x14ac:dyDescent="0.3">
      <c r="A21" s="55" t="s">
        <v>33</v>
      </c>
      <c r="B21" s="56"/>
      <c r="C21" s="57" t="s">
        <v>34</v>
      </c>
      <c r="D21" s="58"/>
      <c r="E21" s="58"/>
      <c r="F21" s="59"/>
      <c r="G21" s="56"/>
      <c r="H21" s="55" t="s">
        <v>35</v>
      </c>
      <c r="I21" s="56"/>
      <c r="J21" s="56"/>
      <c r="M21" s="56"/>
      <c r="N21" s="56"/>
      <c r="O21" s="60" t="s">
        <v>36</v>
      </c>
      <c r="P21" s="58"/>
      <c r="Q21" s="58"/>
      <c r="R21" s="59"/>
      <c r="S21" s="56"/>
      <c r="T21" s="56"/>
      <c r="U21" s="56"/>
      <c r="V21" s="56"/>
      <c r="W21" s="56"/>
      <c r="X21" s="56"/>
      <c r="Y21" s="56"/>
      <c r="Z21" s="56"/>
      <c r="AA21" s="56"/>
    </row>
    <row r="22" spans="1:27" ht="20" thickBot="1" x14ac:dyDescent="0.3">
      <c r="A22" s="61">
        <v>298.14999999999998</v>
      </c>
      <c r="B22" s="56"/>
      <c r="C22" s="62"/>
      <c r="D22" s="63" t="s">
        <v>37</v>
      </c>
      <c r="E22" s="64" t="s">
        <v>38</v>
      </c>
      <c r="F22" s="65" t="s">
        <v>39</v>
      </c>
      <c r="G22" s="56"/>
      <c r="H22" s="66" t="s">
        <v>40</v>
      </c>
      <c r="I22" s="67" t="s">
        <v>9</v>
      </c>
      <c r="J22" s="67" t="s">
        <v>10</v>
      </c>
      <c r="K22" s="68" t="s">
        <v>7</v>
      </c>
      <c r="L22" s="69" t="s">
        <v>12</v>
      </c>
      <c r="M22" s="56"/>
      <c r="N22" s="56"/>
      <c r="O22" s="70"/>
      <c r="P22" s="71" t="s">
        <v>41</v>
      </c>
      <c r="Q22" s="72" t="s">
        <v>42</v>
      </c>
      <c r="R22" s="73" t="s">
        <v>43</v>
      </c>
      <c r="S22" s="56"/>
      <c r="T22" s="56"/>
      <c r="U22" s="56"/>
      <c r="V22" s="56"/>
      <c r="W22" s="56"/>
      <c r="X22" s="56"/>
      <c r="Y22" s="56"/>
      <c r="Z22" s="56"/>
      <c r="AA22" s="56"/>
    </row>
    <row r="23" spans="1:27" ht="22" thickBot="1" x14ac:dyDescent="0.3">
      <c r="A23" s="56"/>
      <c r="B23" s="56"/>
      <c r="C23" s="74" t="s">
        <v>44</v>
      </c>
      <c r="D23" s="75">
        <v>6.3236999999999997</v>
      </c>
      <c r="E23" s="76">
        <v>6.3236999999999997</v>
      </c>
      <c r="F23" s="77">
        <v>12.647399999999999</v>
      </c>
      <c r="G23" s="56"/>
      <c r="H23" s="78">
        <v>2.9832999999999998E-2</v>
      </c>
      <c r="I23" s="79">
        <f>H23*$H$7</f>
        <v>18.720296998999999</v>
      </c>
      <c r="J23" s="79">
        <f>H23*$I$7</f>
        <v>78.32654149999999</v>
      </c>
      <c r="K23" s="80">
        <f>H23*$F$7</f>
        <v>0.81177681309999994</v>
      </c>
      <c r="L23" s="81">
        <f>H23*$K$7</f>
        <v>1.3007187999999999E-19</v>
      </c>
      <c r="M23" s="56"/>
      <c r="N23" s="56"/>
      <c r="O23" s="82" t="s">
        <v>45</v>
      </c>
      <c r="P23" s="83">
        <v>20.637</v>
      </c>
      <c r="Q23" s="84">
        <v>7.3639999999999999</v>
      </c>
      <c r="R23" s="85">
        <v>46.51</v>
      </c>
      <c r="S23" s="56"/>
      <c r="T23" s="56"/>
      <c r="U23" s="56"/>
      <c r="V23" s="56"/>
      <c r="W23" s="56"/>
      <c r="X23" s="56"/>
      <c r="Y23" s="56"/>
      <c r="Z23" s="56"/>
      <c r="AA23" s="56"/>
    </row>
    <row r="24" spans="1:27" ht="22" thickBot="1" x14ac:dyDescent="0.3">
      <c r="A24" s="55" t="s">
        <v>46</v>
      </c>
      <c r="B24" s="56"/>
      <c r="C24" s="86" t="s">
        <v>47</v>
      </c>
      <c r="D24" s="246">
        <f>D23*$U$9</f>
        <v>1.0497341999999999E-26</v>
      </c>
      <c r="E24" s="223">
        <f t="shared" ref="E24:F24" si="0">E23*$U$9</f>
        <v>1.0497341999999999E-26</v>
      </c>
      <c r="F24" s="324">
        <f t="shared" si="0"/>
        <v>2.0994683999999998E-26</v>
      </c>
      <c r="G24" s="56"/>
      <c r="M24" s="56"/>
      <c r="N24" s="56"/>
      <c r="O24" s="88" t="s">
        <v>48</v>
      </c>
      <c r="P24" s="83">
        <v>0</v>
      </c>
      <c r="Q24" s="84">
        <v>0</v>
      </c>
      <c r="R24" s="85">
        <v>1.377</v>
      </c>
      <c r="S24" s="56"/>
      <c r="T24" s="56"/>
      <c r="U24" s="56"/>
      <c r="V24" s="56"/>
      <c r="W24" s="56"/>
      <c r="X24" s="56"/>
      <c r="Y24" s="56"/>
      <c r="Z24" s="56"/>
      <c r="AA24" s="56"/>
    </row>
    <row r="25" spans="1:27" ht="22" thickBot="1" x14ac:dyDescent="0.3">
      <c r="A25" s="61">
        <v>1</v>
      </c>
      <c r="B25" s="56"/>
      <c r="C25" s="89" t="s">
        <v>49</v>
      </c>
      <c r="D25" s="90">
        <f>D24*($Q$8)^2</f>
        <v>1.0497341999999999E-46</v>
      </c>
      <c r="E25" s="91">
        <f>E24*($Q$8)^2</f>
        <v>1.0497341999999999E-46</v>
      </c>
      <c r="F25" s="92">
        <f t="shared" ref="F25" si="1">F24*($Q$8)^2</f>
        <v>2.0994683999999998E-46</v>
      </c>
      <c r="G25" s="56"/>
      <c r="M25" s="56"/>
      <c r="N25" s="56"/>
      <c r="O25" s="88" t="s">
        <v>50</v>
      </c>
      <c r="P25" s="83">
        <v>0.88900000000000001</v>
      </c>
      <c r="Q25" s="84">
        <v>2.9809999999999999</v>
      </c>
      <c r="R25" s="85">
        <v>34.067999999999998</v>
      </c>
      <c r="S25" s="56"/>
      <c r="T25" s="56"/>
      <c r="U25" s="56"/>
      <c r="V25" s="56"/>
      <c r="W25" s="56"/>
      <c r="X25" s="56"/>
      <c r="Y25" s="56"/>
      <c r="Z25" s="56"/>
      <c r="AA25" s="56"/>
    </row>
    <row r="26" spans="1:27" ht="20" thickBot="1" x14ac:dyDescent="0.3">
      <c r="A26" s="56"/>
      <c r="B26" s="56"/>
      <c r="C26" s="56"/>
      <c r="D26" s="56"/>
      <c r="E26" s="56"/>
      <c r="F26" s="56"/>
      <c r="G26" s="56"/>
      <c r="H26" s="55" t="s">
        <v>51</v>
      </c>
      <c r="I26" s="56"/>
      <c r="J26" s="56"/>
      <c r="K26" s="56"/>
      <c r="M26" s="56"/>
      <c r="N26" s="56"/>
      <c r="O26" s="88" t="s">
        <v>52</v>
      </c>
      <c r="P26" s="83">
        <v>0.88900000000000001</v>
      </c>
      <c r="Q26" s="84">
        <v>2.9809999999999999</v>
      </c>
      <c r="R26" s="85">
        <v>10.429</v>
      </c>
      <c r="S26" s="56"/>
      <c r="T26" s="56"/>
      <c r="U26" s="56"/>
      <c r="V26" s="56"/>
      <c r="W26" s="56"/>
      <c r="X26" s="56"/>
      <c r="Y26" s="56"/>
      <c r="Z26" s="56"/>
      <c r="AA26" s="56"/>
    </row>
    <row r="27" spans="1:27" ht="20" thickBot="1" x14ac:dyDescent="0.3">
      <c r="A27" s="55" t="s">
        <v>53</v>
      </c>
      <c r="B27" s="56"/>
      <c r="C27" s="55" t="s">
        <v>54</v>
      </c>
      <c r="D27" s="56"/>
      <c r="E27" s="56"/>
      <c r="F27" s="56"/>
      <c r="G27" s="56"/>
      <c r="H27" s="66" t="s">
        <v>40</v>
      </c>
      <c r="I27" s="67" t="s">
        <v>9</v>
      </c>
      <c r="J27" s="67" t="s">
        <v>10</v>
      </c>
      <c r="K27" s="68" t="s">
        <v>7</v>
      </c>
      <c r="L27" s="69" t="s">
        <v>12</v>
      </c>
      <c r="M27" s="56"/>
      <c r="N27" s="56"/>
      <c r="O27" s="93" t="s">
        <v>55</v>
      </c>
      <c r="P27" s="94">
        <v>18.859000000000002</v>
      </c>
      <c r="Q27" s="95">
        <v>1.4019999999999999</v>
      </c>
      <c r="R27" s="96">
        <v>0.63700000000000001</v>
      </c>
      <c r="S27" s="56"/>
      <c r="T27" s="56"/>
      <c r="U27" s="56"/>
      <c r="V27" s="56"/>
      <c r="W27" s="56"/>
      <c r="X27" s="56"/>
      <c r="Y27" s="56"/>
      <c r="Z27" s="56"/>
      <c r="AA27" s="56"/>
    </row>
    <row r="28" spans="1:27" ht="20" thickBot="1" x14ac:dyDescent="0.3">
      <c r="A28" s="61">
        <v>15.023479999999999</v>
      </c>
      <c r="B28" s="56"/>
      <c r="C28" s="97" t="s">
        <v>37</v>
      </c>
      <c r="D28" s="98" t="s">
        <v>38</v>
      </c>
      <c r="E28" s="99" t="s">
        <v>39</v>
      </c>
      <c r="F28" s="56"/>
      <c r="G28" s="56"/>
      <c r="H28" s="100">
        <v>3.2887E-2</v>
      </c>
      <c r="I28" s="79">
        <f>H28*$H$7</f>
        <v>20.636691161000002</v>
      </c>
      <c r="J28" s="79">
        <f>H28*$I$7</f>
        <v>86.344818500000002</v>
      </c>
      <c r="K28" s="101">
        <f>H28*$F$7</f>
        <v>0.89487829089999993</v>
      </c>
      <c r="L28" s="81">
        <f>H28*$K$7</f>
        <v>1.4338731999999999E-19</v>
      </c>
      <c r="M28" s="56"/>
      <c r="N28" s="56"/>
      <c r="O28" s="56"/>
      <c r="P28" s="56"/>
      <c r="Q28" s="56"/>
      <c r="R28" s="56"/>
      <c r="S28" s="56"/>
      <c r="T28" s="56"/>
      <c r="U28" s="56"/>
      <c r="V28" s="56"/>
      <c r="W28" s="56"/>
      <c r="X28" s="56"/>
      <c r="Y28" s="56"/>
      <c r="Z28" s="56"/>
      <c r="AA28" s="56"/>
    </row>
    <row r="29" spans="1:27" ht="20" thickBot="1" x14ac:dyDescent="0.3">
      <c r="A29" s="56"/>
      <c r="B29" s="56"/>
      <c r="C29" s="100">
        <v>13.6967</v>
      </c>
      <c r="D29" s="102">
        <v>13.6967</v>
      </c>
      <c r="E29" s="103">
        <v>6.8483499999999999</v>
      </c>
      <c r="F29" s="56"/>
      <c r="G29" s="56"/>
      <c r="L29" s="56"/>
      <c r="M29" s="56"/>
      <c r="N29" s="56"/>
      <c r="O29" s="56"/>
      <c r="P29" s="56"/>
      <c r="Q29" s="56"/>
      <c r="R29" s="56"/>
      <c r="S29" s="56"/>
      <c r="T29" s="56"/>
      <c r="U29" s="56"/>
      <c r="V29" s="56"/>
      <c r="W29" s="56"/>
      <c r="X29" s="56"/>
      <c r="Y29" s="56"/>
      <c r="Z29" s="56"/>
      <c r="AA29" s="56"/>
    </row>
    <row r="30" spans="1:27" ht="20" thickBot="1" x14ac:dyDescent="0.3">
      <c r="A30" s="55" t="s">
        <v>56</v>
      </c>
      <c r="B30" s="56"/>
      <c r="F30" s="56"/>
      <c r="G30" s="56"/>
      <c r="M30" s="56"/>
      <c r="O30" s="104" t="s">
        <v>57</v>
      </c>
      <c r="P30" s="105"/>
      <c r="Q30" s="105"/>
      <c r="R30" s="106"/>
      <c r="S30" s="56"/>
      <c r="T30" s="56"/>
      <c r="U30" s="56"/>
      <c r="V30" s="56"/>
      <c r="W30" s="56"/>
      <c r="X30" s="56"/>
      <c r="Y30" s="56"/>
      <c r="Z30" s="56"/>
      <c r="AA30" s="56"/>
    </row>
    <row r="31" spans="1:27" ht="20" thickBot="1" x14ac:dyDescent="0.3">
      <c r="A31" s="61">
        <v>6</v>
      </c>
      <c r="B31" s="56"/>
      <c r="C31" s="55" t="s">
        <v>58</v>
      </c>
      <c r="D31" s="56"/>
      <c r="E31" s="56"/>
      <c r="F31" s="56"/>
      <c r="G31" s="56"/>
      <c r="H31" s="55" t="s">
        <v>59</v>
      </c>
      <c r="I31" s="56"/>
      <c r="J31" s="56"/>
      <c r="K31" s="56"/>
      <c r="L31" s="56"/>
      <c r="M31" s="56"/>
      <c r="N31" s="56"/>
      <c r="O31" s="107"/>
      <c r="P31" s="108" t="s">
        <v>60</v>
      </c>
      <c r="Q31" s="109" t="s">
        <v>61</v>
      </c>
      <c r="R31" s="110" t="s">
        <v>62</v>
      </c>
      <c r="S31" s="56"/>
      <c r="T31" s="56"/>
      <c r="U31" s="56"/>
      <c r="V31" s="56"/>
      <c r="W31" s="56"/>
      <c r="X31" s="56"/>
      <c r="Y31" s="56"/>
      <c r="Z31" s="56"/>
      <c r="AA31" s="56"/>
    </row>
    <row r="32" spans="1:27" ht="20" thickBot="1" x14ac:dyDescent="0.3">
      <c r="A32" s="56"/>
      <c r="B32" s="56"/>
      <c r="C32" s="111" t="s">
        <v>37</v>
      </c>
      <c r="D32" s="111" t="s">
        <v>38</v>
      </c>
      <c r="E32" s="111" t="s">
        <v>39</v>
      </c>
      <c r="F32" s="56"/>
      <c r="G32" s="56"/>
      <c r="H32" s="66" t="s">
        <v>40</v>
      </c>
      <c r="I32" s="67" t="s">
        <v>9</v>
      </c>
      <c r="J32" s="67" t="s">
        <v>10</v>
      </c>
      <c r="K32" s="68" t="s">
        <v>7</v>
      </c>
      <c r="L32" s="69" t="s">
        <v>12</v>
      </c>
      <c r="M32" s="56"/>
      <c r="N32" s="56"/>
      <c r="O32" s="82" t="s">
        <v>48</v>
      </c>
      <c r="P32" s="112">
        <v>2</v>
      </c>
      <c r="Q32" s="113">
        <v>0.30103000000000002</v>
      </c>
      <c r="R32" s="113">
        <v>0.69314699999999996</v>
      </c>
      <c r="S32" s="56"/>
      <c r="T32" s="56"/>
      <c r="U32" s="56"/>
      <c r="V32" s="56"/>
      <c r="W32" s="56"/>
      <c r="X32" s="56"/>
      <c r="Y32" s="56"/>
      <c r="Z32" s="56"/>
      <c r="AA32" s="56"/>
    </row>
    <row r="33" spans="1:27" ht="20" thickBot="1" x14ac:dyDescent="0.3">
      <c r="A33" s="56"/>
      <c r="B33" s="56"/>
      <c r="C33" s="114">
        <v>285.39325000000002</v>
      </c>
      <c r="D33" s="115">
        <v>285.39325000000002</v>
      </c>
      <c r="E33" s="116">
        <v>142.69662</v>
      </c>
      <c r="F33" s="56"/>
      <c r="G33" s="56"/>
      <c r="H33" s="100">
        <v>3.3831E-2</v>
      </c>
      <c r="I33" s="79">
        <f>H33*$H$7</f>
        <v>21.229053993000001</v>
      </c>
      <c r="J33" s="79">
        <f>H33*$I$7</f>
        <v>88.823290499999999</v>
      </c>
      <c r="K33" s="101">
        <f>H33*$F$7</f>
        <v>0.92056519169999995</v>
      </c>
      <c r="L33" s="81">
        <f>H33*$K$7</f>
        <v>1.4750315999999999E-19</v>
      </c>
      <c r="M33" s="56"/>
      <c r="N33" s="56"/>
      <c r="O33" s="88" t="s">
        <v>50</v>
      </c>
      <c r="P33" s="83">
        <v>2288820</v>
      </c>
      <c r="Q33" s="84">
        <v>6.3596110000000001</v>
      </c>
      <c r="R33" s="84">
        <v>14.643545</v>
      </c>
      <c r="S33" s="56"/>
      <c r="T33" s="56"/>
      <c r="U33" s="56"/>
      <c r="V33" s="56"/>
      <c r="W33" s="56"/>
      <c r="X33" s="56"/>
      <c r="Y33" s="56"/>
      <c r="Z33" s="56"/>
      <c r="AA33" s="56"/>
    </row>
    <row r="34" spans="1:27" ht="19" x14ac:dyDescent="0.25">
      <c r="A34" s="56"/>
      <c r="B34" s="56"/>
      <c r="E34" s="56"/>
      <c r="F34" s="56"/>
      <c r="G34" s="56"/>
      <c r="M34" s="56"/>
      <c r="N34" s="56"/>
      <c r="O34" s="88" t="s">
        <v>52</v>
      </c>
      <c r="P34" s="83">
        <v>42.429400000000001</v>
      </c>
      <c r="Q34" s="84">
        <v>1.627667</v>
      </c>
      <c r="R34" s="84">
        <v>3.7478419999999999</v>
      </c>
      <c r="S34" s="56"/>
      <c r="T34" s="56"/>
      <c r="U34" s="56"/>
      <c r="V34" s="56"/>
      <c r="W34" s="56"/>
      <c r="X34" s="56"/>
      <c r="Y34" s="56"/>
      <c r="Z34" s="56"/>
      <c r="AA34" s="56"/>
    </row>
    <row r="35" spans="1:27" ht="19" x14ac:dyDescent="0.25">
      <c r="A35" s="56"/>
      <c r="B35" s="56"/>
      <c r="E35" s="56"/>
      <c r="F35" s="56"/>
      <c r="H35" s="56"/>
      <c r="I35" s="56"/>
      <c r="J35" s="56"/>
      <c r="K35" s="56"/>
      <c r="L35" s="56"/>
      <c r="M35" s="56"/>
      <c r="N35" s="56"/>
      <c r="O35" s="88" t="s">
        <v>63</v>
      </c>
      <c r="P35" s="83">
        <v>4.0124400000000002E-6</v>
      </c>
      <c r="Q35" s="84">
        <v>-5.3965909999999999</v>
      </c>
      <c r="R35" s="84">
        <v>-12.42611</v>
      </c>
      <c r="S35" s="56"/>
      <c r="T35" s="56"/>
      <c r="U35" s="56"/>
      <c r="V35" s="56"/>
      <c r="W35" s="56"/>
      <c r="X35" s="56"/>
      <c r="Y35" s="56"/>
      <c r="Z35" s="56"/>
      <c r="AA35" s="56"/>
    </row>
    <row r="36" spans="1:27" ht="20" thickBot="1" x14ac:dyDescent="0.3">
      <c r="A36" s="56"/>
      <c r="B36" s="56"/>
      <c r="C36" s="55" t="s">
        <v>64</v>
      </c>
      <c r="D36" s="56"/>
      <c r="E36" s="56"/>
      <c r="F36" s="56"/>
      <c r="H36" s="55" t="s">
        <v>65</v>
      </c>
      <c r="I36" s="56"/>
      <c r="J36" s="56"/>
      <c r="K36" s="56"/>
      <c r="L36" s="56"/>
      <c r="M36" s="56"/>
      <c r="N36" s="56"/>
      <c r="O36" s="88" t="s">
        <v>66</v>
      </c>
      <c r="P36" s="83">
        <v>211594000</v>
      </c>
      <c r="Q36" s="84">
        <v>8.3255040000000005</v>
      </c>
      <c r="R36" s="84">
        <v>19.170182</v>
      </c>
      <c r="S36" s="56"/>
      <c r="T36" s="56"/>
      <c r="U36" s="56"/>
      <c r="V36" s="56"/>
      <c r="W36" s="56"/>
      <c r="X36" s="56"/>
      <c r="Y36" s="56"/>
      <c r="Z36" s="56"/>
      <c r="AA36" s="56"/>
    </row>
    <row r="37" spans="1:27" ht="20" thickBot="1" x14ac:dyDescent="0.3">
      <c r="A37" s="56"/>
      <c r="B37" s="56"/>
      <c r="C37" s="117" t="s">
        <v>67</v>
      </c>
      <c r="D37" s="118">
        <v>78325.899999999994</v>
      </c>
      <c r="E37" s="56"/>
      <c r="F37" s="56"/>
      <c r="H37" s="66" t="s">
        <v>40</v>
      </c>
      <c r="I37" s="67" t="s">
        <v>9</v>
      </c>
      <c r="J37" s="67" t="s">
        <v>10</v>
      </c>
      <c r="K37" s="69" t="s">
        <v>7</v>
      </c>
      <c r="L37" s="69" t="s">
        <v>12</v>
      </c>
      <c r="M37" s="56"/>
      <c r="N37" s="56"/>
      <c r="O37" s="88" t="s">
        <v>68</v>
      </c>
      <c r="P37" s="83">
        <v>2.06586E-14</v>
      </c>
      <c r="Q37" s="84">
        <v>-13.684899</v>
      </c>
      <c r="R37" s="84">
        <v>-31.510643999999999</v>
      </c>
      <c r="S37" s="56"/>
      <c r="T37" s="56"/>
      <c r="U37" s="56"/>
      <c r="V37" s="56"/>
      <c r="W37" s="56"/>
      <c r="X37" s="56"/>
      <c r="Y37" s="56"/>
      <c r="Z37" s="56"/>
      <c r="AA37" s="56"/>
    </row>
    <row r="38" spans="1:27" ht="20" thickBot="1" x14ac:dyDescent="0.3">
      <c r="A38" s="56"/>
      <c r="B38" s="56"/>
      <c r="C38" s="119" t="s">
        <v>69</v>
      </c>
      <c r="D38" s="120">
        <v>18.72035</v>
      </c>
      <c r="E38" s="56"/>
      <c r="F38" s="56"/>
      <c r="H38" s="100">
        <v>1.1733E-2</v>
      </c>
      <c r="I38" s="79">
        <f>H38*$H$7</f>
        <v>7.3624926990000006</v>
      </c>
      <c r="J38" s="79">
        <f>H38*$I$7</f>
        <v>30.8049915</v>
      </c>
      <c r="K38" s="101">
        <f>H38*$F$7</f>
        <v>0.31926314309999998</v>
      </c>
      <c r="L38" s="81">
        <f>H38*$K$7</f>
        <v>5.1155880000000001E-20</v>
      </c>
      <c r="M38" s="56"/>
      <c r="N38" s="56"/>
      <c r="O38" s="93" t="s">
        <v>70</v>
      </c>
      <c r="P38" s="83">
        <v>1.0894200000000001</v>
      </c>
      <c r="Q38" s="84">
        <v>3.7196E-2</v>
      </c>
      <c r="R38" s="84">
        <v>8.5648000000000002E-2</v>
      </c>
      <c r="S38" s="56"/>
      <c r="T38" s="56"/>
      <c r="U38" s="56"/>
      <c r="V38" s="56"/>
      <c r="W38" s="56"/>
      <c r="X38" s="56"/>
      <c r="Y38" s="56"/>
      <c r="Z38" s="56"/>
      <c r="AA38" s="56"/>
    </row>
    <row r="39" spans="1:27" ht="19" x14ac:dyDescent="0.25">
      <c r="A39" s="56"/>
      <c r="B39" s="56"/>
      <c r="C39" s="56"/>
      <c r="D39" s="56"/>
      <c r="E39" s="56"/>
      <c r="F39" s="56"/>
      <c r="J39" s="56"/>
      <c r="K39" s="56"/>
      <c r="L39" s="56"/>
      <c r="M39" s="56"/>
      <c r="N39" s="56"/>
      <c r="O39" s="121"/>
      <c r="P39" s="56"/>
      <c r="Q39" s="56"/>
      <c r="R39" s="56"/>
      <c r="S39" s="56"/>
      <c r="T39" s="56"/>
      <c r="U39" s="56"/>
      <c r="V39" s="56"/>
      <c r="W39" s="56"/>
      <c r="X39" s="56"/>
      <c r="Y39" s="56"/>
      <c r="Z39" s="56"/>
      <c r="AA39" s="56"/>
    </row>
    <row r="40" spans="1:27" ht="20" thickBot="1" x14ac:dyDescent="0.3">
      <c r="A40" s="56"/>
      <c r="B40" s="56"/>
      <c r="C40" s="56"/>
      <c r="D40" s="56"/>
      <c r="E40" s="56"/>
      <c r="F40" s="56"/>
      <c r="J40" s="56"/>
      <c r="K40" s="56"/>
      <c r="L40" s="56"/>
      <c r="M40" s="56"/>
      <c r="N40" s="56"/>
      <c r="O40" s="121"/>
      <c r="P40" s="56"/>
      <c r="Q40" s="56"/>
      <c r="R40" s="56"/>
      <c r="S40" s="56"/>
      <c r="T40" s="56"/>
      <c r="U40" s="56"/>
      <c r="V40" s="56"/>
      <c r="W40" s="56"/>
      <c r="X40" s="56"/>
      <c r="Y40" s="56"/>
      <c r="Z40" s="56"/>
      <c r="AA40" s="56"/>
    </row>
    <row r="41" spans="1:27" ht="64" customHeight="1" thickBot="1" x14ac:dyDescent="0.3">
      <c r="A41" s="56"/>
      <c r="B41" s="56"/>
      <c r="D41" s="122" t="s">
        <v>71</v>
      </c>
      <c r="E41" s="123" t="s">
        <v>72</v>
      </c>
      <c r="F41" s="124" t="s">
        <v>73</v>
      </c>
      <c r="G41" s="125" t="s">
        <v>74</v>
      </c>
      <c r="I41" s="56"/>
      <c r="J41" s="56"/>
      <c r="K41" s="56"/>
      <c r="L41" s="56"/>
      <c r="M41" s="56"/>
      <c r="N41" s="56"/>
      <c r="O41" s="56"/>
      <c r="P41" s="56"/>
      <c r="Q41" s="56"/>
      <c r="R41" s="56"/>
      <c r="S41" s="56"/>
      <c r="T41" s="56"/>
      <c r="U41" s="56"/>
      <c r="V41" s="56"/>
      <c r="W41" s="56"/>
      <c r="X41" s="56"/>
      <c r="Y41" s="56"/>
      <c r="Z41" s="56"/>
      <c r="AA41" s="56"/>
    </row>
    <row r="42" spans="1:27" ht="19" x14ac:dyDescent="0.25">
      <c r="A42" s="56"/>
      <c r="B42" s="56"/>
      <c r="C42" s="126">
        <v>1</v>
      </c>
      <c r="D42" s="300">
        <v>752.81</v>
      </c>
      <c r="E42" s="301">
        <v>523.23199999999997</v>
      </c>
      <c r="F42" s="129">
        <f>E42*$L$9</f>
        <v>15686129097600</v>
      </c>
      <c r="G42" s="130">
        <v>1.2356</v>
      </c>
      <c r="H42" s="131"/>
      <c r="K42" s="56"/>
      <c r="L42" s="56"/>
      <c r="M42" s="56"/>
      <c r="N42" s="56"/>
      <c r="O42" s="56"/>
      <c r="P42" s="56"/>
      <c r="Q42" s="56"/>
      <c r="R42" s="56"/>
      <c r="S42" s="56"/>
      <c r="T42" s="56"/>
      <c r="U42" s="56"/>
      <c r="V42" s="56"/>
      <c r="W42" s="56"/>
      <c r="X42" s="56"/>
      <c r="Y42" s="56"/>
      <c r="Z42" s="56"/>
      <c r="AA42" s="56"/>
    </row>
    <row r="43" spans="1:27" ht="19" x14ac:dyDescent="0.25">
      <c r="A43" s="56"/>
      <c r="B43" s="56"/>
      <c r="C43" s="132">
        <f>C42+1</f>
        <v>2</v>
      </c>
      <c r="D43" s="133">
        <v>2031.57</v>
      </c>
      <c r="E43" s="134">
        <v>1412.0119</v>
      </c>
      <c r="F43" s="135">
        <f t="shared" ref="F43:F47" si="2">E43*$L$9</f>
        <v>42331128353670</v>
      </c>
      <c r="G43" s="136">
        <v>1.1020000000000001</v>
      </c>
      <c r="H43" s="131"/>
      <c r="K43" s="56"/>
      <c r="L43" s="56"/>
      <c r="M43" s="56"/>
      <c r="N43" s="56"/>
      <c r="O43" s="56"/>
      <c r="P43" s="56"/>
      <c r="Q43" s="56"/>
      <c r="R43" s="56"/>
      <c r="S43" s="56"/>
      <c r="T43" s="56"/>
      <c r="U43" s="56"/>
      <c r="V43" s="56"/>
      <c r="W43" s="56"/>
      <c r="X43" s="56"/>
      <c r="Y43" s="56"/>
      <c r="Z43" s="56"/>
      <c r="AA43" s="56"/>
    </row>
    <row r="44" spans="1:27" ht="20" thickBot="1" x14ac:dyDescent="0.3">
      <c r="A44" s="56"/>
      <c r="B44" s="56"/>
      <c r="C44" s="132">
        <f t="shared" ref="C44:C47" si="3">C43+1</f>
        <v>3</v>
      </c>
      <c r="D44" s="133">
        <v>2031.57</v>
      </c>
      <c r="E44" s="134">
        <v>1412.0135</v>
      </c>
      <c r="F44" s="135">
        <f t="shared" si="2"/>
        <v>42331176320550</v>
      </c>
      <c r="G44" s="136">
        <v>1.1020000000000001</v>
      </c>
      <c r="H44" s="131"/>
      <c r="J44" s="137" t="s">
        <v>75</v>
      </c>
      <c r="M44" s="56"/>
      <c r="N44" s="56"/>
      <c r="O44" s="56"/>
      <c r="P44" s="56"/>
      <c r="Q44" s="56"/>
      <c r="R44" s="56"/>
      <c r="S44" s="56"/>
      <c r="T44" s="56"/>
      <c r="U44" s="56"/>
      <c r="V44" s="56"/>
      <c r="W44" s="56"/>
      <c r="X44" s="56"/>
      <c r="Y44" s="56"/>
      <c r="Z44" s="56"/>
      <c r="AA44" s="56"/>
    </row>
    <row r="45" spans="1:27" ht="20" thickBot="1" x14ac:dyDescent="0.3">
      <c r="A45" s="56"/>
      <c r="B45" s="56"/>
      <c r="C45" s="132">
        <f t="shared" si="3"/>
        <v>4</v>
      </c>
      <c r="D45" s="133">
        <v>4500.97</v>
      </c>
      <c r="E45" s="134">
        <v>3128.3355000000001</v>
      </c>
      <c r="F45" s="135">
        <f t="shared" si="2"/>
        <v>93785308455150</v>
      </c>
      <c r="G45" s="136">
        <v>1.0078</v>
      </c>
      <c r="H45" s="131"/>
      <c r="J45" s="138">
        <v>1</v>
      </c>
      <c r="K45" s="139">
        <f>J45+1</f>
        <v>2</v>
      </c>
      <c r="L45" s="140">
        <f>K45+1</f>
        <v>3</v>
      </c>
      <c r="M45" s="56"/>
      <c r="N45" s="56"/>
      <c r="O45" s="56"/>
      <c r="P45" s="56"/>
      <c r="Q45" s="56"/>
      <c r="R45" s="56"/>
      <c r="S45" s="56"/>
      <c r="T45" s="56"/>
      <c r="U45" s="56"/>
      <c r="V45" s="56"/>
      <c r="W45" s="56"/>
      <c r="X45" s="56"/>
      <c r="Y45" s="56"/>
      <c r="Z45" s="56"/>
      <c r="AA45" s="56"/>
    </row>
    <row r="46" spans="1:27" ht="20" thickBot="1" x14ac:dyDescent="0.3">
      <c r="A46" s="56"/>
      <c r="B46" s="56"/>
      <c r="C46" s="132">
        <f t="shared" si="3"/>
        <v>5</v>
      </c>
      <c r="D46" s="133">
        <v>4761.97</v>
      </c>
      <c r="E46" s="134">
        <v>3309.7406999999998</v>
      </c>
      <c r="F46" s="135">
        <f t="shared" si="2"/>
        <v>99223709367510</v>
      </c>
      <c r="G46" s="136">
        <v>1.1184000000000001</v>
      </c>
      <c r="H46" s="131"/>
      <c r="J46" s="141">
        <v>-39.847228332</v>
      </c>
      <c r="K46" s="142">
        <v>-39.847334412499997</v>
      </c>
      <c r="L46" s="143">
        <v>-39.847334412499997</v>
      </c>
      <c r="M46" s="56"/>
      <c r="N46" s="56"/>
      <c r="O46" s="56"/>
      <c r="P46" s="56"/>
      <c r="Q46" s="56"/>
      <c r="R46" s="56"/>
      <c r="S46" s="56"/>
      <c r="T46" s="56"/>
      <c r="U46" s="56"/>
      <c r="V46" s="56"/>
      <c r="W46" s="56"/>
      <c r="X46" s="56"/>
      <c r="Y46" s="56"/>
      <c r="Z46" s="56"/>
      <c r="AA46" s="56"/>
    </row>
    <row r="47" spans="1:27" ht="20" thickBot="1" x14ac:dyDescent="0.3">
      <c r="A47" s="56"/>
      <c r="B47" s="56"/>
      <c r="C47" s="144">
        <f t="shared" si="3"/>
        <v>6</v>
      </c>
      <c r="D47" s="145">
        <v>4761.97</v>
      </c>
      <c r="E47" s="146">
        <v>3309.7417</v>
      </c>
      <c r="F47" s="147">
        <f t="shared" si="2"/>
        <v>99223739346810</v>
      </c>
      <c r="G47" s="148">
        <v>1.1184000000000001</v>
      </c>
      <c r="H47" s="131"/>
      <c r="K47" s="56"/>
      <c r="L47" s="56"/>
      <c r="M47" s="56"/>
      <c r="N47" s="56"/>
      <c r="O47" s="56"/>
      <c r="P47" s="56"/>
      <c r="Q47" s="56"/>
      <c r="R47" s="56"/>
      <c r="S47" s="56"/>
      <c r="T47" s="56"/>
      <c r="U47" s="56"/>
      <c r="V47" s="56"/>
      <c r="W47" s="56"/>
      <c r="X47" s="56"/>
      <c r="Y47" s="56"/>
      <c r="Z47" s="56"/>
      <c r="AA47" s="56"/>
    </row>
    <row r="48" spans="1:27" ht="19" x14ac:dyDescent="0.25">
      <c r="A48" s="56"/>
      <c r="B48" s="56"/>
      <c r="C48" s="131"/>
      <c r="D48" s="56"/>
      <c r="E48" s="56"/>
      <c r="F48" s="158"/>
      <c r="G48" s="56"/>
      <c r="H48" s="131"/>
      <c r="K48" s="56"/>
      <c r="L48" s="56"/>
      <c r="M48" s="56"/>
      <c r="N48" s="56"/>
      <c r="O48" s="56"/>
      <c r="P48" s="56"/>
      <c r="Q48" s="56"/>
      <c r="R48" s="56"/>
      <c r="S48" s="56"/>
      <c r="T48" s="56"/>
      <c r="U48" s="56"/>
      <c r="V48" s="56"/>
      <c r="W48" s="56"/>
      <c r="X48" s="56"/>
      <c r="Y48" s="56"/>
      <c r="Z48" s="56"/>
      <c r="AA48" s="56"/>
    </row>
    <row r="49" spans="1:27" ht="19" x14ac:dyDescent="0.25">
      <c r="A49" s="56"/>
      <c r="B49" s="56"/>
      <c r="C49" s="131"/>
      <c r="D49" s="56"/>
      <c r="E49" s="56"/>
      <c r="F49" s="158"/>
      <c r="G49" s="56"/>
      <c r="H49" s="131"/>
      <c r="K49" s="56"/>
      <c r="L49" s="56"/>
      <c r="M49" s="56"/>
      <c r="N49" s="56"/>
      <c r="O49" s="56"/>
      <c r="P49" s="56"/>
      <c r="Q49" s="56"/>
      <c r="R49" s="56"/>
      <c r="S49" s="56"/>
      <c r="T49" s="56"/>
      <c r="U49" s="56"/>
      <c r="V49" s="56"/>
      <c r="W49" s="56"/>
      <c r="X49" s="56"/>
      <c r="Y49" s="56"/>
      <c r="Z49" s="56"/>
      <c r="AA49" s="56"/>
    </row>
    <row r="50" spans="1:27" ht="19" x14ac:dyDescent="0.25">
      <c r="A50" s="56"/>
      <c r="B50" s="56"/>
      <c r="C50" s="131"/>
      <c r="D50" s="56"/>
      <c r="E50" s="56"/>
      <c r="F50" s="158"/>
      <c r="G50" s="56"/>
      <c r="H50" s="131"/>
      <c r="K50" s="56"/>
      <c r="L50" s="56"/>
      <c r="M50" s="56"/>
      <c r="N50" s="56"/>
      <c r="O50" s="56"/>
      <c r="P50" s="56"/>
      <c r="Q50" s="56"/>
      <c r="R50" s="56"/>
      <c r="S50" s="56"/>
      <c r="T50" s="56"/>
      <c r="U50" s="56"/>
      <c r="V50" s="56"/>
      <c r="W50" s="56"/>
      <c r="X50" s="56"/>
      <c r="Y50" s="56"/>
      <c r="Z50" s="56"/>
      <c r="AA50" s="56"/>
    </row>
    <row r="51" spans="1:27" ht="19" x14ac:dyDescent="0.25">
      <c r="A51" s="56"/>
      <c r="B51" s="56"/>
      <c r="C51" s="56"/>
      <c r="D51" s="56"/>
      <c r="E51" s="56"/>
      <c r="F51" s="56"/>
      <c r="G51" s="56"/>
      <c r="H51" s="56"/>
      <c r="K51" s="56"/>
      <c r="L51" s="56"/>
      <c r="M51" s="56"/>
      <c r="N51" s="56"/>
      <c r="O51" s="56"/>
      <c r="P51" s="56"/>
      <c r="Q51" s="56"/>
      <c r="R51" s="56"/>
      <c r="S51" s="56"/>
      <c r="T51" s="56"/>
      <c r="U51" s="56"/>
      <c r="V51" s="56"/>
      <c r="W51" s="56"/>
      <c r="X51" s="56"/>
      <c r="Y51" s="56"/>
      <c r="Z51" s="56"/>
      <c r="AA51" s="56"/>
    </row>
    <row r="52" spans="1:27" ht="19" x14ac:dyDescent="0.2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spans="1:27" ht="34" thickBot="1" x14ac:dyDescent="0.5">
      <c r="A53" s="471" t="s">
        <v>138</v>
      </c>
      <c r="B53" s="471"/>
      <c r="C53" s="471"/>
      <c r="D53" s="471"/>
      <c r="E53" s="471"/>
      <c r="F53" s="471"/>
      <c r="G53" s="471"/>
      <c r="H53" s="471"/>
      <c r="I53" s="471"/>
      <c r="J53" s="471"/>
      <c r="K53" s="471"/>
      <c r="L53" s="471"/>
      <c r="M53" s="471"/>
      <c r="N53" s="471"/>
      <c r="O53" s="471"/>
      <c r="P53" s="471"/>
      <c r="Q53" s="471"/>
      <c r="R53" s="471"/>
      <c r="S53" s="471"/>
      <c r="T53" s="471"/>
      <c r="U53" s="471"/>
      <c r="V53" s="471"/>
      <c r="W53" s="56"/>
      <c r="X53" s="56"/>
      <c r="Y53" s="56"/>
      <c r="Z53" s="56"/>
      <c r="AA53" s="56"/>
    </row>
    <row r="54" spans="1:27" ht="20" thickTop="1"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spans="1:27" ht="19" x14ac:dyDescent="0.25">
      <c r="A55" s="56"/>
      <c r="B55" s="56"/>
      <c r="C55" s="56"/>
      <c r="D55" s="56"/>
      <c r="E55" s="56"/>
      <c r="F55" s="56" t="s">
        <v>77</v>
      </c>
      <c r="G55" s="56"/>
      <c r="H55" s="56"/>
      <c r="I55" s="56"/>
      <c r="J55" s="56"/>
      <c r="K55" s="56"/>
      <c r="L55" s="56"/>
      <c r="M55" s="56"/>
      <c r="N55" s="56"/>
      <c r="O55" s="56"/>
      <c r="Q55" s="56"/>
      <c r="R55" s="56"/>
      <c r="S55" s="56"/>
      <c r="T55" s="56"/>
      <c r="U55" s="56"/>
      <c r="V55" s="56"/>
      <c r="W55" s="56"/>
      <c r="X55" s="56"/>
      <c r="Y55" s="56"/>
      <c r="Z55" s="56"/>
      <c r="AA55" s="56"/>
    </row>
    <row r="56" spans="1:27" ht="27" x14ac:dyDescent="0.35">
      <c r="B56" s="56"/>
      <c r="C56" s="149" t="s">
        <v>78</v>
      </c>
      <c r="D56" s="150"/>
      <c r="E56" s="56"/>
      <c r="F56" s="56"/>
      <c r="G56" s="56"/>
      <c r="H56" s="56"/>
      <c r="I56" s="56"/>
      <c r="J56" s="56"/>
      <c r="K56" s="56"/>
      <c r="L56" s="56"/>
      <c r="M56" s="56"/>
      <c r="N56" s="56"/>
      <c r="O56" s="56"/>
      <c r="Q56" s="56"/>
      <c r="R56" s="56"/>
      <c r="S56" s="56"/>
      <c r="T56" s="56"/>
      <c r="U56" s="56"/>
      <c r="V56" s="56"/>
      <c r="W56" s="56"/>
      <c r="X56" s="56"/>
      <c r="Y56" s="56"/>
      <c r="Z56" s="56"/>
      <c r="AA56" s="56"/>
    </row>
    <row r="57" spans="1:27" ht="19" x14ac:dyDescent="0.25">
      <c r="B57" s="56"/>
      <c r="C57" s="56"/>
      <c r="D57" s="56"/>
      <c r="E57" s="56"/>
      <c r="F57" s="56"/>
      <c r="G57" s="56"/>
      <c r="H57" s="56"/>
      <c r="I57" s="56"/>
      <c r="J57" s="56"/>
      <c r="K57" s="56"/>
      <c r="L57" s="56"/>
      <c r="M57" s="56"/>
      <c r="N57" s="56"/>
      <c r="O57" s="56"/>
      <c r="Q57" s="56"/>
      <c r="R57" s="56"/>
      <c r="S57" s="56"/>
      <c r="T57" s="56"/>
      <c r="U57" s="56"/>
      <c r="V57" s="56"/>
      <c r="W57" s="56"/>
      <c r="X57" s="56"/>
      <c r="Y57" s="56"/>
      <c r="Z57" s="56"/>
      <c r="AA57" s="56"/>
    </row>
    <row r="58" spans="1:27" ht="19" x14ac:dyDescent="0.25">
      <c r="B58" s="56"/>
      <c r="C58" s="56"/>
      <c r="D58" s="56"/>
      <c r="E58" s="56"/>
      <c r="F58" s="56"/>
      <c r="G58" s="56"/>
      <c r="H58" s="56"/>
      <c r="I58" s="56"/>
      <c r="J58" s="56"/>
      <c r="K58" s="56"/>
      <c r="L58" s="56"/>
      <c r="M58" s="56"/>
      <c r="N58" s="56"/>
      <c r="O58" s="56"/>
      <c r="Q58" s="56"/>
      <c r="R58" s="56"/>
      <c r="S58" s="56"/>
      <c r="T58" s="56"/>
      <c r="U58" s="56"/>
      <c r="V58" s="56"/>
      <c r="W58" s="56"/>
      <c r="X58" s="56"/>
      <c r="Y58" s="56"/>
      <c r="Z58" s="56"/>
      <c r="AA58" s="56"/>
    </row>
    <row r="59" spans="1:27" ht="19" x14ac:dyDescent="0.25">
      <c r="B59" s="56"/>
      <c r="D59" s="56"/>
      <c r="E59" s="56"/>
      <c r="F59" s="56"/>
      <c r="G59" s="56"/>
      <c r="H59" s="56"/>
      <c r="I59" s="56"/>
      <c r="J59" s="56"/>
      <c r="K59" s="56"/>
      <c r="L59" s="56"/>
      <c r="M59" s="56"/>
      <c r="N59" s="56"/>
      <c r="O59" s="56"/>
      <c r="Q59" s="56"/>
      <c r="R59" s="56"/>
      <c r="S59" s="56"/>
      <c r="T59" s="56"/>
      <c r="U59" s="56"/>
      <c r="V59" s="56"/>
      <c r="W59" s="56"/>
      <c r="X59" s="56"/>
      <c r="Y59" s="56"/>
      <c r="Z59" s="56"/>
      <c r="AA59" s="56"/>
    </row>
    <row r="60" spans="1:27" ht="19" x14ac:dyDescent="0.25">
      <c r="B60" s="56"/>
      <c r="C60" s="56"/>
      <c r="D60" s="56"/>
      <c r="E60" s="56"/>
      <c r="F60" s="56"/>
      <c r="G60" s="56"/>
      <c r="H60" s="56"/>
      <c r="I60" s="56"/>
      <c r="J60" s="56"/>
      <c r="K60" s="56"/>
      <c r="L60" s="56"/>
      <c r="M60" s="56"/>
      <c r="N60" s="56"/>
      <c r="O60" s="56"/>
      <c r="Q60" s="56"/>
      <c r="R60" s="56"/>
      <c r="S60" s="56"/>
      <c r="T60" s="56"/>
      <c r="U60" s="56"/>
      <c r="V60" s="56"/>
      <c r="W60" s="56"/>
      <c r="X60" s="56"/>
      <c r="Y60" s="56"/>
      <c r="Z60" s="56"/>
      <c r="AA60" s="56"/>
    </row>
    <row r="61" spans="1:27" ht="19" x14ac:dyDescent="0.25">
      <c r="B61" s="56"/>
      <c r="C61" s="56"/>
      <c r="D61" s="56"/>
      <c r="E61" s="56"/>
      <c r="F61" s="56"/>
      <c r="G61" s="56"/>
      <c r="H61" s="56"/>
      <c r="I61" s="56"/>
      <c r="J61" s="56"/>
      <c r="K61" s="56"/>
      <c r="L61" s="56"/>
      <c r="M61" s="56"/>
      <c r="N61" s="56"/>
      <c r="O61" s="56"/>
      <c r="Q61" s="56"/>
      <c r="R61" s="56"/>
      <c r="S61" s="56"/>
      <c r="T61" s="56"/>
      <c r="U61" s="56"/>
      <c r="V61" s="56"/>
      <c r="W61" s="56"/>
      <c r="X61" s="56"/>
      <c r="Y61" s="56"/>
      <c r="Z61" s="56"/>
      <c r="AA61" s="56"/>
    </row>
    <row r="62" spans="1:27" ht="19" x14ac:dyDescent="0.25">
      <c r="B62" s="56"/>
      <c r="C62" s="56"/>
      <c r="D62" s="56"/>
      <c r="E62" s="56"/>
      <c r="F62" s="56"/>
      <c r="G62" s="56"/>
      <c r="H62" s="56"/>
      <c r="I62" s="56"/>
      <c r="J62" s="56"/>
      <c r="K62" s="56"/>
      <c r="L62" s="56"/>
      <c r="M62" s="56"/>
      <c r="N62" s="56"/>
      <c r="O62" s="56"/>
      <c r="Q62" s="56"/>
      <c r="R62" s="56"/>
      <c r="S62" s="56"/>
      <c r="T62" s="56"/>
      <c r="U62" s="56"/>
      <c r="V62" s="56"/>
      <c r="W62" s="56"/>
      <c r="X62" s="56"/>
      <c r="Y62" s="56"/>
      <c r="Z62" s="56"/>
      <c r="AA62" s="56"/>
    </row>
    <row r="63" spans="1:27" ht="20" thickBot="1" x14ac:dyDescent="0.3">
      <c r="B63" s="56"/>
      <c r="C63" s="56"/>
      <c r="D63" s="56"/>
      <c r="E63" s="56"/>
      <c r="F63" s="56"/>
      <c r="G63" s="56"/>
      <c r="H63" s="56"/>
      <c r="I63" s="56"/>
      <c r="J63" s="56"/>
      <c r="K63" s="56"/>
      <c r="L63" s="56"/>
      <c r="M63" s="56"/>
      <c r="N63" s="56"/>
      <c r="O63" s="56"/>
      <c r="Q63" s="56"/>
      <c r="R63" s="56"/>
      <c r="S63" s="56"/>
      <c r="T63" s="56"/>
      <c r="U63" s="56"/>
      <c r="V63" s="56"/>
      <c r="W63" s="56"/>
      <c r="X63" s="56"/>
      <c r="Y63" s="56"/>
      <c r="Z63" s="56"/>
      <c r="AA63" s="56"/>
    </row>
    <row r="64" spans="1:27" ht="30" customHeight="1" thickBot="1" x14ac:dyDescent="0.35">
      <c r="B64" s="56"/>
      <c r="C64" s="181" t="s">
        <v>79</v>
      </c>
      <c r="D64" s="302" t="s">
        <v>80</v>
      </c>
      <c r="E64" s="181" t="s">
        <v>81</v>
      </c>
      <c r="F64" s="56"/>
      <c r="G64" s="56"/>
      <c r="H64" s="153" t="s">
        <v>82</v>
      </c>
      <c r="I64" s="154"/>
      <c r="J64" s="154"/>
      <c r="K64" s="154"/>
      <c r="L64" s="154"/>
      <c r="M64" s="154"/>
      <c r="N64" s="154"/>
      <c r="O64" s="56"/>
      <c r="Q64" s="56"/>
      <c r="R64" s="56"/>
      <c r="S64" s="56"/>
      <c r="T64" s="56"/>
      <c r="U64" s="56"/>
      <c r="V64" s="56"/>
      <c r="W64" s="56"/>
      <c r="X64" s="56"/>
      <c r="Y64" s="56"/>
      <c r="Z64" s="56"/>
      <c r="AA64" s="56"/>
    </row>
    <row r="65" spans="2:27" ht="20" thickBot="1" x14ac:dyDescent="0.3">
      <c r="B65" s="56"/>
      <c r="C65" s="97">
        <v>298.14999999999998</v>
      </c>
      <c r="D65" s="303">
        <f t="shared" ref="D65:D83" si="4">C65*$B$8/$B$16</f>
        <v>4.0625788058228471E-26</v>
      </c>
      <c r="E65" s="240">
        <f xml:space="preserve"> (2*PI()*$A$28*$U$9*$B$8*C65/($B$14^2))^(3/2)*D65</f>
        <v>2287702.2466950254</v>
      </c>
      <c r="F65" s="158"/>
      <c r="G65" s="56"/>
      <c r="H65" s="56"/>
      <c r="I65" s="56"/>
      <c r="J65" s="56"/>
      <c r="K65" s="56"/>
      <c r="L65" s="56"/>
      <c r="M65" s="56"/>
      <c r="N65" s="56"/>
      <c r="O65" s="56"/>
      <c r="Q65" s="56"/>
      <c r="R65" s="56"/>
      <c r="S65" s="56"/>
      <c r="T65" s="56"/>
      <c r="U65" s="56"/>
      <c r="V65" s="56"/>
      <c r="W65" s="56"/>
      <c r="X65" s="56"/>
      <c r="Y65" s="56"/>
      <c r="Z65" s="56"/>
      <c r="AA65" s="56"/>
    </row>
    <row r="66" spans="2:27" ht="20" thickBot="1" x14ac:dyDescent="0.3">
      <c r="B66" s="56"/>
      <c r="C66" s="155">
        <v>300</v>
      </c>
      <c r="D66" s="156">
        <f t="shared" si="4"/>
        <v>4.0877868245743891E-26</v>
      </c>
      <c r="E66" s="157">
        <f xml:space="preserve"> (2*PI()*$A$28*$U$9*$B$8*C66/($B$14^2))^(3/2)*D66</f>
        <v>2323355.1489047599</v>
      </c>
      <c r="F66" s="56"/>
      <c r="G66" s="56"/>
      <c r="L66" s="151" t="s">
        <v>83</v>
      </c>
      <c r="M66" s="56"/>
      <c r="N66" s="56"/>
      <c r="O66" s="56"/>
      <c r="Q66" s="56"/>
      <c r="R66" s="56"/>
      <c r="S66" s="56"/>
      <c r="T66" s="56"/>
      <c r="U66" s="56"/>
      <c r="V66" s="56"/>
      <c r="W66" s="56"/>
      <c r="X66" s="56"/>
      <c r="Y66" s="56"/>
      <c r="Z66" s="56"/>
      <c r="AA66" s="56"/>
    </row>
    <row r="67" spans="2:27" ht="19" x14ac:dyDescent="0.25">
      <c r="B67" s="56"/>
      <c r="C67" s="159">
        <f>C66+100</f>
        <v>400</v>
      </c>
      <c r="D67" s="160">
        <f t="shared" si="4"/>
        <v>5.4503824327658529E-26</v>
      </c>
      <c r="E67" s="161">
        <f t="shared" ref="E67:E83" si="5" xml:space="preserve"> (2*PI()*$A$28*$U$9*$B$8*C67/($B$14^2))^(3/2)*D67</f>
        <v>4769385.6733982554</v>
      </c>
      <c r="F67" s="56"/>
      <c r="G67" s="56"/>
      <c r="K67" s="162" t="s">
        <v>84</v>
      </c>
      <c r="L67" s="129">
        <f>$E$65</f>
        <v>2287702.2466950254</v>
      </c>
      <c r="M67" s="56"/>
      <c r="N67" s="56"/>
      <c r="O67" s="56"/>
      <c r="Q67" s="56"/>
      <c r="R67" s="56"/>
      <c r="S67" s="56"/>
      <c r="T67" s="56"/>
      <c r="U67" s="56"/>
      <c r="V67" s="56"/>
      <c r="W67" s="56"/>
      <c r="X67" s="56"/>
      <c r="Y67" s="56"/>
      <c r="Z67" s="56"/>
      <c r="AA67" s="56"/>
    </row>
    <row r="68" spans="2:27" ht="20" thickBot="1" x14ac:dyDescent="0.3">
      <c r="B68" s="56"/>
      <c r="C68" s="159">
        <f t="shared" ref="C68:C83" si="6">C67+100</f>
        <v>500</v>
      </c>
      <c r="D68" s="160">
        <f t="shared" si="4"/>
        <v>6.812978040957315E-26</v>
      </c>
      <c r="E68" s="161">
        <f t="shared" si="5"/>
        <v>8331773.8879938824</v>
      </c>
      <c r="F68" s="56"/>
      <c r="G68" s="56"/>
      <c r="K68" s="163" t="s">
        <v>85</v>
      </c>
      <c r="L68" s="147">
        <f>P33</f>
        <v>2288820</v>
      </c>
      <c r="M68" s="56"/>
      <c r="N68" s="56"/>
      <c r="O68" s="56"/>
      <c r="Q68" s="56"/>
      <c r="R68" s="56"/>
      <c r="S68" s="56"/>
      <c r="T68" s="56"/>
      <c r="U68" s="56"/>
      <c r="V68" s="56"/>
      <c r="W68" s="56"/>
      <c r="X68" s="56"/>
      <c r="Y68" s="56"/>
      <c r="Z68" s="56"/>
      <c r="AA68" s="56"/>
    </row>
    <row r="69" spans="2:27" ht="22" x14ac:dyDescent="0.3">
      <c r="B69" s="56"/>
      <c r="C69" s="159">
        <f t="shared" si="6"/>
        <v>600</v>
      </c>
      <c r="D69" s="160">
        <f t="shared" si="4"/>
        <v>8.1755736491487783E-26</v>
      </c>
      <c r="E69" s="161">
        <f t="shared" si="5"/>
        <v>13142881.447161743</v>
      </c>
      <c r="F69" s="56"/>
      <c r="G69" s="56"/>
      <c r="H69" s="56"/>
      <c r="I69" s="56"/>
      <c r="K69" s="164" t="s">
        <v>86</v>
      </c>
      <c r="L69" s="165">
        <f>ABS(L67-L68)/L67</f>
        <v>4.8859212626530674E-4</v>
      </c>
      <c r="M69" s="56"/>
      <c r="N69" s="56"/>
      <c r="O69" s="56"/>
      <c r="Q69" s="56"/>
      <c r="R69" s="56"/>
      <c r="S69" s="56"/>
      <c r="T69" s="56"/>
      <c r="U69" s="56"/>
      <c r="V69" s="56"/>
      <c r="W69" s="56"/>
      <c r="X69" s="56"/>
      <c r="Y69" s="56"/>
      <c r="Z69" s="56"/>
      <c r="AA69" s="56"/>
    </row>
    <row r="70" spans="2:27" ht="19" x14ac:dyDescent="0.25">
      <c r="B70" s="56"/>
      <c r="C70" s="159">
        <f t="shared" si="6"/>
        <v>700</v>
      </c>
      <c r="D70" s="160">
        <f t="shared" si="4"/>
        <v>9.5381692573402415E-26</v>
      </c>
      <c r="E70" s="161">
        <f t="shared" si="5"/>
        <v>19322244.10999826</v>
      </c>
      <c r="F70" s="56"/>
      <c r="G70" s="56"/>
      <c r="Q70" s="56"/>
      <c r="R70" s="56"/>
      <c r="S70" s="56"/>
      <c r="T70" s="56"/>
      <c r="U70" s="56"/>
      <c r="V70" s="56"/>
      <c r="W70" s="56"/>
      <c r="X70" s="56"/>
      <c r="Y70" s="56"/>
      <c r="Z70" s="56"/>
      <c r="AA70" s="56"/>
    </row>
    <row r="71" spans="2:27" ht="19" x14ac:dyDescent="0.25">
      <c r="B71" s="56"/>
      <c r="C71" s="159">
        <f t="shared" si="6"/>
        <v>800</v>
      </c>
      <c r="D71" s="160">
        <f t="shared" si="4"/>
        <v>1.0900764865531706E-25</v>
      </c>
      <c r="E71" s="161">
        <f t="shared" si="5"/>
        <v>26979719.61403108</v>
      </c>
      <c r="F71" s="56"/>
      <c r="G71" s="56"/>
      <c r="Q71" s="56"/>
      <c r="R71" s="56"/>
      <c r="S71" s="56"/>
      <c r="T71" s="56"/>
      <c r="U71" s="56"/>
      <c r="V71" s="56"/>
      <c r="W71" s="56"/>
      <c r="X71" s="56"/>
      <c r="Y71" s="56"/>
      <c r="Z71" s="56"/>
      <c r="AA71" s="56"/>
    </row>
    <row r="72" spans="2:27" ht="19" x14ac:dyDescent="0.25">
      <c r="B72" s="56"/>
      <c r="C72" s="159">
        <f t="shared" si="6"/>
        <v>900</v>
      </c>
      <c r="D72" s="160">
        <f t="shared" si="4"/>
        <v>1.2263360473723168E-25</v>
      </c>
      <c r="E72" s="161">
        <f t="shared" si="5"/>
        <v>36217522.457368061</v>
      </c>
      <c r="F72" s="56"/>
      <c r="G72" s="56"/>
      <c r="Q72" s="56"/>
      <c r="R72" s="56"/>
      <c r="S72" s="56"/>
      <c r="T72" s="56"/>
      <c r="U72" s="56"/>
      <c r="V72" s="56"/>
      <c r="W72" s="56"/>
      <c r="X72" s="56"/>
      <c r="Y72" s="56"/>
      <c r="Z72" s="56"/>
      <c r="AA72" s="56"/>
    </row>
    <row r="73" spans="2:27" ht="19" x14ac:dyDescent="0.25">
      <c r="C73" s="159">
        <f t="shared" si="6"/>
        <v>1000</v>
      </c>
      <c r="D73" s="160">
        <f t="shared" si="4"/>
        <v>1.362595608191463E-25</v>
      </c>
      <c r="E73" s="161">
        <f t="shared" si="5"/>
        <v>47131630.524107978</v>
      </c>
    </row>
    <row r="74" spans="2:27" ht="19" x14ac:dyDescent="0.25">
      <c r="C74" s="159">
        <f t="shared" si="6"/>
        <v>1100</v>
      </c>
      <c r="D74" s="160">
        <f t="shared" si="4"/>
        <v>1.4988551690106094E-25</v>
      </c>
      <c r="E74" s="161">
        <f t="shared" si="5"/>
        <v>59812806.058068268</v>
      </c>
    </row>
    <row r="75" spans="2:27" ht="19" x14ac:dyDescent="0.25">
      <c r="C75" s="159">
        <f t="shared" si="6"/>
        <v>1200</v>
      </c>
      <c r="D75" s="160">
        <f t="shared" si="4"/>
        <v>1.6351147298297557E-25</v>
      </c>
      <c r="E75" s="161">
        <f t="shared" si="5"/>
        <v>74347364.764951676</v>
      </c>
    </row>
    <row r="76" spans="2:27" ht="19" x14ac:dyDescent="0.25">
      <c r="C76" s="159">
        <f t="shared" si="6"/>
        <v>1300</v>
      </c>
      <c r="D76" s="160">
        <f t="shared" si="4"/>
        <v>1.7713742906489019E-25</v>
      </c>
      <c r="E76" s="161">
        <f t="shared" si="5"/>
        <v>90817772.407663122</v>
      </c>
    </row>
    <row r="77" spans="2:27" ht="19" x14ac:dyDescent="0.25">
      <c r="C77" s="159">
        <f t="shared" si="6"/>
        <v>1400</v>
      </c>
      <c r="D77" s="160">
        <f t="shared" si="4"/>
        <v>1.9076338514680483E-25</v>
      </c>
      <c r="E77" s="161">
        <f t="shared" si="5"/>
        <v>109303118.70337307</v>
      </c>
    </row>
    <row r="78" spans="2:27" ht="19" x14ac:dyDescent="0.25">
      <c r="C78" s="159">
        <f t="shared" si="6"/>
        <v>1500</v>
      </c>
      <c r="D78" s="160">
        <f t="shared" si="4"/>
        <v>2.043893412287195E-25</v>
      </c>
      <c r="E78" s="161">
        <f t="shared" si="5"/>
        <v>129879501.22062938</v>
      </c>
    </row>
    <row r="79" spans="2:27" ht="19" x14ac:dyDescent="0.25">
      <c r="C79" s="159">
        <f t="shared" si="6"/>
        <v>1600</v>
      </c>
      <c r="D79" s="160">
        <f t="shared" si="4"/>
        <v>2.1801529731063412E-25</v>
      </c>
      <c r="E79" s="161">
        <f t="shared" si="5"/>
        <v>152620341.54874289</v>
      </c>
    </row>
    <row r="80" spans="2:27" ht="19" x14ac:dyDescent="0.25">
      <c r="C80" s="159">
        <f t="shared" si="6"/>
        <v>1700</v>
      </c>
      <c r="D80" s="160">
        <f t="shared" si="4"/>
        <v>2.3164125339254876E-25</v>
      </c>
      <c r="E80" s="161">
        <f t="shared" si="5"/>
        <v>177596649.38470513</v>
      </c>
    </row>
    <row r="81" spans="3:26" ht="19" x14ac:dyDescent="0.25">
      <c r="C81" s="159">
        <f t="shared" si="6"/>
        <v>1800</v>
      </c>
      <c r="D81" s="160">
        <f t="shared" si="4"/>
        <v>2.4526720947446336E-25</v>
      </c>
      <c r="E81" s="161">
        <f t="shared" si="5"/>
        <v>204877245.81904879</v>
      </c>
    </row>
    <row r="82" spans="3:26" ht="19" x14ac:dyDescent="0.25">
      <c r="C82" s="159">
        <f t="shared" si="6"/>
        <v>1900</v>
      </c>
      <c r="D82" s="160">
        <f t="shared" si="4"/>
        <v>2.58893165556378E-25</v>
      </c>
      <c r="E82" s="161">
        <f t="shared" si="5"/>
        <v>234528954.14044046</v>
      </c>
    </row>
    <row r="83" spans="3:26" ht="20" thickBot="1" x14ac:dyDescent="0.3">
      <c r="C83" s="166">
        <f t="shared" si="6"/>
        <v>2000</v>
      </c>
      <c r="D83" s="167">
        <f t="shared" si="4"/>
        <v>2.725191216382926E-25</v>
      </c>
      <c r="E83" s="168">
        <f t="shared" si="5"/>
        <v>266616764.41580194</v>
      </c>
    </row>
    <row r="92" spans="3:26" ht="22" customHeight="1" x14ac:dyDescent="0.25">
      <c r="F92" s="56" t="s">
        <v>77</v>
      </c>
      <c r="Y92" s="56" t="s">
        <v>77</v>
      </c>
    </row>
    <row r="93" spans="3:26" ht="27" x14ac:dyDescent="0.35">
      <c r="C93" s="149" t="s">
        <v>151</v>
      </c>
      <c r="D93" s="169"/>
      <c r="E93" s="56"/>
      <c r="F93" s="56"/>
      <c r="G93" s="56"/>
      <c r="U93" s="472" t="s">
        <v>88</v>
      </c>
      <c r="V93" s="472"/>
      <c r="W93" s="472"/>
      <c r="X93" s="56"/>
      <c r="Y93" s="56"/>
      <c r="Z93" s="56"/>
    </row>
    <row r="94" spans="3:26" ht="19" x14ac:dyDescent="0.25">
      <c r="E94" s="56"/>
      <c r="G94" s="56"/>
      <c r="X94" s="56"/>
      <c r="Z94" s="56"/>
    </row>
    <row r="95" spans="3:26" ht="20" thickBot="1" x14ac:dyDescent="0.3">
      <c r="E95" s="56"/>
      <c r="F95" s="56"/>
      <c r="G95" s="56"/>
    </row>
    <row r="96" spans="3:26" ht="20" thickBot="1" x14ac:dyDescent="0.3">
      <c r="C96" s="170" t="s">
        <v>89</v>
      </c>
      <c r="E96" s="56"/>
      <c r="F96" s="56"/>
      <c r="G96" s="56"/>
    </row>
    <row r="97" spans="3:34" ht="22" thickBot="1" x14ac:dyDescent="0.3">
      <c r="C97" s="171" t="s">
        <v>90</v>
      </c>
      <c r="D97" s="172" cm="1">
        <f t="array" ref="D97">INDEX($E:$E,(COLUMN(D97)-4)*1+42)</f>
        <v>523.23199999999997</v>
      </c>
      <c r="E97" s="172" cm="1">
        <f t="array" ref="E97">INDEX($E:$E,(COLUMN(E97)-4)*1+42)</f>
        <v>1412.0119</v>
      </c>
      <c r="F97" s="172" cm="1">
        <f t="array" ref="F97">INDEX($E:$E,(COLUMN(F97)-4)*1+42)</f>
        <v>1412.0135</v>
      </c>
      <c r="G97" s="172" cm="1">
        <f t="array" ref="G97">INDEX($E:$E,(COLUMN(G97)-4)*1+42)</f>
        <v>3128.3355000000001</v>
      </c>
      <c r="H97" s="172" cm="1">
        <f t="array" ref="H97">INDEX($E:$E,(COLUMN(H97)-4)*1+42)</f>
        <v>3309.7406999999998</v>
      </c>
      <c r="I97" s="304" cm="1">
        <f t="array" ref="I97">INDEX($E:$E,(COLUMN(I97)-4)*1+42)</f>
        <v>3309.7417</v>
      </c>
      <c r="J97" s="56"/>
      <c r="K97" s="56"/>
      <c r="L97" s="56"/>
      <c r="M97" s="185" t="s">
        <v>158</v>
      </c>
      <c r="N97" s="373" cm="1">
        <f t="array" ref="N97">SUM(($B$14*$D$98:$I$98)/2)*$H$13</f>
        <v>18.729141600225393</v>
      </c>
    </row>
    <row r="98" spans="3:34" ht="20" thickBot="1" x14ac:dyDescent="0.3">
      <c r="C98" s="173" t="s">
        <v>91</v>
      </c>
      <c r="D98" s="268">
        <f>D97*$L$9</f>
        <v>15686129097600</v>
      </c>
      <c r="E98" s="268">
        <f t="shared" ref="E98:I98" si="7">E97*$L$9</f>
        <v>42331128353670</v>
      </c>
      <c r="F98" s="268">
        <f t="shared" si="7"/>
        <v>42331176320550</v>
      </c>
      <c r="G98" s="268">
        <f t="shared" si="7"/>
        <v>93785308455150</v>
      </c>
      <c r="H98" s="268">
        <f t="shared" si="7"/>
        <v>99223709367510</v>
      </c>
      <c r="I98" s="268">
        <f t="shared" si="7"/>
        <v>99223739346810</v>
      </c>
      <c r="J98" s="158"/>
      <c r="K98" s="158"/>
      <c r="L98" s="158"/>
    </row>
    <row r="99" spans="3:34" ht="17" thickBot="1" x14ac:dyDescent="0.25"/>
    <row r="100" spans="3:34" ht="30" customHeight="1" thickBot="1" x14ac:dyDescent="0.5">
      <c r="C100" s="473" t="s">
        <v>154</v>
      </c>
      <c r="D100" s="480"/>
      <c r="E100" s="480"/>
      <c r="F100" s="480"/>
      <c r="G100" s="480"/>
      <c r="H100" s="480"/>
      <c r="I100" s="480"/>
      <c r="J100" s="175" t="s">
        <v>93</v>
      </c>
    </row>
    <row r="101" spans="3:34" ht="38" customHeight="1" thickBot="1" x14ac:dyDescent="0.35">
      <c r="C101" s="176" t="s">
        <v>94</v>
      </c>
      <c r="D101" s="177">
        <v>1</v>
      </c>
      <c r="E101" s="178">
        <f t="shared" ref="E101:I101" si="8">D101+1</f>
        <v>2</v>
      </c>
      <c r="F101" s="178">
        <f t="shared" si="8"/>
        <v>3</v>
      </c>
      <c r="G101" s="178">
        <f t="shared" si="8"/>
        <v>4</v>
      </c>
      <c r="H101" s="178">
        <f t="shared" si="8"/>
        <v>5</v>
      </c>
      <c r="I101" s="305">
        <f t="shared" si="8"/>
        <v>6</v>
      </c>
      <c r="J101" s="283"/>
      <c r="L101" s="153" t="s">
        <v>82</v>
      </c>
      <c r="M101" s="154"/>
      <c r="N101" s="154"/>
      <c r="O101" s="154"/>
      <c r="P101" s="154"/>
      <c r="Q101" s="56"/>
      <c r="U101" s="181" t="s">
        <v>79</v>
      </c>
      <c r="V101" s="182" t="s">
        <v>95</v>
      </c>
      <c r="W101" s="183" t="s">
        <v>96</v>
      </c>
      <c r="X101" s="183" t="s">
        <v>97</v>
      </c>
      <c r="Y101" s="361" t="s">
        <v>153</v>
      </c>
      <c r="Z101" s="184" t="s">
        <v>99</v>
      </c>
      <c r="AB101" s="463" t="s">
        <v>82</v>
      </c>
      <c r="AC101" s="463"/>
      <c r="AD101" s="463"/>
      <c r="AE101" s="463"/>
      <c r="AF101" s="463"/>
      <c r="AG101" s="463"/>
      <c r="AH101" s="463"/>
    </row>
    <row r="102" spans="3:34" ht="20" thickBot="1" x14ac:dyDescent="0.3">
      <c r="C102" s="185">
        <v>298.14999999999998</v>
      </c>
      <c r="D102" s="306">
        <f>1/(1-EXP(-($B$14*D$98)/($B$8*$C102)))</f>
        <v>1.087029887207579</v>
      </c>
      <c r="E102" s="307">
        <f t="shared" ref="E102:I103" si="9">1/(1-EXP(-($B$14*E$98)/($B$8*$C102)))</f>
        <v>1.0010995815214343</v>
      </c>
      <c r="F102" s="307">
        <f t="shared" si="9"/>
        <v>1.0010995730221572</v>
      </c>
      <c r="G102" s="307">
        <f t="shared" si="9"/>
        <v>1.0000002778008679</v>
      </c>
      <c r="H102" s="307">
        <f t="shared" si="9"/>
        <v>1.0000001157577965</v>
      </c>
      <c r="I102" s="308">
        <f t="shared" si="9"/>
        <v>1.0000001157572378</v>
      </c>
      <c r="J102" s="309">
        <f t="shared" ref="J102:J120" si="10" xml:space="preserve"> PRODUCT(D102:I102)</f>
        <v>1.0894223030783743</v>
      </c>
      <c r="U102" s="185">
        <v>298.14999999999998</v>
      </c>
      <c r="V102" s="190">
        <f>$E65</f>
        <v>2287702.2466950254</v>
      </c>
      <c r="W102" s="191" cm="1">
        <f t="array" ref="W102">PRODUCT(EXP(-($B$14*$D$98:$I$98)/(2*$B$8*$U102))/(1-EXP(-($B$14*$D$98:$I$98)/($B$8*$U102))))</f>
        <v>2.0657325754966186E-14</v>
      </c>
      <c r="X102" s="192">
        <f>$E137</f>
        <v>42.429409643967936</v>
      </c>
      <c r="Y102" s="193">
        <f>$D175</f>
        <v>2</v>
      </c>
      <c r="Z102" s="194">
        <f>PRODUCT(V102:Y102)</f>
        <v>4.0102420045868308E-6</v>
      </c>
    </row>
    <row r="103" spans="3:34" ht="22" thickBot="1" x14ac:dyDescent="0.3">
      <c r="C103" s="195">
        <v>300</v>
      </c>
      <c r="D103" s="186">
        <f>1/(1-EXP(-($B$14*D$98)/($B$8*$C103)))</f>
        <v>1.0885164821596178</v>
      </c>
      <c r="E103" s="186">
        <f t="shared" si="9"/>
        <v>1.001146823633549</v>
      </c>
      <c r="F103" s="186">
        <f t="shared" si="9"/>
        <v>1.0011468148233595</v>
      </c>
      <c r="G103" s="186">
        <f t="shared" si="9"/>
        <v>1.0000003049045603</v>
      </c>
      <c r="H103" s="186">
        <f t="shared" si="9"/>
        <v>1.0000001277394466</v>
      </c>
      <c r="I103" s="186">
        <f t="shared" si="9"/>
        <v>1.000000127738834</v>
      </c>
      <c r="J103" s="198">
        <f t="shared" si="10"/>
        <v>1.0910151884207482</v>
      </c>
      <c r="N103" s="151" t="s">
        <v>156</v>
      </c>
      <c r="O103" s="213" t="s">
        <v>155</v>
      </c>
      <c r="P103" s="377" t="s">
        <v>157</v>
      </c>
      <c r="U103" s="195">
        <v>300</v>
      </c>
      <c r="V103" s="199">
        <f t="shared" ref="V103:V120" si="11">$E66</f>
        <v>2323355.1489047599</v>
      </c>
      <c r="W103" s="56" cm="1">
        <f t="array" ref="W103">PRODUCT(EXP(-($B$14*$D$98:$I$98)/(2*$B$8*$U103))/(1-EXP(-($B$14*$D$98:$I$98)/($B$8*$U103))))</f>
        <v>2.5137864794907228E-14</v>
      </c>
      <c r="X103" s="158">
        <f t="shared" ref="X103:X120" si="12">$E138</f>
        <v>42.824928905896343</v>
      </c>
      <c r="Y103" s="200">
        <f t="shared" ref="Y103:Y120" si="13">$D176</f>
        <v>2</v>
      </c>
      <c r="Z103" s="201">
        <f t="shared" ref="Z103:Z120" si="14">PRODUCT(V103:Y103)</f>
        <v>5.0023103638718323E-6</v>
      </c>
    </row>
    <row r="104" spans="3:34" ht="20" thickBot="1" x14ac:dyDescent="0.3">
      <c r="C104" s="202">
        <f>C103+100</f>
        <v>400</v>
      </c>
      <c r="D104" s="186">
        <f t="shared" ref="D104:I120" si="15">1/(1-EXP(-($B$14*D$98)/($B$8*$C104)))</f>
        <v>1.1796342893884966</v>
      </c>
      <c r="E104" s="186">
        <f t="shared" si="15"/>
        <v>1.0062655870181292</v>
      </c>
      <c r="F104" s="186">
        <f t="shared" si="15"/>
        <v>1.0062655507331488</v>
      </c>
      <c r="G104" s="186">
        <f t="shared" si="15"/>
        <v>1.0000129756306788</v>
      </c>
      <c r="H104" s="186">
        <f t="shared" si="15"/>
        <v>1.0000067568871487</v>
      </c>
      <c r="I104" s="186">
        <f t="shared" si="15"/>
        <v>1.0000067568628443</v>
      </c>
      <c r="J104" s="198">
        <f t="shared" si="10"/>
        <v>1.1944943993277499</v>
      </c>
      <c r="M104" s="162" t="s">
        <v>84</v>
      </c>
      <c r="N104" s="129">
        <f>J102</f>
        <v>1.0894223030783743</v>
      </c>
      <c r="O104" s="375">
        <f>J124</f>
        <v>2.0657325754966186E-14</v>
      </c>
      <c r="P104" s="378">
        <f>N97</f>
        <v>18.729141600225393</v>
      </c>
      <c r="U104" s="202">
        <f>U103+100</f>
        <v>400</v>
      </c>
      <c r="V104" s="199">
        <f t="shared" si="11"/>
        <v>4769385.6733982554</v>
      </c>
      <c r="W104" s="56" cm="1">
        <f t="array" ref="W104">PRODUCT(EXP(-($B$14*$D$98:$I$98)/(2*$B$8*$U104))/(1-EXP(-($B$14*$D$98:$I$98)/($B$8*$U104))))</f>
        <v>7.0641076667867683E-11</v>
      </c>
      <c r="X104" s="158">
        <f t="shared" si="12"/>
        <v>65.933291284922248</v>
      </c>
      <c r="Y104" s="200">
        <f t="shared" si="13"/>
        <v>2</v>
      </c>
      <c r="Z104" s="201">
        <f t="shared" si="14"/>
        <v>4.4427768877759413E-2</v>
      </c>
    </row>
    <row r="105" spans="3:34" ht="23" thickBot="1" x14ac:dyDescent="0.35">
      <c r="C105" s="202">
        <f t="shared" ref="C105:C120" si="16">C104+100</f>
        <v>500</v>
      </c>
      <c r="D105" s="186">
        <f t="shared" si="15"/>
        <v>1.2851448751439101</v>
      </c>
      <c r="E105" s="186">
        <f t="shared" si="15"/>
        <v>1.0174957235935609</v>
      </c>
      <c r="F105" s="186">
        <f t="shared" si="15"/>
        <v>1.0174956416325653</v>
      </c>
      <c r="G105" s="186">
        <f t="shared" si="15"/>
        <v>1.0001231832809032</v>
      </c>
      <c r="H105" s="186">
        <f t="shared" si="15"/>
        <v>1.0000730847429795</v>
      </c>
      <c r="I105" s="186">
        <f t="shared" si="15"/>
        <v>1.0000730845326591</v>
      </c>
      <c r="J105" s="198">
        <f t="shared" si="10"/>
        <v>1.3308656368723202</v>
      </c>
      <c r="M105" s="163" t="s">
        <v>85</v>
      </c>
      <c r="N105" s="147">
        <f>P38</f>
        <v>1.0894200000000001</v>
      </c>
      <c r="O105" s="376">
        <f>P37</f>
        <v>2.06586E-14</v>
      </c>
      <c r="P105" s="365">
        <f>D38</f>
        <v>18.72035</v>
      </c>
      <c r="U105" s="202">
        <f t="shared" ref="U105:U120" si="17">U104+100</f>
        <v>500</v>
      </c>
      <c r="V105" s="199">
        <f t="shared" si="11"/>
        <v>8331773.8879938824</v>
      </c>
      <c r="W105" s="56" cm="1">
        <f t="array" ref="W105">PRODUCT(EXP(-($B$14*$D$98:$I$98)/(2*$B$8*$U105))/(1-EXP(-($B$14*$D$98:$I$98)/($B$8*$U105))))</f>
        <v>8.7424421121819519E-9</v>
      </c>
      <c r="X105" s="158">
        <f t="shared" si="12"/>
        <v>92.144575808362916</v>
      </c>
      <c r="Y105" s="200">
        <f t="shared" si="13"/>
        <v>2</v>
      </c>
      <c r="Z105" s="201">
        <f t="shared" si="14"/>
        <v>13.423631185476241</v>
      </c>
      <c r="AE105" s="151" t="s">
        <v>83</v>
      </c>
      <c r="AF105" s="203" t="s">
        <v>161</v>
      </c>
      <c r="AG105" s="385" t="s">
        <v>168</v>
      </c>
    </row>
    <row r="106" spans="3:34" ht="23" thickBot="1" x14ac:dyDescent="0.35">
      <c r="C106" s="202">
        <f t="shared" si="16"/>
        <v>600</v>
      </c>
      <c r="D106" s="186">
        <f t="shared" si="15"/>
        <v>1.3989221035222661</v>
      </c>
      <c r="E106" s="186">
        <f t="shared" si="15"/>
        <v>1.0350310211007387</v>
      </c>
      <c r="F106" s="186">
        <f t="shared" si="15"/>
        <v>1.0350308819877174</v>
      </c>
      <c r="G106" s="186">
        <f t="shared" si="15"/>
        <v>1.000552486625812</v>
      </c>
      <c r="H106" s="186">
        <f t="shared" si="15"/>
        <v>1.0003575343186868</v>
      </c>
      <c r="I106" s="186">
        <f t="shared" si="15"/>
        <v>1.0003575334610271</v>
      </c>
      <c r="J106" s="198">
        <f t="shared" si="10"/>
        <v>1.500550364303576</v>
      </c>
      <c r="M106" s="164" t="s">
        <v>86</v>
      </c>
      <c r="N106" s="165">
        <f>ABS(N104-N105)/N104</f>
        <v>2.1140363729703624E-6</v>
      </c>
      <c r="O106" s="165">
        <f t="shared" ref="O106:P106" si="18">ABS(O104-O105)/O104</f>
        <v>6.1684898080650009E-5</v>
      </c>
      <c r="P106" s="165">
        <f t="shared" si="18"/>
        <v>4.6940753682419591E-4</v>
      </c>
      <c r="U106" s="202">
        <f t="shared" si="17"/>
        <v>600</v>
      </c>
      <c r="V106" s="199">
        <f t="shared" si="11"/>
        <v>13142881.447161743</v>
      </c>
      <c r="W106" s="56" cm="1">
        <f t="array" ref="W106">PRODUCT(EXP(-($B$14*$D$98:$I$98)/(2*$B$8*$U106))/(1-EXP(-($B$14*$D$98:$I$98)/($B$8*$U106))))</f>
        <v>2.2777149447193282E-7</v>
      </c>
      <c r="X106" s="158">
        <f t="shared" si="12"/>
        <v>121.1271905327643</v>
      </c>
      <c r="Y106" s="200">
        <f t="shared" si="13"/>
        <v>2</v>
      </c>
      <c r="Z106" s="201">
        <f t="shared" si="14"/>
        <v>725.20635571074808</v>
      </c>
      <c r="AD106" s="162" t="s">
        <v>84</v>
      </c>
      <c r="AE106" s="129">
        <f>Z102</f>
        <v>4.0102420045868308E-6</v>
      </c>
      <c r="AF106" s="204">
        <f>D137*V102*W102*Y102</f>
        <v>2.7049288477641326E-5</v>
      </c>
      <c r="AG106" s="379">
        <f>V103*X103*Y103*J103</f>
        <v>217106609.04200432</v>
      </c>
    </row>
    <row r="107" spans="3:34" ht="20" thickBot="1" x14ac:dyDescent="0.3">
      <c r="C107" s="202">
        <f t="shared" si="16"/>
        <v>700</v>
      </c>
      <c r="D107" s="186">
        <f t="shared" si="15"/>
        <v>1.5177831773592878</v>
      </c>
      <c r="E107" s="186">
        <f t="shared" si="15"/>
        <v>1.0580888923636287</v>
      </c>
      <c r="F107" s="186">
        <f t="shared" si="15"/>
        <v>1.0580886902339079</v>
      </c>
      <c r="G107" s="186">
        <f t="shared" si="15"/>
        <v>1.001615100790211</v>
      </c>
      <c r="H107" s="186">
        <f t="shared" si="15"/>
        <v>1.0011118608875729</v>
      </c>
      <c r="I107" s="186">
        <f t="shared" si="15"/>
        <v>1.0011118585997185</v>
      </c>
      <c r="J107" s="198">
        <f t="shared" si="10"/>
        <v>1.7057682976912358</v>
      </c>
      <c r="U107" s="202">
        <f t="shared" si="17"/>
        <v>700</v>
      </c>
      <c r="V107" s="199">
        <f t="shared" si="11"/>
        <v>19322244.10999826</v>
      </c>
      <c r="W107" s="56" cm="1">
        <f t="array" ref="W107">PRODUCT(EXP(-($B$14*$D$98:$I$98)/(2*$B$8*$U107))/(1-EXP(-($B$14*$D$98:$I$98)/($B$8*$U107))))</f>
        <v>2.4393614058812149E-6</v>
      </c>
      <c r="X107" s="158">
        <f t="shared" si="12"/>
        <v>152.63770537740064</v>
      </c>
      <c r="Y107" s="200">
        <f t="shared" si="13"/>
        <v>2</v>
      </c>
      <c r="Z107" s="201">
        <f t="shared" si="14"/>
        <v>14388.831842912245</v>
      </c>
      <c r="AD107" s="163" t="s">
        <v>85</v>
      </c>
      <c r="AE107" s="147">
        <f>$P35</f>
        <v>4.0124400000000002E-6</v>
      </c>
      <c r="AF107" s="147">
        <f>$P35</f>
        <v>4.0124400000000002E-6</v>
      </c>
    </row>
    <row r="108" spans="3:34" ht="22" x14ac:dyDescent="0.3">
      <c r="C108" s="202">
        <f t="shared" si="16"/>
        <v>800</v>
      </c>
      <c r="D108" s="186">
        <f t="shared" si="15"/>
        <v>1.6399632666565005</v>
      </c>
      <c r="E108" s="186">
        <f t="shared" si="15"/>
        <v>1.08566863858928</v>
      </c>
      <c r="F108" s="186">
        <f t="shared" si="15"/>
        <v>1.0856683709547155</v>
      </c>
      <c r="G108" s="186">
        <f t="shared" si="15"/>
        <v>1.0036151692742652</v>
      </c>
      <c r="H108" s="186">
        <f t="shared" si="15"/>
        <v>1.0026061669748778</v>
      </c>
      <c r="I108" s="186">
        <f t="shared" si="15"/>
        <v>1.0026061622755471</v>
      </c>
      <c r="J108" s="198">
        <f t="shared" si="10"/>
        <v>1.9500985383323988</v>
      </c>
      <c r="U108" s="202">
        <f t="shared" si="17"/>
        <v>800</v>
      </c>
      <c r="V108" s="199">
        <f t="shared" si="11"/>
        <v>26979719.61403108</v>
      </c>
      <c r="W108" s="56" cm="1">
        <f t="array" ref="W108">PRODUCT(EXP(-($B$14*$D$98:$I$98)/(2*$B$8*$U108))/(1-EXP(-($B$14*$D$98:$I$98)/($B$8*$U108))))</f>
        <v>1.4996611913377841E-5</v>
      </c>
      <c r="X108" s="158">
        <f t="shared" si="12"/>
        <v>186.48750949406551</v>
      </c>
      <c r="Y108" s="200">
        <f t="shared" si="13"/>
        <v>2</v>
      </c>
      <c r="Z108" s="201">
        <f t="shared" si="14"/>
        <v>150907.32802266433</v>
      </c>
      <c r="AD108" s="164" t="s">
        <v>86</v>
      </c>
      <c r="AE108" s="165">
        <f>ABS(AE106-AE107)/AE106</f>
        <v>5.4809545425320858E-4</v>
      </c>
      <c r="AF108" s="165">
        <f>ABS(AF106-AF107)/AF106</f>
        <v>0.85166190218583215</v>
      </c>
    </row>
    <row r="109" spans="3:34" ht="19" x14ac:dyDescent="0.25">
      <c r="C109" s="202">
        <f t="shared" si="16"/>
        <v>900</v>
      </c>
      <c r="D109" s="186">
        <f t="shared" si="15"/>
        <v>1.7644188906509168</v>
      </c>
      <c r="E109" s="186">
        <f t="shared" si="15"/>
        <v>1.1168597421287685</v>
      </c>
      <c r="F109" s="186">
        <f t="shared" si="15"/>
        <v>1.1168594082920309</v>
      </c>
      <c r="G109" s="186">
        <f t="shared" si="15"/>
        <v>1.0067762207425051</v>
      </c>
      <c r="H109" s="186">
        <f t="shared" si="15"/>
        <v>1.0050617544348119</v>
      </c>
      <c r="I109" s="186">
        <f t="shared" si="15"/>
        <v>1.0050617463019247</v>
      </c>
      <c r="J109" s="198">
        <f t="shared" si="10"/>
        <v>2.2382947843736782</v>
      </c>
      <c r="U109" s="202">
        <f t="shared" si="17"/>
        <v>900</v>
      </c>
      <c r="V109" s="199">
        <f t="shared" si="11"/>
        <v>36217522.457368061</v>
      </c>
      <c r="W109" s="56" cm="1">
        <f t="array" ref="W109">PRODUCT(EXP(-($B$14*$D$98:$I$98)/(2*$B$8*$U109))/(1-EXP(-($B$14*$D$98:$I$98)/($B$8*$U109))))</f>
        <v>6.3691744736215036E-5</v>
      </c>
      <c r="X109" s="158">
        <f t="shared" si="12"/>
        <v>222.52485808661254</v>
      </c>
      <c r="Y109" s="200">
        <f t="shared" si="13"/>
        <v>2</v>
      </c>
      <c r="Z109" s="201">
        <f t="shared" si="14"/>
        <v>1026621.6350634171</v>
      </c>
    </row>
    <row r="110" spans="3:34" ht="19" x14ac:dyDescent="0.25">
      <c r="C110" s="202">
        <f t="shared" si="16"/>
        <v>1000</v>
      </c>
      <c r="D110" s="186">
        <f t="shared" si="15"/>
        <v>1.8904980571498744</v>
      </c>
      <c r="E110" s="186">
        <f t="shared" si="15"/>
        <v>1.1509191995549641</v>
      </c>
      <c r="F110" s="186">
        <f t="shared" si="15"/>
        <v>1.1509187997000485</v>
      </c>
      <c r="G110" s="186">
        <f t="shared" si="15"/>
        <v>1.0112226632247547</v>
      </c>
      <c r="H110" s="186">
        <f t="shared" si="15"/>
        <v>1.0086223586512806</v>
      </c>
      <c r="I110" s="186">
        <f t="shared" si="15"/>
        <v>1.0086223461386641</v>
      </c>
      <c r="J110" s="198">
        <f t="shared" si="10"/>
        <v>2.5761415703458113</v>
      </c>
      <c r="U110" s="202">
        <f t="shared" si="17"/>
        <v>1000</v>
      </c>
      <c r="V110" s="199">
        <f t="shared" si="11"/>
        <v>47131630.524107978</v>
      </c>
      <c r="W110" s="56" cm="1">
        <f t="array" ref="W110">PRODUCT(EXP(-($B$14*$D$98:$I$98)/(2*$B$8*$U110))/(1-EXP(-($B$14*$D$98:$I$98)/($B$8*$U110))))</f>
        <v>2.0879447506750608E-4</v>
      </c>
      <c r="X110" s="158">
        <f t="shared" si="12"/>
        <v>260.62421761460507</v>
      </c>
      <c r="Y110" s="200">
        <f t="shared" si="13"/>
        <v>2</v>
      </c>
      <c r="Z110" s="201">
        <f t="shared" si="14"/>
        <v>5129514.1396994386</v>
      </c>
    </row>
    <row r="111" spans="3:34" ht="19" x14ac:dyDescent="0.25">
      <c r="C111" s="202">
        <f t="shared" si="16"/>
        <v>1100</v>
      </c>
      <c r="D111" s="186">
        <f t="shared" si="15"/>
        <v>2.0177741171985124</v>
      </c>
      <c r="E111" s="186">
        <f t="shared" si="15"/>
        <v>1.1872649131720343</v>
      </c>
      <c r="F111" s="186">
        <f t="shared" si="15"/>
        <v>1.1872644478811984</v>
      </c>
      <c r="G111" s="186">
        <f t="shared" si="15"/>
        <v>1.016993066314509</v>
      </c>
      <c r="H111" s="186">
        <f t="shared" si="15"/>
        <v>1.0133557645319706</v>
      </c>
      <c r="I111" s="186">
        <f t="shared" si="15"/>
        <v>1.0133557468295973</v>
      </c>
      <c r="J111" s="198">
        <f t="shared" si="10"/>
        <v>2.9703629051025491</v>
      </c>
      <c r="U111" s="202">
        <f t="shared" si="17"/>
        <v>1100</v>
      </c>
      <c r="V111" s="199">
        <f t="shared" si="11"/>
        <v>59812806.058068268</v>
      </c>
      <c r="W111" s="56" cm="1">
        <f t="array" ref="W111">PRODUCT(EXP(-($B$14*$D$98:$I$98)/(2*$B$8*$U111))/(1-EXP(-($B$14*$D$98:$I$98)/($B$8*$U111))))</f>
        <v>5.6687939747857897E-4</v>
      </c>
      <c r="X111" s="158">
        <f t="shared" si="12"/>
        <v>300.67948402978277</v>
      </c>
      <c r="Y111" s="200">
        <f t="shared" si="13"/>
        <v>2</v>
      </c>
      <c r="Z111" s="201">
        <f t="shared" si="14"/>
        <v>20390066.526725184</v>
      </c>
    </row>
    <row r="112" spans="3:34" ht="19" x14ac:dyDescent="0.25">
      <c r="C112" s="202">
        <f t="shared" si="16"/>
        <v>1200</v>
      </c>
      <c r="D112" s="186">
        <f t="shared" si="15"/>
        <v>2.1459568739318478</v>
      </c>
      <c r="E112" s="186">
        <f t="shared" si="15"/>
        <v>1.2254468648220505</v>
      </c>
      <c r="F112" s="186">
        <f t="shared" si="15"/>
        <v>1.2254463348284852</v>
      </c>
      <c r="G112" s="186">
        <f t="shared" si="15"/>
        <v>1.0240640128902547</v>
      </c>
      <c r="H112" s="186">
        <f t="shared" si="15"/>
        <v>1.0192694921622245</v>
      </c>
      <c r="I112" s="186">
        <f t="shared" si="15"/>
        <v>1.0192694686132742</v>
      </c>
      <c r="J112" s="198">
        <f t="shared" si="10"/>
        <v>3.4285849770816701</v>
      </c>
      <c r="U112" s="202">
        <f t="shared" si="17"/>
        <v>1200</v>
      </c>
      <c r="V112" s="199">
        <f t="shared" si="11"/>
        <v>74347364.764951676</v>
      </c>
      <c r="W112" s="56" cm="1">
        <f t="array" ref="W112">PRODUCT(EXP(-($B$14*$D$98:$I$98)/(2*$B$8*$U112))/(1-EXP(-($B$14*$D$98:$I$98)/($B$8*$U112))))</f>
        <v>1.3357934673447827E-3</v>
      </c>
      <c r="X112" s="158">
        <f t="shared" si="12"/>
        <v>342.5994312471708</v>
      </c>
      <c r="Y112" s="200">
        <f t="shared" si="13"/>
        <v>2</v>
      </c>
      <c r="Z112" s="201">
        <f t="shared" si="14"/>
        <v>68048965.630663425</v>
      </c>
    </row>
    <row r="113" spans="2:26" ht="19" x14ac:dyDescent="0.25">
      <c r="C113" s="202">
        <f t="shared" si="16"/>
        <v>1300</v>
      </c>
      <c r="D113" s="186">
        <f t="shared" si="15"/>
        <v>2.2748424025256986</v>
      </c>
      <c r="E113" s="186">
        <f t="shared" si="15"/>
        <v>1.2651174202854676</v>
      </c>
      <c r="F113" s="186">
        <f t="shared" si="15"/>
        <v>1.2651168263504624</v>
      </c>
      <c r="G113" s="186">
        <f t="shared" si="15"/>
        <v>1.0323729368928962</v>
      </c>
      <c r="H113" s="186">
        <f t="shared" si="15"/>
        <v>1.026329258421494</v>
      </c>
      <c r="I113" s="186">
        <f t="shared" si="15"/>
        <v>1.0263292285143106</v>
      </c>
      <c r="J113" s="198">
        <f t="shared" si="10"/>
        <v>3.9593400320115713</v>
      </c>
      <c r="U113" s="202">
        <f t="shared" si="17"/>
        <v>1300</v>
      </c>
      <c r="V113" s="199">
        <f t="shared" si="11"/>
        <v>90817772.407663122</v>
      </c>
      <c r="W113" s="56" cm="1">
        <f t="array" ref="W113">PRODUCT(EXP(-($B$14*$D$98:$I$98)/(2*$B$8*$U113))/(1-EXP(-($B$14*$D$98:$I$98)/($B$8*$U113))))</f>
        <v>2.8216741537356615E-3</v>
      </c>
      <c r="X113" s="158">
        <f t="shared" si="12"/>
        <v>386.30452654282112</v>
      </c>
      <c r="Y113" s="200">
        <f t="shared" si="13"/>
        <v>2</v>
      </c>
      <c r="Z113" s="201">
        <f t="shared" si="14"/>
        <v>197987375.19490969</v>
      </c>
    </row>
    <row r="114" spans="2:26" ht="19" x14ac:dyDescent="0.25">
      <c r="C114" s="202">
        <f t="shared" si="16"/>
        <v>1400</v>
      </c>
      <c r="D114" s="186">
        <f t="shared" si="15"/>
        <v>2.4042833725739121</v>
      </c>
      <c r="E114" s="186">
        <f t="shared" si="15"/>
        <v>1.3060066444098701</v>
      </c>
      <c r="F114" s="186">
        <f t="shared" si="15"/>
        <v>1.3060059872645891</v>
      </c>
      <c r="G114" s="186">
        <f t="shared" si="15"/>
        <v>1.0418358583759839</v>
      </c>
      <c r="H114" s="186">
        <f t="shared" si="15"/>
        <v>1.0344749710874062</v>
      </c>
      <c r="I114" s="186">
        <f t="shared" si="15"/>
        <v>1.0344749344361044</v>
      </c>
      <c r="J114" s="198">
        <f t="shared" si="10"/>
        <v>4.5720973402735599</v>
      </c>
      <c r="U114" s="202">
        <f t="shared" si="17"/>
        <v>1400</v>
      </c>
      <c r="V114" s="199">
        <f t="shared" si="11"/>
        <v>109303118.70337307</v>
      </c>
      <c r="W114" s="56" cm="1">
        <f t="array" ref="W114">PRODUCT(EXP(-($B$14*$D$98:$I$98)/(2*$B$8*$U114))/(1-EXP(-($B$14*$D$98:$I$98)/($B$8*$U114))))</f>
        <v>5.4675595625860015E-3</v>
      </c>
      <c r="X114" s="158">
        <f t="shared" si="12"/>
        <v>431.72462614845784</v>
      </c>
      <c r="Y114" s="200">
        <f t="shared" si="13"/>
        <v>2</v>
      </c>
      <c r="Z114" s="201">
        <f t="shared" si="14"/>
        <v>516015674.90561867</v>
      </c>
    </row>
    <row r="115" spans="2:26" ht="19" x14ac:dyDescent="0.25">
      <c r="C115" s="202">
        <f t="shared" si="16"/>
        <v>1500</v>
      </c>
      <c r="D115" s="186">
        <f t="shared" si="15"/>
        <v>2.534170774826586</v>
      </c>
      <c r="E115" s="186">
        <f t="shared" si="15"/>
        <v>1.3479032572833161</v>
      </c>
      <c r="F115" s="186">
        <f t="shared" si="15"/>
        <v>1.3479025376037768</v>
      </c>
      <c r="G115" s="186">
        <f t="shared" si="15"/>
        <v>1.0523596767090904</v>
      </c>
      <c r="H115" s="186">
        <f t="shared" si="15"/>
        <v>1.043632761363168</v>
      </c>
      <c r="I115" s="186">
        <f t="shared" si="15"/>
        <v>1.0436327176851725</v>
      </c>
      <c r="J115" s="198">
        <f t="shared" si="10"/>
        <v>5.2773108994272615</v>
      </c>
      <c r="U115" s="202">
        <f t="shared" si="17"/>
        <v>1500</v>
      </c>
      <c r="V115" s="199">
        <f t="shared" si="11"/>
        <v>129879501.22062938</v>
      </c>
      <c r="W115" s="56" cm="1">
        <f t="array" ref="W115">PRODUCT(EXP(-($B$14*$D$98:$I$98)/(2*$B$8*$U115))/(1-EXP(-($B$14*$D$98:$I$98)/($B$8*$U115))))</f>
        <v>9.8835325792586068E-3</v>
      </c>
      <c r="X115" s="158">
        <f t="shared" si="12"/>
        <v>478.79726082589985</v>
      </c>
      <c r="Y115" s="200">
        <f t="shared" si="13"/>
        <v>2</v>
      </c>
      <c r="Z115" s="201">
        <f t="shared" si="14"/>
        <v>1229233714.166389</v>
      </c>
    </row>
    <row r="116" spans="2:26" ht="19" x14ac:dyDescent="0.25">
      <c r="C116" s="202">
        <f t="shared" si="16"/>
        <v>1600</v>
      </c>
      <c r="D116" s="186">
        <f t="shared" si="15"/>
        <v>2.6644222698997533</v>
      </c>
      <c r="E116" s="186">
        <f t="shared" si="15"/>
        <v>1.3906403655198607</v>
      </c>
      <c r="F116" s="186">
        <f t="shared" si="15"/>
        <v>1.3906395839187431</v>
      </c>
      <c r="G116" s="186">
        <f t="shared" si="15"/>
        <v>1.0638500322951678</v>
      </c>
      <c r="H116" s="186">
        <f t="shared" si="15"/>
        <v>1.0537232784071455</v>
      </c>
      <c r="I116" s="186">
        <f t="shared" si="15"/>
        <v>1.0537232275018853</v>
      </c>
      <c r="J116" s="198">
        <f t="shared" si="10"/>
        <v>6.0864773810570156</v>
      </c>
      <c r="U116" s="202">
        <f t="shared" si="17"/>
        <v>1600</v>
      </c>
      <c r="V116" s="199">
        <f t="shared" si="11"/>
        <v>152620341.54874289</v>
      </c>
      <c r="W116" s="56" cm="1">
        <f t="array" ref="W116">PRODUCT(EXP(-($B$14*$D$98:$I$98)/(2*$B$8*$U116))/(1-EXP(-($B$14*$D$98:$I$98)/($B$8*$U116))))</f>
        <v>1.6878517969501031E-2</v>
      </c>
      <c r="X116" s="158">
        <f t="shared" si="12"/>
        <v>527.4663302793781</v>
      </c>
      <c r="Y116" s="200">
        <f t="shared" si="13"/>
        <v>2</v>
      </c>
      <c r="Z116" s="201">
        <f t="shared" si="14"/>
        <v>2717511995.3463597</v>
      </c>
    </row>
    <row r="117" spans="2:26" ht="19" x14ac:dyDescent="0.25">
      <c r="C117" s="202">
        <f t="shared" si="16"/>
        <v>1700</v>
      </c>
      <c r="D117" s="186">
        <f t="shared" si="15"/>
        <v>2.7949745293615429</v>
      </c>
      <c r="E117" s="186">
        <f t="shared" si="15"/>
        <v>1.4340848757378406</v>
      </c>
      <c r="F117" s="186">
        <f t="shared" si="15"/>
        <v>1.4340840327645747</v>
      </c>
      <c r="G117" s="186">
        <f t="shared" si="15"/>
        <v>1.0762159703296781</v>
      </c>
      <c r="H117" s="186">
        <f t="shared" si="15"/>
        <v>1.0646670305031081</v>
      </c>
      <c r="I117" s="186">
        <f t="shared" si="15"/>
        <v>1.0646669722335971</v>
      </c>
      <c r="J117" s="198">
        <f t="shared" si="10"/>
        <v>7.0122005764425035</v>
      </c>
      <c r="U117" s="202">
        <f t="shared" si="17"/>
        <v>1700</v>
      </c>
      <c r="V117" s="199">
        <f t="shared" si="11"/>
        <v>177596649.38470513</v>
      </c>
      <c r="W117" s="56" cm="1">
        <f t="array" ref="W117">PRODUCT(EXP(-($B$14*$D$98:$I$98)/(2*$B$8*$U117))/(1-EXP(-($B$14*$D$98:$I$98)/($B$8*$U117))))</f>
        <v>2.7493894235235981E-2</v>
      </c>
      <c r="X117" s="158">
        <f t="shared" si="12"/>
        <v>577.68108895124567</v>
      </c>
      <c r="Y117" s="200">
        <f t="shared" si="13"/>
        <v>2</v>
      </c>
      <c r="Z117" s="201">
        <f t="shared" si="14"/>
        <v>5641429587.1678038</v>
      </c>
    </row>
    <row r="118" spans="2:26" ht="19" x14ac:dyDescent="0.25">
      <c r="C118" s="202">
        <f t="shared" si="16"/>
        <v>1800</v>
      </c>
      <c r="D118" s="186">
        <f t="shared" si="15"/>
        <v>2.9257780646513183</v>
      </c>
      <c r="E118" s="186">
        <f t="shared" si="15"/>
        <v>1.4781296432541888</v>
      </c>
      <c r="F118" s="186">
        <f t="shared" si="15"/>
        <v>1.4781287393988858</v>
      </c>
      <c r="G118" s="186">
        <f t="shared" si="15"/>
        <v>1.0893724549790382</v>
      </c>
      <c r="H118" s="186">
        <f t="shared" si="15"/>
        <v>1.0763875968257026</v>
      </c>
      <c r="I118" s="186">
        <f t="shared" si="15"/>
        <v>1.0763875311034248</v>
      </c>
      <c r="J118" s="198">
        <f t="shared" si="10"/>
        <v>8.0682602836374517</v>
      </c>
      <c r="U118" s="202">
        <f t="shared" si="17"/>
        <v>1800</v>
      </c>
      <c r="V118" s="199">
        <f t="shared" si="11"/>
        <v>204877245.81904879</v>
      </c>
      <c r="W118" s="56" cm="1">
        <f t="array" ref="W118">PRODUCT(EXP(-($B$14*$D$98:$I$98)/(2*$B$8*$U118))/(1-EXP(-($B$14*$D$98:$I$98)/($B$8*$U118))))</f>
        <v>4.3039065377585645E-2</v>
      </c>
      <c r="X118" s="158">
        <f t="shared" si="12"/>
        <v>629.39534454247212</v>
      </c>
      <c r="Y118" s="200">
        <f t="shared" si="13"/>
        <v>2</v>
      </c>
      <c r="Z118" s="201">
        <f t="shared" si="14"/>
        <v>11099670351.951281</v>
      </c>
    </row>
    <row r="119" spans="2:26" ht="19" x14ac:dyDescent="0.25">
      <c r="C119" s="202">
        <f t="shared" si="16"/>
        <v>1900</v>
      </c>
      <c r="D119" s="186">
        <f t="shared" si="15"/>
        <v>3.0567936521679977</v>
      </c>
      <c r="E119" s="186">
        <f t="shared" si="15"/>
        <v>1.5226876235924132</v>
      </c>
      <c r="F119" s="186">
        <f t="shared" si="15"/>
        <v>1.5226866592913235</v>
      </c>
      <c r="G119" s="186">
        <f t="shared" si="15"/>
        <v>1.1032415105450379</v>
      </c>
      <c r="H119" s="186">
        <f t="shared" si="15"/>
        <v>1.0888133903880444</v>
      </c>
      <c r="I119" s="186">
        <f t="shared" si="15"/>
        <v>1.0888133171609353</v>
      </c>
      <c r="J119" s="198">
        <f t="shared" si="10"/>
        <v>9.2696845429718664</v>
      </c>
      <c r="U119" s="202">
        <f t="shared" si="17"/>
        <v>1900</v>
      </c>
      <c r="V119" s="199">
        <f t="shared" si="11"/>
        <v>234528954.14044046</v>
      </c>
      <c r="W119" s="56" cm="1">
        <f t="array" ref="W119">PRODUCT(EXP(-($B$14*$D$98:$I$98)/(2*$B$8*$U119))/(1-EXP(-($B$14*$D$98:$I$98)/($B$8*$U119))))</f>
        <v>6.512910356533802E-2</v>
      </c>
      <c r="X119" s="158">
        <f t="shared" si="12"/>
        <v>682.56681509926716</v>
      </c>
      <c r="Y119" s="200">
        <f t="shared" si="13"/>
        <v>2</v>
      </c>
      <c r="Z119" s="201">
        <f t="shared" si="14"/>
        <v>20851952797.502457</v>
      </c>
    </row>
    <row r="120" spans="2:26" ht="20" thickBot="1" x14ac:dyDescent="0.3">
      <c r="C120" s="205">
        <f t="shared" si="16"/>
        <v>2000</v>
      </c>
      <c r="D120" s="186">
        <f t="shared" si="15"/>
        <v>3.187989809315404</v>
      </c>
      <c r="E120" s="186">
        <f t="shared" si="15"/>
        <v>1.5676874857156018</v>
      </c>
      <c r="F120" s="186">
        <f t="shared" si="15"/>
        <v>1.5676864613569386</v>
      </c>
      <c r="G120" s="186">
        <f t="shared" si="15"/>
        <v>1.1177525247407218</v>
      </c>
      <c r="H120" s="186">
        <f t="shared" si="15"/>
        <v>1.1018784775925703</v>
      </c>
      <c r="I120" s="186">
        <f t="shared" si="15"/>
        <v>1.1018783968356511</v>
      </c>
      <c r="J120" s="206">
        <f t="shared" si="10"/>
        <v>10.632824655857579</v>
      </c>
      <c r="U120" s="205">
        <f t="shared" si="17"/>
        <v>2000</v>
      </c>
      <c r="V120" s="207">
        <f t="shared" si="11"/>
        <v>266616764.41580194</v>
      </c>
      <c r="W120" s="208" cm="1">
        <f t="array" ref="W120">PRODUCT(EXP(-($B$14*$D$98:$I$98)/(2*$B$8*$U120))/(1-EXP(-($B$14*$D$98:$I$98)/($B$8*$U120))))</f>
        <v>9.5724540535711222E-2</v>
      </c>
      <c r="X120" s="209">
        <f t="shared" si="12"/>
        <v>737.1566064669023</v>
      </c>
      <c r="Y120" s="210">
        <f t="shared" si="13"/>
        <v>2</v>
      </c>
      <c r="Z120" s="211">
        <f t="shared" si="14"/>
        <v>37627078707.740967</v>
      </c>
    </row>
    <row r="122" spans="2:26" ht="17" thickBot="1" x14ac:dyDescent="0.25"/>
    <row r="123" spans="2:26" ht="32" thickBot="1" x14ac:dyDescent="0.5">
      <c r="C123" s="366" t="s">
        <v>92</v>
      </c>
      <c r="D123" s="177">
        <v>1</v>
      </c>
      <c r="E123" s="178">
        <f t="shared" ref="E123:I123" si="19">D123+1</f>
        <v>2</v>
      </c>
      <c r="F123" s="178">
        <f t="shared" si="19"/>
        <v>3</v>
      </c>
      <c r="G123" s="178">
        <f t="shared" si="19"/>
        <v>4</v>
      </c>
      <c r="H123" s="178">
        <f t="shared" si="19"/>
        <v>5</v>
      </c>
      <c r="I123" s="305">
        <f t="shared" si="19"/>
        <v>6</v>
      </c>
      <c r="J123" s="175" t="s">
        <v>93</v>
      </c>
      <c r="K123" s="284"/>
      <c r="L123" s="284"/>
    </row>
    <row r="124" spans="2:26" ht="20" thickBot="1" x14ac:dyDescent="0.3">
      <c r="C124" s="185">
        <v>298.14999999999998</v>
      </c>
      <c r="D124" s="367">
        <f>EXP(-($B$14*D$98)/(2*$B$8*$C124))/(1-EXP(-($B$14*D$98)/($B$8*$C124)))</f>
        <v>0.30757777630209732</v>
      </c>
      <c r="E124" s="368">
        <f t="shared" ref="E124:I124" si="20">EXP(-($B$14*E$98)/(2*$B$8*$C124))/(1-EXP(-($B$14*E$98)/($B$8*$C124)))</f>
        <v>3.3178164520609038E-2</v>
      </c>
      <c r="F124" s="368">
        <f t="shared" si="20"/>
        <v>3.3178036153281153E-2</v>
      </c>
      <c r="G124" s="368">
        <f t="shared" si="20"/>
        <v>5.2706825450808984E-4</v>
      </c>
      <c r="H124" s="368">
        <f t="shared" si="20"/>
        <v>3.4023199426009562E-4</v>
      </c>
      <c r="I124" s="382">
        <f t="shared" si="20"/>
        <v>3.4023117333468756E-4</v>
      </c>
      <c r="J124" s="309">
        <f xml:space="preserve"> PRODUCT(D124:I124)</f>
        <v>2.0657325754966186E-14</v>
      </c>
      <c r="K124" s="269"/>
      <c r="L124" s="269"/>
    </row>
    <row r="127" spans="2:26" ht="19" x14ac:dyDescent="0.25">
      <c r="B127" s="56"/>
      <c r="C127" s="56"/>
      <c r="D127" s="56"/>
      <c r="E127" s="56"/>
      <c r="F127" s="56" t="s">
        <v>77</v>
      </c>
      <c r="G127" s="56"/>
      <c r="H127" s="56"/>
      <c r="I127" s="56"/>
      <c r="J127" s="56"/>
      <c r="K127" s="56"/>
      <c r="L127" s="56"/>
      <c r="M127" s="56"/>
      <c r="N127" s="56"/>
      <c r="O127" s="56"/>
    </row>
    <row r="128" spans="2:26" ht="27" x14ac:dyDescent="0.35">
      <c r="B128" s="56"/>
      <c r="C128" s="149" t="s">
        <v>100</v>
      </c>
      <c r="D128" s="150"/>
      <c r="E128" s="56"/>
      <c r="F128" s="56"/>
      <c r="G128" s="56"/>
      <c r="H128" s="56"/>
      <c r="I128" s="56"/>
      <c r="J128" s="56"/>
      <c r="K128" s="56"/>
      <c r="L128" s="56"/>
      <c r="M128" s="56"/>
      <c r="N128" s="56"/>
      <c r="O128" s="56"/>
    </row>
    <row r="129" spans="2:15" ht="20" thickBot="1" x14ac:dyDescent="0.3">
      <c r="B129" s="56"/>
      <c r="C129" s="56"/>
      <c r="D129" s="56"/>
      <c r="E129" s="56"/>
      <c r="F129" s="56"/>
      <c r="G129" s="56"/>
      <c r="H129" s="56"/>
      <c r="I129" s="56"/>
      <c r="J129" s="56"/>
      <c r="K129" s="56"/>
      <c r="L129" s="56"/>
      <c r="M129" s="56"/>
      <c r="N129" s="56"/>
      <c r="O129" s="56"/>
    </row>
    <row r="130" spans="2:15" ht="20" thickBot="1" x14ac:dyDescent="0.3">
      <c r="B130" s="56"/>
      <c r="C130" s="57" t="s">
        <v>34</v>
      </c>
      <c r="D130" s="58"/>
      <c r="E130" s="58"/>
      <c r="F130" s="59"/>
      <c r="G130" s="56"/>
      <c r="H130" s="56"/>
      <c r="I130" s="56"/>
      <c r="J130" s="56"/>
      <c r="K130" s="56"/>
      <c r="L130" s="56"/>
      <c r="M130" s="56"/>
      <c r="N130" s="56"/>
      <c r="O130" s="56"/>
    </row>
    <row r="131" spans="2:15" ht="20" thickBot="1" x14ac:dyDescent="0.3">
      <c r="B131" s="56"/>
      <c r="C131" s="62"/>
      <c r="D131" s="63" t="s">
        <v>37</v>
      </c>
      <c r="E131" s="64" t="s">
        <v>38</v>
      </c>
      <c r="F131" s="65" t="s">
        <v>39</v>
      </c>
      <c r="G131" s="56"/>
      <c r="H131" s="56"/>
      <c r="I131" s="56"/>
      <c r="J131" s="56"/>
      <c r="K131" s="56"/>
      <c r="L131" s="56"/>
      <c r="M131" s="56"/>
      <c r="N131" s="56"/>
      <c r="O131" s="56"/>
    </row>
    <row r="132" spans="2:15" ht="22" thickBot="1" x14ac:dyDescent="0.3">
      <c r="B132" s="56"/>
      <c r="C132" s="212" t="s">
        <v>101</v>
      </c>
      <c r="D132" s="90">
        <f>D24*($Q$8)^2</f>
        <v>1.0497341999999999E-46</v>
      </c>
      <c r="E132" s="90">
        <f t="shared" ref="E132:F132" si="21">E24*($Q$8)^2</f>
        <v>1.0497341999999999E-46</v>
      </c>
      <c r="F132" s="90">
        <f t="shared" si="21"/>
        <v>2.0994683999999998E-46</v>
      </c>
      <c r="G132" s="56"/>
      <c r="H132" s="56"/>
      <c r="I132" s="56"/>
      <c r="J132" s="56"/>
      <c r="K132" s="56"/>
      <c r="L132" s="56"/>
      <c r="M132" s="56"/>
      <c r="N132" s="56"/>
      <c r="O132" s="56"/>
    </row>
    <row r="133" spans="2:15" ht="19" x14ac:dyDescent="0.25">
      <c r="B133" s="56"/>
      <c r="C133" s="56"/>
      <c r="D133" s="56"/>
      <c r="E133" s="56"/>
      <c r="F133" s="56"/>
      <c r="G133" s="56"/>
      <c r="H133" s="56"/>
      <c r="I133" s="56"/>
      <c r="J133" s="56"/>
      <c r="K133" s="56"/>
      <c r="L133" s="56"/>
      <c r="M133" s="56"/>
      <c r="N133" s="56"/>
      <c r="O133" s="56"/>
    </row>
    <row r="134" spans="2:15" ht="19" x14ac:dyDescent="0.25">
      <c r="B134" s="56"/>
      <c r="C134" s="56"/>
      <c r="D134" s="56"/>
      <c r="E134" s="56"/>
      <c r="F134" s="56"/>
      <c r="G134" s="56"/>
      <c r="H134" s="56"/>
      <c r="I134" s="56"/>
      <c r="J134" s="56"/>
      <c r="K134" s="56"/>
      <c r="L134" s="56"/>
      <c r="M134" s="56"/>
      <c r="N134" s="56"/>
      <c r="O134" s="56"/>
    </row>
    <row r="135" spans="2:15" ht="20" thickBot="1" x14ac:dyDescent="0.3">
      <c r="B135" s="56"/>
      <c r="C135" s="56"/>
      <c r="D135" s="56"/>
      <c r="E135" s="56"/>
      <c r="F135" s="56"/>
      <c r="G135" s="56"/>
      <c r="H135" s="56"/>
      <c r="I135" s="56"/>
      <c r="J135" s="56"/>
      <c r="K135" s="56"/>
      <c r="L135" s="56"/>
      <c r="M135" s="56"/>
      <c r="N135" s="56"/>
      <c r="O135" s="56"/>
    </row>
    <row r="136" spans="2:15" ht="23" thickBot="1" x14ac:dyDescent="0.35">
      <c r="B136" s="56"/>
      <c r="C136" s="213" t="s">
        <v>79</v>
      </c>
      <c r="D136" s="151" t="s">
        <v>139</v>
      </c>
      <c r="E136" s="151" t="s">
        <v>140</v>
      </c>
      <c r="F136" s="56"/>
      <c r="G136" s="56"/>
      <c r="H136" s="153" t="s">
        <v>82</v>
      </c>
      <c r="I136" s="154"/>
      <c r="J136" s="154"/>
      <c r="K136" s="154"/>
      <c r="L136" s="154"/>
      <c r="M136" s="154"/>
      <c r="N136" s="154"/>
      <c r="O136" s="56"/>
    </row>
    <row r="137" spans="2:15" ht="20" thickBot="1" x14ac:dyDescent="0.3">
      <c r="B137" s="56"/>
      <c r="C137" s="155">
        <v>298.14999999999998</v>
      </c>
      <c r="D137" s="157">
        <f t="shared" ref="D137:D155" si="22">(8*PI()^2*(2*PI()*$B$8*C137)^(3/2)*SQRT($D$132*$E$132*$F$132))/($I$139*$B$14^3)</f>
        <v>286.18854924042171</v>
      </c>
      <c r="E137" s="157">
        <f>(SQRT(PI())/$A$31)*((C137^1.5)/SQRT($C$29*$D$29*$E$29))</f>
        <v>42.429409643967936</v>
      </c>
      <c r="F137" s="158"/>
      <c r="G137" s="56"/>
      <c r="H137" s="56"/>
      <c r="I137" s="56"/>
      <c r="J137" s="56"/>
      <c r="K137" s="56"/>
      <c r="L137" s="56"/>
      <c r="M137" s="56"/>
      <c r="N137" s="56"/>
      <c r="O137" s="56"/>
    </row>
    <row r="138" spans="2:15" ht="20" thickBot="1" x14ac:dyDescent="0.3">
      <c r="B138" s="56"/>
      <c r="C138" s="155">
        <v>300</v>
      </c>
      <c r="D138" s="157">
        <f t="shared" si="22"/>
        <v>288.85634699480477</v>
      </c>
      <c r="E138" s="157">
        <f>(SQRT(PI())/$A$31)*((C138^1.5)/SQRT($C$29*$D$29*$E$29))</f>
        <v>42.824928905896343</v>
      </c>
      <c r="F138" s="56"/>
      <c r="G138" s="56"/>
      <c r="L138" s="151" t="s">
        <v>141</v>
      </c>
      <c r="M138" s="151" t="s">
        <v>142</v>
      </c>
      <c r="N138" s="56"/>
      <c r="O138" s="56"/>
    </row>
    <row r="139" spans="2:15" ht="20" thickBot="1" x14ac:dyDescent="0.3">
      <c r="B139" s="56"/>
      <c r="C139" s="159">
        <f>C138+100</f>
        <v>400</v>
      </c>
      <c r="D139" s="161">
        <f t="shared" si="22"/>
        <v>444.72343918555737</v>
      </c>
      <c r="E139" s="161">
        <f t="shared" ref="E139:E155" si="23">(SQRT(PI())/$A$31)*((C139^1.5)/SQRT($C$29*$D$29*$E$29))</f>
        <v>65.933291284922248</v>
      </c>
      <c r="F139" s="56"/>
      <c r="H139" s="97" t="s">
        <v>106</v>
      </c>
      <c r="I139" s="103">
        <v>6</v>
      </c>
      <c r="K139" s="162" t="s">
        <v>84</v>
      </c>
      <c r="L139" s="129">
        <f>$D$137</f>
        <v>286.18854924042171</v>
      </c>
      <c r="M139" s="204">
        <f>$E$137</f>
        <v>42.429409643967936</v>
      </c>
      <c r="N139" s="56"/>
      <c r="O139" s="56"/>
    </row>
    <row r="140" spans="2:15" ht="20" thickBot="1" x14ac:dyDescent="0.3">
      <c r="B140" s="56"/>
      <c r="C140" s="159">
        <f t="shared" ref="C140:C155" si="24">C139+100</f>
        <v>500</v>
      </c>
      <c r="D140" s="161">
        <f t="shared" si="22"/>
        <v>621.51990075399465</v>
      </c>
      <c r="E140" s="161">
        <f t="shared" si="23"/>
        <v>92.144575808362916</v>
      </c>
      <c r="F140" s="56"/>
      <c r="G140" s="56"/>
      <c r="K140" s="163" t="s">
        <v>85</v>
      </c>
      <c r="L140" s="147">
        <f>P34</f>
        <v>42.429400000000001</v>
      </c>
      <c r="M140" s="147">
        <f>L140</f>
        <v>42.429400000000001</v>
      </c>
      <c r="N140" s="56"/>
      <c r="O140" s="56"/>
    </row>
    <row r="141" spans="2:15" ht="22" x14ac:dyDescent="0.3">
      <c r="B141" s="56"/>
      <c r="C141" s="159">
        <f t="shared" si="24"/>
        <v>600</v>
      </c>
      <c r="D141" s="161">
        <f t="shared" si="22"/>
        <v>817.00912699520575</v>
      </c>
      <c r="E141" s="161">
        <f t="shared" si="23"/>
        <v>121.1271905327643</v>
      </c>
      <c r="F141" s="56"/>
      <c r="G141" s="56"/>
      <c r="H141" s="56"/>
      <c r="I141" s="56"/>
      <c r="K141" s="164" t="s">
        <v>86</v>
      </c>
      <c r="L141" s="165">
        <f>ABS(L139-L140)/L139</f>
        <v>0.85174319478325522</v>
      </c>
      <c r="M141" s="165">
        <f>ABS(M139-M140)/M139</f>
        <v>2.2729441715712543E-7</v>
      </c>
      <c r="N141" s="56"/>
      <c r="O141" s="56"/>
    </row>
    <row r="142" spans="2:15" ht="19" x14ac:dyDescent="0.25">
      <c r="B142" s="56"/>
      <c r="C142" s="159">
        <f t="shared" si="24"/>
        <v>700</v>
      </c>
      <c r="D142" s="161">
        <f t="shared" si="22"/>
        <v>1029.549169500543</v>
      </c>
      <c r="E142" s="161">
        <f t="shared" si="23"/>
        <v>152.63770537740064</v>
      </c>
      <c r="F142" s="56"/>
      <c r="G142" s="56"/>
    </row>
    <row r="143" spans="2:15" ht="19" x14ac:dyDescent="0.25">
      <c r="B143" s="56"/>
      <c r="C143" s="159">
        <f t="shared" si="24"/>
        <v>800</v>
      </c>
      <c r="D143" s="161">
        <f t="shared" si="22"/>
        <v>1257.867838402829</v>
      </c>
      <c r="E143" s="161">
        <f t="shared" si="23"/>
        <v>186.48750949406551</v>
      </c>
      <c r="F143" s="56"/>
      <c r="G143" s="56"/>
    </row>
    <row r="144" spans="2:15" ht="19" x14ac:dyDescent="0.25">
      <c r="B144" s="56"/>
      <c r="C144" s="159">
        <f t="shared" si="24"/>
        <v>900</v>
      </c>
      <c r="D144" s="161">
        <f t="shared" si="22"/>
        <v>1500.941607251237</v>
      </c>
      <c r="E144" s="161">
        <f t="shared" si="23"/>
        <v>222.52485808661254</v>
      </c>
      <c r="F144" s="56"/>
      <c r="G144" s="56"/>
    </row>
    <row r="145" spans="3:5" ht="19" x14ac:dyDescent="0.25">
      <c r="C145" s="159">
        <f t="shared" si="24"/>
        <v>1000</v>
      </c>
      <c r="D145" s="161">
        <f t="shared" si="22"/>
        <v>1757.9237458621387</v>
      </c>
      <c r="E145" s="161">
        <f t="shared" si="23"/>
        <v>260.62421761460507</v>
      </c>
    </row>
    <row r="146" spans="3:5" ht="19" x14ac:dyDescent="0.25">
      <c r="C146" s="159">
        <f t="shared" si="24"/>
        <v>1100</v>
      </c>
      <c r="D146" s="161">
        <f t="shared" si="22"/>
        <v>2028.0985769755036</v>
      </c>
      <c r="E146" s="161">
        <f t="shared" si="23"/>
        <v>300.67948402978277</v>
      </c>
    </row>
    <row r="147" spans="3:5" ht="19" x14ac:dyDescent="0.25">
      <c r="C147" s="159">
        <f t="shared" si="24"/>
        <v>1200</v>
      </c>
      <c r="D147" s="161">
        <f t="shared" si="22"/>
        <v>2310.8507759584513</v>
      </c>
      <c r="E147" s="161">
        <f t="shared" si="23"/>
        <v>342.5994312471708</v>
      </c>
    </row>
    <row r="148" spans="3:5" ht="19" x14ac:dyDescent="0.25">
      <c r="C148" s="159">
        <f t="shared" si="24"/>
        <v>1300</v>
      </c>
      <c r="D148" s="161">
        <f t="shared" si="22"/>
        <v>2605.6438904993106</v>
      </c>
      <c r="E148" s="161">
        <f t="shared" si="23"/>
        <v>386.30452654282112</v>
      </c>
    </row>
    <row r="149" spans="3:5" ht="19" x14ac:dyDescent="0.25">
      <c r="C149" s="159">
        <f t="shared" si="24"/>
        <v>1400</v>
      </c>
      <c r="D149" s="161">
        <f t="shared" si="22"/>
        <v>2912.0047972752568</v>
      </c>
      <c r="E149" s="161">
        <f t="shared" si="23"/>
        <v>431.72462614845784</v>
      </c>
    </row>
    <row r="150" spans="3:5" ht="19" x14ac:dyDescent="0.25">
      <c r="C150" s="159">
        <f t="shared" si="24"/>
        <v>1500</v>
      </c>
      <c r="D150" s="161">
        <f t="shared" si="22"/>
        <v>3229.5121380632436</v>
      </c>
      <c r="E150" s="161">
        <f t="shared" si="23"/>
        <v>478.79726082589985</v>
      </c>
    </row>
    <row r="151" spans="3:5" ht="19" x14ac:dyDescent="0.25">
      <c r="C151" s="159">
        <f t="shared" si="24"/>
        <v>1600</v>
      </c>
      <c r="D151" s="161">
        <f t="shared" si="22"/>
        <v>3557.7875134844289</v>
      </c>
      <c r="E151" s="161">
        <f t="shared" si="23"/>
        <v>527.4663302793781</v>
      </c>
    </row>
    <row r="152" spans="3:5" ht="19" x14ac:dyDescent="0.25">
      <c r="C152" s="159">
        <f t="shared" si="24"/>
        <v>1700</v>
      </c>
      <c r="D152" s="161">
        <f t="shared" si="22"/>
        <v>3896.4886421437554</v>
      </c>
      <c r="E152" s="161">
        <f t="shared" si="23"/>
        <v>577.68108895124567</v>
      </c>
    </row>
    <row r="153" spans="3:5" ht="19" x14ac:dyDescent="0.25">
      <c r="C153" s="159">
        <f t="shared" si="24"/>
        <v>1800</v>
      </c>
      <c r="D153" s="161">
        <f t="shared" si="22"/>
        <v>4245.3039546095542</v>
      </c>
      <c r="E153" s="161">
        <f t="shared" si="23"/>
        <v>629.39534454247212</v>
      </c>
    </row>
    <row r="154" spans="3:5" ht="19" x14ac:dyDescent="0.25">
      <c r="C154" s="159">
        <f t="shared" si="24"/>
        <v>1900</v>
      </c>
      <c r="D154" s="161">
        <f t="shared" si="22"/>
        <v>4603.9482569300089</v>
      </c>
      <c r="E154" s="161">
        <f t="shared" si="23"/>
        <v>682.56681509926716</v>
      </c>
    </row>
    <row r="155" spans="3:5" ht="20" thickBot="1" x14ac:dyDescent="0.3">
      <c r="C155" s="166">
        <f t="shared" si="24"/>
        <v>2000</v>
      </c>
      <c r="D155" s="168">
        <f t="shared" si="22"/>
        <v>4972.1592060319144</v>
      </c>
      <c r="E155" s="168">
        <f t="shared" si="23"/>
        <v>737.1566064669023</v>
      </c>
    </row>
    <row r="162" spans="2:16" ht="19" x14ac:dyDescent="0.25">
      <c r="B162" s="56"/>
      <c r="C162" s="56"/>
      <c r="D162" s="56"/>
      <c r="E162" s="56"/>
      <c r="F162" s="56"/>
      <c r="G162" s="56"/>
      <c r="H162" s="56"/>
      <c r="I162" s="56"/>
      <c r="J162" s="56"/>
      <c r="K162" s="56"/>
      <c r="L162" s="56"/>
      <c r="M162" s="56"/>
      <c r="N162" s="56"/>
      <c r="O162" s="56"/>
      <c r="P162" s="56"/>
    </row>
    <row r="163" spans="2:16" ht="19" x14ac:dyDescent="0.25">
      <c r="B163" s="56"/>
      <c r="C163" s="56"/>
      <c r="D163" s="56"/>
      <c r="E163" s="56"/>
      <c r="F163" s="56" t="s">
        <v>77</v>
      </c>
      <c r="G163" s="56"/>
      <c r="H163" s="56"/>
      <c r="I163" s="56"/>
      <c r="J163" s="56"/>
      <c r="K163" s="56"/>
      <c r="L163" s="56"/>
      <c r="M163" s="56"/>
      <c r="N163" s="56"/>
      <c r="O163" s="56"/>
    </row>
    <row r="164" spans="2:16" ht="27" x14ac:dyDescent="0.35">
      <c r="B164" s="56"/>
      <c r="C164" s="149" t="s">
        <v>107</v>
      </c>
      <c r="D164" s="150"/>
      <c r="E164" s="56"/>
      <c r="F164" s="56"/>
      <c r="G164" s="56"/>
      <c r="H164" s="56"/>
      <c r="I164" s="56"/>
      <c r="J164" s="56"/>
      <c r="K164" s="56"/>
      <c r="L164" s="56"/>
      <c r="M164" s="56"/>
      <c r="N164" s="56"/>
      <c r="O164" s="56"/>
    </row>
    <row r="165" spans="2:16" ht="19" x14ac:dyDescent="0.25">
      <c r="B165" s="56"/>
      <c r="C165" s="56"/>
      <c r="D165" s="56"/>
      <c r="E165" s="56"/>
      <c r="F165" s="56"/>
      <c r="G165" s="56"/>
      <c r="H165" s="56"/>
      <c r="I165" s="56"/>
      <c r="J165" s="56"/>
      <c r="K165" s="56"/>
      <c r="L165" s="56"/>
      <c r="M165" s="56"/>
      <c r="N165" s="56"/>
      <c r="O165" s="56"/>
    </row>
    <row r="166" spans="2:16" ht="20" thickBot="1" x14ac:dyDescent="0.3">
      <c r="B166" s="56"/>
      <c r="C166" s="137" t="s">
        <v>108</v>
      </c>
      <c r="F166" s="56"/>
      <c r="G166" s="56"/>
      <c r="H166" s="56"/>
      <c r="I166" s="56"/>
      <c r="J166" s="56"/>
      <c r="K166" s="56"/>
      <c r="L166" s="56"/>
      <c r="M166" s="56"/>
      <c r="N166" s="56"/>
      <c r="O166" s="56"/>
    </row>
    <row r="167" spans="2:16" ht="20" thickBot="1" x14ac:dyDescent="0.3">
      <c r="B167" s="56"/>
      <c r="C167" s="180"/>
      <c r="D167" s="138">
        <v>1</v>
      </c>
      <c r="E167" s="139">
        <f>D167+1</f>
        <v>2</v>
      </c>
      <c r="F167" s="140" t="s">
        <v>109</v>
      </c>
      <c r="G167" s="56"/>
      <c r="H167" s="56"/>
      <c r="I167" s="56"/>
      <c r="J167" s="56"/>
      <c r="K167" s="56"/>
      <c r="L167" s="56"/>
      <c r="M167" s="56"/>
      <c r="N167" s="56"/>
      <c r="O167" s="56"/>
    </row>
    <row r="168" spans="2:16" ht="20" thickBot="1" x14ac:dyDescent="0.3">
      <c r="B168" s="56"/>
      <c r="C168" s="214" t="s">
        <v>110</v>
      </c>
      <c r="D168" s="215">
        <f>J$46</f>
        <v>-39.847228332</v>
      </c>
      <c r="E168" s="215">
        <f t="shared" ref="E168:F168" si="25">K$46</f>
        <v>-39.847334412499997</v>
      </c>
      <c r="F168" s="215">
        <f t="shared" si="25"/>
        <v>-39.847334412499997</v>
      </c>
      <c r="G168" s="56"/>
      <c r="H168" s="56"/>
      <c r="I168" s="56"/>
      <c r="J168" s="56"/>
      <c r="K168" s="56"/>
      <c r="L168" s="56"/>
      <c r="M168" s="56"/>
      <c r="N168" s="56"/>
      <c r="O168" s="56"/>
    </row>
    <row r="169" spans="2:16" ht="20" thickBot="1" x14ac:dyDescent="0.3">
      <c r="B169" s="56"/>
      <c r="C169" s="216" t="s">
        <v>111</v>
      </c>
      <c r="D169" s="217">
        <f>D168*$K$7</f>
        <v>-1.7373391552751999E-16</v>
      </c>
      <c r="E169" s="217">
        <f t="shared" ref="E169:F169" si="26">E168*$K$7</f>
        <v>-1.7373437803849999E-16</v>
      </c>
      <c r="F169" s="217">
        <f t="shared" si="26"/>
        <v>-1.7373437803849999E-16</v>
      </c>
      <c r="G169" s="56"/>
      <c r="H169" s="56"/>
      <c r="I169" s="56"/>
      <c r="J169" s="56"/>
      <c r="K169" s="56"/>
      <c r="L169" s="56"/>
      <c r="M169" s="56"/>
      <c r="N169" s="56"/>
      <c r="O169" s="56"/>
    </row>
    <row r="170" spans="2:16" ht="20" thickBot="1" x14ac:dyDescent="0.3">
      <c r="B170" s="56"/>
      <c r="D170" s="56"/>
      <c r="E170" s="56"/>
      <c r="F170" s="56"/>
      <c r="G170" s="56"/>
      <c r="H170" s="56"/>
      <c r="I170" s="56"/>
      <c r="J170" s="56"/>
      <c r="K170" s="56"/>
      <c r="L170" s="56"/>
      <c r="M170" s="56"/>
      <c r="N170" s="56"/>
      <c r="O170" s="56"/>
    </row>
    <row r="171" spans="2:16" ht="22" thickBot="1" x14ac:dyDescent="0.35">
      <c r="B171" s="56"/>
      <c r="C171" s="218" t="s">
        <v>112</v>
      </c>
      <c r="D171" s="56"/>
      <c r="E171" s="56"/>
      <c r="F171" s="56"/>
      <c r="G171" s="56"/>
      <c r="H171" s="56"/>
      <c r="I171" s="56"/>
      <c r="J171" s="56"/>
      <c r="K171" s="56"/>
      <c r="L171" s="56"/>
      <c r="M171" s="56"/>
      <c r="N171" s="56"/>
      <c r="O171" s="56"/>
    </row>
    <row r="172" spans="2:16" ht="23" thickBot="1" x14ac:dyDescent="0.35">
      <c r="B172" s="56"/>
      <c r="C172" s="219">
        <f>F169+L23</f>
        <v>-1.7360430615849999E-16</v>
      </c>
      <c r="F172" s="56"/>
      <c r="G172" s="56"/>
      <c r="H172" s="153" t="s">
        <v>82</v>
      </c>
      <c r="I172" s="154"/>
      <c r="J172" s="154"/>
      <c r="K172" s="154"/>
      <c r="L172" s="154"/>
      <c r="M172" s="154"/>
      <c r="N172" s="56"/>
      <c r="O172" s="56"/>
    </row>
    <row r="173" spans="2:16" ht="20" thickBot="1" x14ac:dyDescent="0.3">
      <c r="B173" s="56"/>
      <c r="F173" s="158"/>
      <c r="G173" s="56"/>
      <c r="H173" s="56"/>
      <c r="I173" s="56"/>
      <c r="J173" s="56"/>
      <c r="K173" s="56"/>
      <c r="L173" s="56"/>
      <c r="M173" s="56"/>
      <c r="N173" s="56"/>
      <c r="O173" s="56"/>
    </row>
    <row r="174" spans="2:16" ht="22" thickBot="1" x14ac:dyDescent="0.3">
      <c r="B174" s="56"/>
      <c r="C174" s="213" t="s">
        <v>79</v>
      </c>
      <c r="D174" s="220" t="s">
        <v>113</v>
      </c>
      <c r="F174" s="56"/>
      <c r="G174" s="56"/>
      <c r="L174" s="151" t="s">
        <v>83</v>
      </c>
      <c r="M174" s="56"/>
      <c r="N174" s="56"/>
      <c r="O174" s="56"/>
    </row>
    <row r="175" spans="2:16" ht="20" thickBot="1" x14ac:dyDescent="0.3">
      <c r="B175" s="56"/>
      <c r="C175" s="155">
        <v>298.14999999999998</v>
      </c>
      <c r="D175" s="157">
        <f>2</f>
        <v>2</v>
      </c>
      <c r="F175" s="56"/>
      <c r="G175" s="56"/>
      <c r="K175" s="162" t="s">
        <v>84</v>
      </c>
      <c r="L175" s="129">
        <f>2</f>
        <v>2</v>
      </c>
      <c r="M175" s="56"/>
      <c r="N175" s="56"/>
      <c r="O175" s="56"/>
    </row>
    <row r="176" spans="2:16" ht="20" thickBot="1" x14ac:dyDescent="0.3">
      <c r="B176" s="56"/>
      <c r="C176" s="155">
        <v>300</v>
      </c>
      <c r="D176" s="157">
        <f>2</f>
        <v>2</v>
      </c>
      <c r="F176" s="56"/>
      <c r="G176" s="56"/>
      <c r="K176" s="163" t="s">
        <v>85</v>
      </c>
      <c r="L176" s="147">
        <f>P32</f>
        <v>2</v>
      </c>
      <c r="M176" s="56"/>
      <c r="N176" s="56"/>
      <c r="O176" s="56"/>
    </row>
    <row r="177" spans="2:15" ht="22" x14ac:dyDescent="0.3">
      <c r="B177" s="56"/>
      <c r="C177" s="159">
        <f>C176+100</f>
        <v>400</v>
      </c>
      <c r="D177" s="161">
        <f>2</f>
        <v>2</v>
      </c>
      <c r="F177" s="56"/>
      <c r="G177" s="56"/>
      <c r="H177" s="56"/>
      <c r="I177" s="56"/>
      <c r="K177" s="164" t="s">
        <v>86</v>
      </c>
      <c r="L177" s="165">
        <f>ABS(L175-L176)/L175</f>
        <v>0</v>
      </c>
      <c r="M177" s="56"/>
      <c r="N177" s="56"/>
      <c r="O177" s="56"/>
    </row>
    <row r="178" spans="2:15" ht="19" x14ac:dyDescent="0.25">
      <c r="B178" s="56"/>
      <c r="C178" s="159">
        <f t="shared" ref="C178:C193" si="27">C177+100</f>
        <v>500</v>
      </c>
      <c r="D178" s="161">
        <f>2</f>
        <v>2</v>
      </c>
      <c r="F178" s="56"/>
      <c r="G178" s="56"/>
    </row>
    <row r="179" spans="2:15" ht="19" x14ac:dyDescent="0.25">
      <c r="B179" s="56"/>
      <c r="C179" s="159">
        <f t="shared" si="27"/>
        <v>600</v>
      </c>
      <c r="D179" s="161">
        <f>2</f>
        <v>2</v>
      </c>
      <c r="F179" s="56"/>
      <c r="G179" s="56"/>
    </row>
    <row r="180" spans="2:15" ht="19" x14ac:dyDescent="0.25">
      <c r="B180" s="56"/>
      <c r="C180" s="159">
        <f t="shared" si="27"/>
        <v>700</v>
      </c>
      <c r="D180" s="161">
        <f>2</f>
        <v>2</v>
      </c>
      <c r="F180" s="56"/>
      <c r="G180" s="56"/>
    </row>
    <row r="181" spans="2:15" ht="19" x14ac:dyDescent="0.25">
      <c r="C181" s="159">
        <f t="shared" si="27"/>
        <v>800</v>
      </c>
      <c r="D181" s="161">
        <f>2</f>
        <v>2</v>
      </c>
    </row>
    <row r="182" spans="2:15" ht="19" x14ac:dyDescent="0.25">
      <c r="C182" s="159">
        <f t="shared" si="27"/>
        <v>900</v>
      </c>
      <c r="D182" s="161">
        <f>2</f>
        <v>2</v>
      </c>
    </row>
    <row r="183" spans="2:15" ht="19" x14ac:dyDescent="0.25">
      <c r="C183" s="159">
        <f t="shared" si="27"/>
        <v>1000</v>
      </c>
      <c r="D183" s="161">
        <f>2</f>
        <v>2</v>
      </c>
    </row>
    <row r="184" spans="2:15" ht="19" x14ac:dyDescent="0.25">
      <c r="C184" s="159">
        <f t="shared" si="27"/>
        <v>1100</v>
      </c>
      <c r="D184" s="161">
        <f>2</f>
        <v>2</v>
      </c>
    </row>
    <row r="185" spans="2:15" ht="19" x14ac:dyDescent="0.25">
      <c r="C185" s="159">
        <f t="shared" si="27"/>
        <v>1200</v>
      </c>
      <c r="D185" s="161">
        <f>2</f>
        <v>2</v>
      </c>
    </row>
    <row r="186" spans="2:15" ht="19" x14ac:dyDescent="0.25">
      <c r="C186" s="159">
        <f t="shared" si="27"/>
        <v>1300</v>
      </c>
      <c r="D186" s="161">
        <f>2</f>
        <v>2</v>
      </c>
    </row>
    <row r="187" spans="2:15" ht="19" x14ac:dyDescent="0.25">
      <c r="C187" s="159">
        <f t="shared" si="27"/>
        <v>1400</v>
      </c>
      <c r="D187" s="161">
        <f>2</f>
        <v>2</v>
      </c>
    </row>
    <row r="188" spans="2:15" ht="19" x14ac:dyDescent="0.25">
      <c r="C188" s="159">
        <f t="shared" si="27"/>
        <v>1500</v>
      </c>
      <c r="D188" s="161">
        <f>2</f>
        <v>2</v>
      </c>
    </row>
    <row r="189" spans="2:15" ht="19" x14ac:dyDescent="0.25">
      <c r="C189" s="159">
        <f t="shared" si="27"/>
        <v>1600</v>
      </c>
      <c r="D189" s="161">
        <f>2</f>
        <v>2</v>
      </c>
    </row>
    <row r="190" spans="2:15" ht="19" x14ac:dyDescent="0.25">
      <c r="C190" s="159">
        <f t="shared" si="27"/>
        <v>1700</v>
      </c>
      <c r="D190" s="161">
        <f>2</f>
        <v>2</v>
      </c>
    </row>
    <row r="191" spans="2:15" ht="19" x14ac:dyDescent="0.25">
      <c r="C191" s="159">
        <f t="shared" si="27"/>
        <v>1800</v>
      </c>
      <c r="D191" s="161">
        <f>2</f>
        <v>2</v>
      </c>
    </row>
    <row r="192" spans="2:15" ht="19" x14ac:dyDescent="0.25">
      <c r="C192" s="159">
        <f t="shared" si="27"/>
        <v>1900</v>
      </c>
      <c r="D192" s="161">
        <f>2</f>
        <v>2</v>
      </c>
    </row>
    <row r="193" spans="3:11" ht="20" thickBot="1" x14ac:dyDescent="0.3">
      <c r="C193" s="166">
        <f t="shared" si="27"/>
        <v>2000</v>
      </c>
      <c r="D193" s="168">
        <f>2</f>
        <v>2</v>
      </c>
    </row>
    <row r="197" spans="3:11" ht="17" thickBot="1" x14ac:dyDescent="0.25"/>
    <row r="198" spans="3:11" ht="20" thickBot="1" x14ac:dyDescent="0.3">
      <c r="E198" s="56"/>
      <c r="F198" s="56" t="s">
        <v>77</v>
      </c>
      <c r="G198" s="56"/>
      <c r="H198" s="467" t="s">
        <v>114</v>
      </c>
      <c r="I198" s="468"/>
      <c r="J198" s="468"/>
      <c r="K198" s="469"/>
    </row>
    <row r="199" spans="3:11" ht="28" thickBot="1" x14ac:dyDescent="0.4">
      <c r="C199" s="149" t="s">
        <v>115</v>
      </c>
      <c r="D199" s="150"/>
      <c r="E199" s="56"/>
      <c r="F199" s="56"/>
      <c r="G199" s="56"/>
      <c r="H199" s="221" t="s">
        <v>116</v>
      </c>
      <c r="I199" s="221" t="s">
        <v>117</v>
      </c>
      <c r="J199" s="221" t="s">
        <v>118</v>
      </c>
      <c r="K199" s="221" t="s">
        <v>119</v>
      </c>
    </row>
    <row r="202" spans="3:11" ht="17" thickBot="1" x14ac:dyDescent="0.25"/>
    <row r="203" spans="3:11" ht="20" thickBot="1" x14ac:dyDescent="0.25">
      <c r="D203" s="461" t="s">
        <v>120</v>
      </c>
      <c r="E203" s="462"/>
    </row>
    <row r="204" spans="3:11" ht="20" thickBot="1" x14ac:dyDescent="0.3">
      <c r="D204" s="173" t="s">
        <v>121</v>
      </c>
      <c r="E204" s="222" t="s">
        <v>122</v>
      </c>
    </row>
    <row r="205" spans="3:11" ht="19" x14ac:dyDescent="0.25">
      <c r="C205" s="82" t="s">
        <v>45</v>
      </c>
      <c r="D205" s="223">
        <f>$Q23</f>
        <v>7.3639999999999999</v>
      </c>
      <c r="E205" s="129">
        <f>D205*4.184</f>
        <v>30.810976</v>
      </c>
    </row>
    <row r="206" spans="3:11" ht="19" x14ac:dyDescent="0.25">
      <c r="C206" s="88" t="s">
        <v>48</v>
      </c>
      <c r="D206" s="223">
        <f t="shared" ref="D206:D209" si="28">$Q24</f>
        <v>0</v>
      </c>
      <c r="E206" s="135">
        <f t="shared" ref="E206:E209" si="29">D206*4.184</f>
        <v>0</v>
      </c>
    </row>
    <row r="207" spans="3:11" ht="19" x14ac:dyDescent="0.25">
      <c r="C207" s="88" t="s">
        <v>50</v>
      </c>
      <c r="D207" s="223">
        <f t="shared" si="28"/>
        <v>2.9809999999999999</v>
      </c>
      <c r="E207" s="135">
        <f t="shared" si="29"/>
        <v>12.472504000000001</v>
      </c>
    </row>
    <row r="208" spans="3:11" ht="19" x14ac:dyDescent="0.25">
      <c r="C208" s="88" t="s">
        <v>52</v>
      </c>
      <c r="D208" s="223">
        <f t="shared" si="28"/>
        <v>2.9809999999999999</v>
      </c>
      <c r="E208" s="135">
        <f t="shared" si="29"/>
        <v>12.472504000000001</v>
      </c>
    </row>
    <row r="209" spans="3:16" ht="20" thickBot="1" x14ac:dyDescent="0.3">
      <c r="C209" s="93" t="s">
        <v>55</v>
      </c>
      <c r="D209" s="223">
        <f t="shared" si="28"/>
        <v>1.4019999999999999</v>
      </c>
      <c r="E209" s="135">
        <f t="shared" si="29"/>
        <v>5.8659679999999996</v>
      </c>
      <c r="K209">
        <f>COLUMN(E205)</f>
        <v>5</v>
      </c>
    </row>
    <row r="210" spans="3:16" ht="24" customHeight="1" x14ac:dyDescent="0.2"/>
    <row r="211" spans="3:16" ht="17" thickBot="1" x14ac:dyDescent="0.25"/>
    <row r="212" spans="3:16" ht="23" thickBot="1" x14ac:dyDescent="0.35">
      <c r="D212" s="464" t="s">
        <v>122</v>
      </c>
      <c r="E212" s="465"/>
      <c r="F212" s="465"/>
      <c r="G212" s="465"/>
      <c r="H212" s="466"/>
      <c r="J212" s="153" t="s">
        <v>82</v>
      </c>
      <c r="K212" s="154"/>
      <c r="L212" s="154"/>
      <c r="M212" s="154"/>
      <c r="N212" s="154"/>
      <c r="O212" s="154"/>
      <c r="P212" s="56"/>
    </row>
    <row r="213" spans="3:16" ht="20" thickBot="1" x14ac:dyDescent="0.3">
      <c r="C213" s="213" t="s">
        <v>79</v>
      </c>
      <c r="D213" s="224" t="s">
        <v>123</v>
      </c>
      <c r="E213" s="225" t="s">
        <v>124</v>
      </c>
      <c r="F213" s="225" t="s">
        <v>125</v>
      </c>
      <c r="G213" s="226" t="s">
        <v>126</v>
      </c>
      <c r="H213" s="218" t="s">
        <v>127</v>
      </c>
      <c r="J213" s="56"/>
      <c r="K213" s="56"/>
      <c r="L213" s="56"/>
      <c r="M213" s="56"/>
      <c r="N213" s="56"/>
      <c r="O213" s="56"/>
      <c r="P213" s="56"/>
    </row>
    <row r="214" spans="3:16" ht="20" thickBot="1" x14ac:dyDescent="0.3">
      <c r="C214" s="185">
        <v>298.14999999999998</v>
      </c>
      <c r="D214" s="227">
        <f>3*$B$7/2</f>
        <v>12.471599999999999</v>
      </c>
      <c r="E214" s="228" cm="1">
        <f t="array" ref="E214">$B$7*SUM(($D$42:$D$47*$D$42:$D$47)*EXP($D$42:$D$47/$C214)/($C214^2*(EXP($D$42:$D$47/$C214)-1)^2))</f>
        <v>5.8656635366491301</v>
      </c>
      <c r="F214" s="229">
        <f>3*$B$7/2</f>
        <v>12.471599999999999</v>
      </c>
      <c r="G214" s="229">
        <v>0</v>
      </c>
      <c r="H214" s="230">
        <f t="shared" ref="H214:H232" si="30">SUM(D214:G214)</f>
        <v>30.808863536649127</v>
      </c>
      <c r="K214" s="224" t="s">
        <v>123</v>
      </c>
      <c r="L214" s="225" t="s">
        <v>124</v>
      </c>
      <c r="M214" s="225" t="s">
        <v>125</v>
      </c>
      <c r="N214" s="226" t="s">
        <v>126</v>
      </c>
      <c r="O214" s="218" t="s">
        <v>127</v>
      </c>
      <c r="P214" s="56"/>
    </row>
    <row r="215" spans="3:16" ht="19" x14ac:dyDescent="0.25">
      <c r="C215" s="155">
        <v>300</v>
      </c>
      <c r="D215" s="227">
        <f>3*$B$7/2</f>
        <v>12.471599999999999</v>
      </c>
      <c r="E215" s="228" cm="1">
        <f t="array" ref="E215">$B$7*SUM(($D$42:$D$47*$D$42:$D$47)*EXP($D$42:$D$47/$C215)/($C215^2*(EXP($D$42:$D$47/$C215)-1)^2))</f>
        <v>5.9212461694840375</v>
      </c>
      <c r="F215" s="229">
        <f>3*$B$7/2</f>
        <v>12.471599999999999</v>
      </c>
      <c r="G215" s="231">
        <v>0</v>
      </c>
      <c r="H215" s="230">
        <f t="shared" si="30"/>
        <v>30.864446169484037</v>
      </c>
      <c r="J215" s="162" t="s">
        <v>84</v>
      </c>
      <c r="K215" s="129">
        <f>D$214</f>
        <v>12.471599999999999</v>
      </c>
      <c r="L215" s="129">
        <f t="shared" ref="L215:O215" si="31">E$214</f>
        <v>5.8656635366491301</v>
      </c>
      <c r="M215" s="129">
        <f t="shared" si="31"/>
        <v>12.471599999999999</v>
      </c>
      <c r="N215" s="129">
        <f t="shared" si="31"/>
        <v>0</v>
      </c>
      <c r="O215" s="129">
        <f t="shared" si="31"/>
        <v>30.808863536649127</v>
      </c>
      <c r="P215" s="56"/>
    </row>
    <row r="216" spans="3:16" ht="20" thickBot="1" x14ac:dyDescent="0.3">
      <c r="C216" s="159">
        <f>C215+100</f>
        <v>400</v>
      </c>
      <c r="D216" s="232">
        <f t="shared" ref="D216:D232" si="32">3*$B$7/2</f>
        <v>12.471599999999999</v>
      </c>
      <c r="E216" s="233" cm="1">
        <f t="array" ref="E216">$B$7*SUM(($D$42:$D$47*$D$42:$D$47)*EXP($D$42:$D$47/$C216)/($C216^2*(EXP($D$42:$D$47/$C216)-1)^2))</f>
        <v>8.9746299143213086</v>
      </c>
      <c r="F216" s="234">
        <f t="shared" ref="F216:F232" si="33">3*$B$7/2</f>
        <v>12.471599999999999</v>
      </c>
      <c r="G216" s="235">
        <v>0</v>
      </c>
      <c r="H216" s="310">
        <f t="shared" si="30"/>
        <v>33.917829914321302</v>
      </c>
      <c r="J216" s="163" t="s">
        <v>85</v>
      </c>
      <c r="K216" s="147">
        <f>E207</f>
        <v>12.472504000000001</v>
      </c>
      <c r="L216" s="147">
        <f>E209</f>
        <v>5.8659679999999996</v>
      </c>
      <c r="M216" s="147">
        <f>E208</f>
        <v>12.472504000000001</v>
      </c>
      <c r="N216" s="147">
        <f>E206</f>
        <v>0</v>
      </c>
      <c r="O216" s="147">
        <f>E205</f>
        <v>30.810976</v>
      </c>
      <c r="P216" s="56"/>
    </row>
    <row r="217" spans="3:16" ht="22" x14ac:dyDescent="0.3">
      <c r="C217" s="159">
        <f t="shared" ref="C217:C232" si="34">C216+100</f>
        <v>500</v>
      </c>
      <c r="D217" s="232">
        <f t="shared" si="32"/>
        <v>12.471599999999999</v>
      </c>
      <c r="E217" s="233" cm="1">
        <f t="array" ref="E217">$B$7*SUM(($D$42:$D$47*$D$42:$D$47)*EXP($D$42:$D$47/$C217)/($C217^2*(EXP($D$42:$D$47/$C217)-1)^2))</f>
        <v>11.987284931018129</v>
      </c>
      <c r="F217" s="234">
        <f t="shared" si="33"/>
        <v>12.471599999999999</v>
      </c>
      <c r="G217" s="235">
        <v>0</v>
      </c>
      <c r="H217" s="310">
        <f t="shared" si="30"/>
        <v>36.930484931018128</v>
      </c>
      <c r="J217" s="164" t="s">
        <v>86</v>
      </c>
      <c r="K217" s="165">
        <f>IFERROR(ABS(K215-K216)/K215,0)</f>
        <v>7.2484685204946797E-5</v>
      </c>
      <c r="L217" s="165">
        <f t="shared" ref="L217:O217" si="35">IFERROR(ABS(L215-L216)/L215,0)</f>
        <v>5.1906037393249983E-5</v>
      </c>
      <c r="M217" s="165">
        <f t="shared" si="35"/>
        <v>7.2484685204946797E-5</v>
      </c>
      <c r="N217" s="165">
        <f t="shared" si="35"/>
        <v>0</v>
      </c>
      <c r="O217" s="165">
        <f t="shared" si="35"/>
        <v>6.8566740488812961E-5</v>
      </c>
      <c r="P217" s="56"/>
    </row>
    <row r="218" spans="3:16" ht="19" x14ac:dyDescent="0.25">
      <c r="C218" s="159">
        <f t="shared" si="34"/>
        <v>600</v>
      </c>
      <c r="D218" s="232">
        <f t="shared" si="32"/>
        <v>12.471599999999999</v>
      </c>
      <c r="E218" s="233" cm="1">
        <f t="array" ref="E218">$B$7*SUM(($D$42:$D$47*$D$42:$D$47)*EXP($D$42:$D$47/$C218)/($C218^2*(EXP($D$42:$D$47/$C218)-1)^2))</f>
        <v>14.850135700001974</v>
      </c>
      <c r="F218" s="234">
        <f t="shared" si="33"/>
        <v>12.471599999999999</v>
      </c>
      <c r="G218" s="235">
        <v>0</v>
      </c>
      <c r="H218" s="310">
        <f t="shared" si="30"/>
        <v>39.793335700001975</v>
      </c>
    </row>
    <row r="219" spans="3:16" ht="19" x14ac:dyDescent="0.25">
      <c r="C219" s="159">
        <f t="shared" si="34"/>
        <v>700</v>
      </c>
      <c r="D219" s="232">
        <f t="shared" si="32"/>
        <v>12.471599999999999</v>
      </c>
      <c r="E219" s="233" cm="1">
        <f t="array" ref="E219">$B$7*SUM(($D$42:$D$47*$D$42:$D$47)*EXP($D$42:$D$47/$C219)/($C219^2*(EXP($D$42:$D$47/$C219)-1)^2))</f>
        <v>17.578888936840876</v>
      </c>
      <c r="F219" s="234">
        <f t="shared" si="33"/>
        <v>12.471599999999999</v>
      </c>
      <c r="G219" s="235">
        <v>0</v>
      </c>
      <c r="H219" s="310">
        <f t="shared" si="30"/>
        <v>42.522088936840873</v>
      </c>
    </row>
    <row r="220" spans="3:16" ht="19" x14ac:dyDescent="0.25">
      <c r="C220" s="159">
        <f t="shared" si="34"/>
        <v>800</v>
      </c>
      <c r="D220" s="232">
        <f t="shared" si="32"/>
        <v>12.471599999999999</v>
      </c>
      <c r="E220" s="233" cm="1">
        <f t="array" ref="E220">$B$7*SUM(($D$42:$D$47*$D$42:$D$47)*EXP($D$42:$D$47/$C220)/($C220^2*(EXP($D$42:$D$47/$C220)-1)^2))</f>
        <v>20.195458449762743</v>
      </c>
      <c r="F220" s="234">
        <f t="shared" si="33"/>
        <v>12.471599999999999</v>
      </c>
      <c r="G220" s="235">
        <v>0</v>
      </c>
      <c r="H220" s="310">
        <f t="shared" si="30"/>
        <v>45.138658449762744</v>
      </c>
    </row>
    <row r="221" spans="3:16" ht="19" x14ac:dyDescent="0.25">
      <c r="C221" s="159">
        <f t="shared" si="34"/>
        <v>900</v>
      </c>
      <c r="D221" s="232">
        <f t="shared" si="32"/>
        <v>12.471599999999999</v>
      </c>
      <c r="E221" s="233" cm="1">
        <f t="array" ref="E221">$B$7*SUM(($D$42:$D$47*$D$42:$D$47)*EXP($D$42:$D$47/$C221)/($C221^2*(EXP($D$42:$D$47/$C221)-1)^2))</f>
        <v>22.691870935757127</v>
      </c>
      <c r="F221" s="234">
        <f t="shared" si="33"/>
        <v>12.471599999999999</v>
      </c>
      <c r="G221" s="235">
        <v>0</v>
      </c>
      <c r="H221" s="310">
        <f t="shared" si="30"/>
        <v>47.635070935757128</v>
      </c>
    </row>
    <row r="222" spans="3:16" ht="19" x14ac:dyDescent="0.25">
      <c r="C222" s="159">
        <f t="shared" si="34"/>
        <v>1000</v>
      </c>
      <c r="D222" s="232">
        <f t="shared" si="32"/>
        <v>12.471599999999999</v>
      </c>
      <c r="E222" s="233" cm="1">
        <f t="array" ref="E222">$B$7*SUM(($D$42:$D$47*$D$42:$D$47)*EXP($D$42:$D$47/$C222)/($C222^2*(EXP($D$42:$D$47/$C222)-1)^2))</f>
        <v>25.044643355397845</v>
      </c>
      <c r="F222" s="234">
        <f t="shared" si="33"/>
        <v>12.471599999999999</v>
      </c>
      <c r="G222" s="235">
        <v>0</v>
      </c>
      <c r="H222" s="310">
        <f t="shared" si="30"/>
        <v>49.987843355397843</v>
      </c>
    </row>
    <row r="223" spans="3:16" ht="19" x14ac:dyDescent="0.25">
      <c r="C223" s="159">
        <f t="shared" si="34"/>
        <v>1100</v>
      </c>
      <c r="D223" s="232">
        <f t="shared" si="32"/>
        <v>12.471599999999999</v>
      </c>
      <c r="E223" s="233" cm="1">
        <f t="array" ref="E223">$B$7*SUM(($D$42:$D$47*$D$42:$D$47)*EXP($D$42:$D$47/$C223)/($C223^2*(EXP($D$42:$D$47/$C223)-1)^2))</f>
        <v>27.231727633145869</v>
      </c>
      <c r="F223" s="234">
        <f t="shared" si="33"/>
        <v>12.471599999999999</v>
      </c>
      <c r="G223" s="235">
        <v>0</v>
      </c>
      <c r="H223" s="310">
        <f t="shared" si="30"/>
        <v>52.17492763314587</v>
      </c>
    </row>
    <row r="224" spans="3:16" ht="19" x14ac:dyDescent="0.25">
      <c r="C224" s="159">
        <f t="shared" si="34"/>
        <v>1200</v>
      </c>
      <c r="D224" s="232">
        <f t="shared" si="32"/>
        <v>12.471599999999999</v>
      </c>
      <c r="E224" s="233" cm="1">
        <f t="array" ref="E224">$B$7*SUM(($D$42:$D$47*$D$42:$D$47)*EXP($D$42:$D$47/$C224)/($C224^2*(EXP($D$42:$D$47/$C224)-1)^2))</f>
        <v>29.24023979291675</v>
      </c>
      <c r="F224" s="234">
        <f t="shared" si="33"/>
        <v>12.471599999999999</v>
      </c>
      <c r="G224" s="235">
        <v>0</v>
      </c>
      <c r="H224" s="310">
        <f t="shared" si="30"/>
        <v>54.183439792916744</v>
      </c>
    </row>
    <row r="225" spans="3:11" ht="19" x14ac:dyDescent="0.25">
      <c r="C225" s="159">
        <f t="shared" si="34"/>
        <v>1300</v>
      </c>
      <c r="D225" s="232">
        <f t="shared" si="32"/>
        <v>12.471599999999999</v>
      </c>
      <c r="E225" s="233" cm="1">
        <f t="array" ref="E225">$B$7*SUM(($D$42:$D$47*$D$42:$D$47)*EXP($D$42:$D$47/$C225)/($C225^2*(EXP($D$42:$D$47/$C225)-1)^2))</f>
        <v>31.067332350943559</v>
      </c>
      <c r="F225" s="234">
        <f t="shared" si="33"/>
        <v>12.471599999999999</v>
      </c>
      <c r="G225" s="235">
        <v>0</v>
      </c>
      <c r="H225" s="310">
        <f t="shared" si="30"/>
        <v>56.010532350943549</v>
      </c>
    </row>
    <row r="226" spans="3:11" ht="19" x14ac:dyDescent="0.25">
      <c r="C226" s="159">
        <f t="shared" si="34"/>
        <v>1400</v>
      </c>
      <c r="D226" s="232">
        <f t="shared" si="32"/>
        <v>12.471599999999999</v>
      </c>
      <c r="E226" s="233" cm="1">
        <f t="array" ref="E226">$B$7*SUM(($D$42:$D$47*$D$42:$D$47)*EXP($D$42:$D$47/$C226)/($C226^2*(EXP($D$42:$D$47/$C226)-1)^2))</f>
        <v>32.718082452799749</v>
      </c>
      <c r="F226" s="234">
        <f t="shared" si="33"/>
        <v>12.471599999999999</v>
      </c>
      <c r="G226" s="235">
        <v>0</v>
      </c>
      <c r="H226" s="310">
        <f t="shared" si="30"/>
        <v>57.661282452799739</v>
      </c>
    </row>
    <row r="227" spans="3:11" ht="19" x14ac:dyDescent="0.25">
      <c r="C227" s="159">
        <f t="shared" si="34"/>
        <v>1500</v>
      </c>
      <c r="D227" s="232">
        <f t="shared" si="32"/>
        <v>12.471599999999999</v>
      </c>
      <c r="E227" s="233" cm="1">
        <f t="array" ref="E227">$B$7*SUM(($D$42:$D$47*$D$42:$D$47)*EXP($D$42:$D$47/$C227)/($C227^2*(EXP($D$42:$D$47/$C227)-1)^2))</f>
        <v>34.202756194056462</v>
      </c>
      <c r="F227" s="234">
        <f t="shared" si="33"/>
        <v>12.471599999999999</v>
      </c>
      <c r="G227" s="235">
        <v>0</v>
      </c>
      <c r="H227" s="310">
        <f t="shared" si="30"/>
        <v>59.145956194056453</v>
      </c>
    </row>
    <row r="228" spans="3:11" ht="19" x14ac:dyDescent="0.25">
      <c r="C228" s="159">
        <f t="shared" si="34"/>
        <v>1600</v>
      </c>
      <c r="D228" s="232">
        <f t="shared" si="32"/>
        <v>12.471599999999999</v>
      </c>
      <c r="E228" s="233" cm="1">
        <f t="array" ref="E228">$B$7*SUM(($D$42:$D$47*$D$42:$D$47)*EXP($D$42:$D$47/$C228)/($C228^2*(EXP($D$42:$D$47/$C228)-1)^2))</f>
        <v>35.534451128864596</v>
      </c>
      <c r="F228" s="234">
        <f t="shared" si="33"/>
        <v>12.471599999999999</v>
      </c>
      <c r="G228" s="235">
        <v>0</v>
      </c>
      <c r="H228" s="310">
        <f t="shared" si="30"/>
        <v>60.477651128864593</v>
      </c>
    </row>
    <row r="229" spans="3:11" ht="19" x14ac:dyDescent="0.25">
      <c r="C229" s="159">
        <f t="shared" si="34"/>
        <v>1700</v>
      </c>
      <c r="D229" s="232">
        <f t="shared" si="32"/>
        <v>12.471599999999999</v>
      </c>
      <c r="E229" s="233" cm="1">
        <f t="array" ref="E229">$B$7*SUM(($D$42:$D$47*$D$42:$D$47)*EXP($D$42:$D$47/$C229)/($C229^2*(EXP($D$42:$D$47/$C229)-1)^2))</f>
        <v>36.727379065008137</v>
      </c>
      <c r="F229" s="234">
        <f t="shared" si="33"/>
        <v>12.471599999999999</v>
      </c>
      <c r="G229" s="235">
        <v>0</v>
      </c>
      <c r="H229" s="310">
        <f t="shared" si="30"/>
        <v>61.670579065008127</v>
      </c>
    </row>
    <row r="230" spans="3:11" ht="19" x14ac:dyDescent="0.25">
      <c r="C230" s="159">
        <f t="shared" si="34"/>
        <v>1800</v>
      </c>
      <c r="D230" s="232">
        <f t="shared" si="32"/>
        <v>12.471599999999999</v>
      </c>
      <c r="E230" s="233" cm="1">
        <f t="array" ref="E230">$B$7*SUM(($D$42:$D$47*$D$42:$D$47)*EXP($D$42:$D$47/$C230)/($C230^2*(EXP($D$42:$D$47/$C230)-1)^2))</f>
        <v>37.79574184718124</v>
      </c>
      <c r="F230" s="234">
        <f t="shared" si="33"/>
        <v>12.471599999999999</v>
      </c>
      <c r="G230" s="235">
        <v>0</v>
      </c>
      <c r="H230" s="310">
        <f t="shared" si="30"/>
        <v>62.738941847181238</v>
      </c>
    </row>
    <row r="231" spans="3:11" ht="19" x14ac:dyDescent="0.25">
      <c r="C231" s="159">
        <f t="shared" si="34"/>
        <v>1900</v>
      </c>
      <c r="D231" s="232">
        <f t="shared" si="32"/>
        <v>12.471599999999999</v>
      </c>
      <c r="E231" s="233" cm="1">
        <f t="array" ref="E231">$B$7*SUM(($D$42:$D$47*$D$42:$D$47)*EXP($D$42:$D$47/$C231)/($C231^2*(EXP($D$42:$D$47/$C231)-1)^2))</f>
        <v>38.753061839720687</v>
      </c>
      <c r="F231" s="234">
        <f t="shared" si="33"/>
        <v>12.471599999999999</v>
      </c>
      <c r="G231" s="235">
        <v>0</v>
      </c>
      <c r="H231" s="310">
        <f t="shared" si="30"/>
        <v>63.696261839720677</v>
      </c>
    </row>
    <row r="232" spans="3:11" ht="20" thickBot="1" x14ac:dyDescent="0.3">
      <c r="C232" s="166">
        <f t="shared" si="34"/>
        <v>2000</v>
      </c>
      <c r="D232" s="236">
        <f t="shared" si="32"/>
        <v>12.471599999999999</v>
      </c>
      <c r="E232" s="237" cm="1">
        <f t="array" ref="E232">$B$7*SUM(($D$42:$D$47*$D$42:$D$47)*EXP($D$42:$D$47/$C232)/($C232^2*(EXP($D$42:$D$47/$C232)-1)^2))</f>
        <v>39.611828312260798</v>
      </c>
      <c r="F232" s="238">
        <f t="shared" si="33"/>
        <v>12.471599999999999</v>
      </c>
      <c r="G232" s="239">
        <v>0</v>
      </c>
      <c r="H232" s="311">
        <f t="shared" si="30"/>
        <v>64.555028312260788</v>
      </c>
    </row>
    <row r="238" spans="3:11" ht="17" thickBot="1" x14ac:dyDescent="0.25"/>
    <row r="239" spans="3:11" ht="20" thickBot="1" x14ac:dyDescent="0.3">
      <c r="E239" s="56"/>
      <c r="F239" s="56" t="s">
        <v>77</v>
      </c>
      <c r="G239" s="56"/>
      <c r="H239" s="467" t="s">
        <v>114</v>
      </c>
      <c r="I239" s="468"/>
      <c r="J239" s="468"/>
      <c r="K239" s="469"/>
    </row>
    <row r="240" spans="3:11" ht="28" thickBot="1" x14ac:dyDescent="0.4">
      <c r="C240" s="149" t="s">
        <v>128</v>
      </c>
      <c r="D240" s="150"/>
      <c r="E240" s="56"/>
      <c r="F240" s="56"/>
      <c r="G240" s="56"/>
      <c r="H240" s="221" t="s">
        <v>116</v>
      </c>
      <c r="I240" s="221" t="s">
        <v>117</v>
      </c>
      <c r="J240" s="221" t="s">
        <v>118</v>
      </c>
      <c r="K240" s="221" t="s">
        <v>119</v>
      </c>
    </row>
    <row r="244" spans="3:10" ht="20" thickBot="1" x14ac:dyDescent="0.25">
      <c r="D244" s="470"/>
      <c r="E244" s="470"/>
    </row>
    <row r="245" spans="3:10" ht="20" thickBot="1" x14ac:dyDescent="0.25">
      <c r="D245" s="461" t="s">
        <v>129</v>
      </c>
      <c r="E245" s="462"/>
    </row>
    <row r="246" spans="3:10" ht="20" thickBot="1" x14ac:dyDescent="0.3">
      <c r="D246" s="173" t="s">
        <v>121</v>
      </c>
      <c r="E246" s="222" t="s">
        <v>122</v>
      </c>
    </row>
    <row r="247" spans="3:10" ht="19" x14ac:dyDescent="0.25">
      <c r="C247" s="82" t="s">
        <v>45</v>
      </c>
      <c r="D247" s="241">
        <f>$R23</f>
        <v>46.51</v>
      </c>
      <c r="E247" s="129">
        <f>D247*4.184</f>
        <v>194.59783999999999</v>
      </c>
    </row>
    <row r="248" spans="3:10" ht="19" x14ac:dyDescent="0.25">
      <c r="C248" s="88" t="s">
        <v>48</v>
      </c>
      <c r="D248" s="241">
        <f t="shared" ref="D248:D251" si="36">$R24</f>
        <v>1.377</v>
      </c>
      <c r="E248" s="135">
        <f t="shared" ref="E248:E251" si="37">D248*4.184</f>
        <v>5.761368</v>
      </c>
    </row>
    <row r="249" spans="3:10" ht="19" x14ac:dyDescent="0.25">
      <c r="C249" s="88" t="s">
        <v>50</v>
      </c>
      <c r="D249" s="241">
        <f t="shared" si="36"/>
        <v>34.067999999999998</v>
      </c>
      <c r="E249" s="135">
        <f t="shared" si="37"/>
        <v>142.54051200000001</v>
      </c>
    </row>
    <row r="250" spans="3:10" ht="19" x14ac:dyDescent="0.25">
      <c r="C250" s="88" t="s">
        <v>52</v>
      </c>
      <c r="D250" s="241">
        <f t="shared" si="36"/>
        <v>10.429</v>
      </c>
      <c r="E250" s="135">
        <f t="shared" si="37"/>
        <v>43.634936000000003</v>
      </c>
    </row>
    <row r="251" spans="3:10" ht="20" thickBot="1" x14ac:dyDescent="0.3">
      <c r="C251" s="93" t="s">
        <v>55</v>
      </c>
      <c r="D251" s="241">
        <f t="shared" si="36"/>
        <v>0.63700000000000001</v>
      </c>
      <c r="E251" s="135">
        <f t="shared" si="37"/>
        <v>2.6652080000000002</v>
      </c>
    </row>
    <row r="253" spans="3:10" ht="17" thickBot="1" x14ac:dyDescent="0.25"/>
    <row r="254" spans="3:10" ht="20" thickBot="1" x14ac:dyDescent="0.3">
      <c r="C254" s="57" t="s">
        <v>34</v>
      </c>
      <c r="D254" s="242"/>
      <c r="E254" s="242"/>
      <c r="F254" s="242"/>
      <c r="G254" s="243"/>
      <c r="I254" s="66" t="s">
        <v>130</v>
      </c>
      <c r="J254" s="244">
        <f>($B$14^2)/(8*PI()*PI()*$G$258*$B$8)</f>
        <v>1.5663307557257184</v>
      </c>
    </row>
    <row r="255" spans="3:10" ht="20" thickBot="1" x14ac:dyDescent="0.3">
      <c r="C255" s="245"/>
      <c r="D255" s="63" t="s">
        <v>37</v>
      </c>
      <c r="E255" s="64" t="s">
        <v>38</v>
      </c>
      <c r="F255" s="65" t="s">
        <v>39</v>
      </c>
      <c r="G255" s="218" t="s">
        <v>127</v>
      </c>
      <c r="I255" s="111"/>
      <c r="J255" s="111"/>
    </row>
    <row r="256" spans="3:10" ht="22" thickBot="1" x14ac:dyDescent="0.3">
      <c r="C256" s="74" t="s">
        <v>44</v>
      </c>
      <c r="D256" s="328">
        <f>D$23</f>
        <v>6.3236999999999997</v>
      </c>
      <c r="E256" s="76">
        <f t="shared" ref="E256:F256" si="38">E$23</f>
        <v>6.3236999999999997</v>
      </c>
      <c r="F256" s="329">
        <f t="shared" si="38"/>
        <v>12.647399999999999</v>
      </c>
      <c r="G256" s="194">
        <f>SQRT(F256^2 + E256^2 + D256^2)</f>
        <v>15.489838286437983</v>
      </c>
      <c r="J256" s="111"/>
    </row>
    <row r="257" spans="1:18" ht="22" thickBot="1" x14ac:dyDescent="0.3">
      <c r="C257" s="86" t="s">
        <v>47</v>
      </c>
      <c r="D257" s="246">
        <f>D256*$U$9</f>
        <v>1.0497341999999999E-26</v>
      </c>
      <c r="E257" s="223">
        <f t="shared" ref="E257:F257" si="39">E256*$U$9</f>
        <v>1.0497341999999999E-26</v>
      </c>
      <c r="F257" s="330">
        <f t="shared" si="39"/>
        <v>2.0994683999999998E-26</v>
      </c>
      <c r="G257" s="194">
        <f t="shared" ref="G257:G258" si="40">SQRT(F257^2 + E257^2 + D257^2)</f>
        <v>2.571313155548705E-26</v>
      </c>
    </row>
    <row r="258" spans="1:18" ht="22" thickBot="1" x14ac:dyDescent="0.3">
      <c r="C258" s="89" t="s">
        <v>49</v>
      </c>
      <c r="D258" s="90">
        <f>D257*($Q$8)^2</f>
        <v>1.0497341999999999E-46</v>
      </c>
      <c r="E258" s="91">
        <f>E257*($Q$8)^2</f>
        <v>1.0497341999999999E-46</v>
      </c>
      <c r="F258" s="247">
        <f t="shared" ref="F258" si="41">F257*($Q$8)^2</f>
        <v>2.0994683999999998E-46</v>
      </c>
      <c r="G258" s="194">
        <f t="shared" si="40"/>
        <v>2.5713131555487049E-46</v>
      </c>
    </row>
    <row r="259" spans="1:18" ht="17" thickBot="1" x14ac:dyDescent="0.25"/>
    <row r="260" spans="1:18" ht="20" thickBot="1" x14ac:dyDescent="0.3">
      <c r="F260" s="248" t="s">
        <v>122</v>
      </c>
      <c r="G260" s="249"/>
      <c r="H260" s="249"/>
      <c r="I260" s="249"/>
      <c r="J260" s="250"/>
    </row>
    <row r="261" spans="1:18" ht="23" thickBot="1" x14ac:dyDescent="0.35">
      <c r="C261" s="213" t="s">
        <v>79</v>
      </c>
      <c r="D261" s="251" t="s">
        <v>131</v>
      </c>
      <c r="E261" s="185" t="s">
        <v>132</v>
      </c>
      <c r="F261" s="252" t="s">
        <v>123</v>
      </c>
      <c r="G261" s="253" t="s">
        <v>124</v>
      </c>
      <c r="H261" s="253" t="s">
        <v>125</v>
      </c>
      <c r="I261" s="254" t="s">
        <v>126</v>
      </c>
      <c r="J261" s="218" t="s">
        <v>127</v>
      </c>
      <c r="L261" s="153" t="s">
        <v>82</v>
      </c>
      <c r="M261" s="154"/>
      <c r="N261" s="154"/>
      <c r="O261" s="154"/>
      <c r="P261" s="154"/>
      <c r="Q261" s="154"/>
    </row>
    <row r="262" spans="1:18" ht="20" thickBot="1" x14ac:dyDescent="0.3">
      <c r="C262" s="185">
        <v>298.14999999999998</v>
      </c>
      <c r="D262" s="255">
        <f>$B$7*C262/$B$16</f>
        <v>2.4465219442388352E-2</v>
      </c>
      <c r="E262" s="256">
        <f>((2*PI()*$A$28*$U$9*$B$8*$C262)/($B$14*$B$14))^(3/2)</f>
        <v>5.631157833581193E+31</v>
      </c>
      <c r="F262" s="257">
        <f t="shared" ref="F262:F280" si="42">$B$7*LN(($D262/$B$6)*EXP(5/2)*E262)</f>
        <v>142.53417788593234</v>
      </c>
      <c r="G262" s="258" cm="1">
        <f t="array" ref="G262">$B$7*SUM((($D$42:$D$47)/$C262)/(EXP($D$42:$D$47/$C262)-1)-LN(1-EXP(-$D$42:$D$47/$C262)))</f>
        <v>2.6638553808240539</v>
      </c>
      <c r="H262" s="259">
        <f>$B$7*(LN((SQRT(PI())/$A$31)*($C262^(3/2)/SQRT(C$29*D$29*E$29)))+3/2)</f>
        <v>43.632655408541389</v>
      </c>
      <c r="I262" s="260">
        <f>$B$7*LN(2)</f>
        <v>5.7631029180476085</v>
      </c>
      <c r="J262" s="261">
        <f t="shared" ref="J262:J280" si="43">SUM(F262:I262)</f>
        <v>194.5937915933454</v>
      </c>
      <c r="L262" s="56"/>
      <c r="M262" s="56"/>
      <c r="N262" s="56"/>
      <c r="O262" s="56"/>
      <c r="P262" s="56"/>
      <c r="Q262" s="56"/>
    </row>
    <row r="263" spans="1:18" ht="20" thickBot="1" x14ac:dyDescent="0.3">
      <c r="C263" s="155">
        <v>300</v>
      </c>
      <c r="D263" s="255">
        <f>$B$7*C263/$B$16</f>
        <v>2.4617024426350848E-2</v>
      </c>
      <c r="E263" s="256">
        <f>((2*PI()*$A$28*$U$9*$B$8*$C263)/($B$14*$B$14))^(3/2)</f>
        <v>5.6836504656689436E+31</v>
      </c>
      <c r="F263" s="262">
        <f t="shared" si="42"/>
        <v>142.66275507431655</v>
      </c>
      <c r="G263" s="228" cm="1">
        <f t="array" ref="G263">$B$7*SUM((($D$42:$D$47)/$C263)/(EXP($D$42:$D$47/$C263)-1)-LN(1-EXP(-$D$42:$D$47/$C263)))</f>
        <v>2.7003106722638721</v>
      </c>
      <c r="H263" s="263">
        <f t="shared" ref="H263:H280" si="44">$B$7*(LN((SQRT(PI())/$A$31)*($C263^(3/2)/SQRT(C$29*D$29*E$29)))+3/2)</f>
        <v>43.709801721571893</v>
      </c>
      <c r="I263" s="231">
        <f t="shared" ref="I263:I280" si="45">$B$7*LN(2)</f>
        <v>5.7631029180476085</v>
      </c>
      <c r="J263" s="261">
        <f t="shared" si="43"/>
        <v>194.83597038619993</v>
      </c>
      <c r="N263" s="224" t="s">
        <v>123</v>
      </c>
      <c r="O263" s="225" t="s">
        <v>124</v>
      </c>
      <c r="P263" s="225" t="s">
        <v>125</v>
      </c>
      <c r="Q263" s="226" t="s">
        <v>126</v>
      </c>
      <c r="R263" s="218" t="s">
        <v>127</v>
      </c>
    </row>
    <row r="264" spans="1:18" ht="20" thickBot="1" x14ac:dyDescent="0.3">
      <c r="C264" s="159">
        <f>C263+100</f>
        <v>400</v>
      </c>
      <c r="D264" s="264">
        <f t="shared" ref="D264:D280" si="46">$B$7*C264/$B$16</f>
        <v>3.2822699235134464E-2</v>
      </c>
      <c r="E264" s="265">
        <f t="shared" ref="E264:E280" si="47">(2*PI()*$A$28*$U$9*$B$8*$C264/($B$14)^2)^(3/2)</f>
        <v>8.7505523368898382E+31</v>
      </c>
      <c r="F264" s="266">
        <f t="shared" si="42"/>
        <v>148.64251463229922</v>
      </c>
      <c r="G264" s="233" cm="1">
        <f t="array" ref="G264">$B$7*SUM((($D$42:$D$47)/$C264)/(EXP($D$42:$D$47/$C264)-1)-LN(1-EXP(-$D$42:$D$47/$C264)))</f>
        <v>4.8203408962710537</v>
      </c>
      <c r="H264" s="267">
        <f t="shared" si="44"/>
        <v>47.297657456361527</v>
      </c>
      <c r="I264" s="235">
        <f t="shared" si="45"/>
        <v>5.7631029180476085</v>
      </c>
      <c r="J264" s="312">
        <f t="shared" si="43"/>
        <v>206.52361590297943</v>
      </c>
      <c r="M264" s="162" t="s">
        <v>84</v>
      </c>
      <c r="N264" s="268">
        <f>F$262</f>
        <v>142.53417788593234</v>
      </c>
      <c r="O264" s="268">
        <f>G$262</f>
        <v>2.6638553808240539</v>
      </c>
      <c r="P264" s="268">
        <f>H$262</f>
        <v>43.632655408541389</v>
      </c>
      <c r="Q264" s="268">
        <f>I$262</f>
        <v>5.7631029180476085</v>
      </c>
      <c r="R264" s="268">
        <f>J$262</f>
        <v>194.5937915933454</v>
      </c>
    </row>
    <row r="265" spans="1:18" ht="20" thickBot="1" x14ac:dyDescent="0.3">
      <c r="C265" s="159">
        <f t="shared" ref="C265:C280" si="48">C264+100</f>
        <v>500</v>
      </c>
      <c r="D265" s="264">
        <f t="shared" si="46"/>
        <v>4.1028374043918084E-2</v>
      </c>
      <c r="E265" s="265">
        <f t="shared" si="47"/>
        <v>1.2229268666222145E+32</v>
      </c>
      <c r="F265" s="266">
        <f t="shared" si="42"/>
        <v>153.28077648991643</v>
      </c>
      <c r="G265" s="233" cm="1">
        <f t="array" ref="G265">$B$7*SUM((($D$42:$D$47)/$C265)/(EXP($D$42:$D$47/$C265)-1)-LN(1-EXP(-$D$42:$D$47/$C265)))</f>
        <v>7.1490046928890649</v>
      </c>
      <c r="H265" s="267">
        <f t="shared" si="44"/>
        <v>50.080614570931829</v>
      </c>
      <c r="I265" s="235">
        <f t="shared" si="45"/>
        <v>5.7631029180476085</v>
      </c>
      <c r="J265" s="312">
        <f t="shared" si="43"/>
        <v>216.27349867178495</v>
      </c>
      <c r="M265" s="163" t="s">
        <v>85</v>
      </c>
      <c r="N265" s="268">
        <f>E249</f>
        <v>142.54051200000001</v>
      </c>
      <c r="O265" s="268">
        <f>E251</f>
        <v>2.6652080000000002</v>
      </c>
      <c r="P265" s="268">
        <f>E250</f>
        <v>43.634936000000003</v>
      </c>
      <c r="Q265" s="268">
        <f>E248</f>
        <v>5.761368</v>
      </c>
      <c r="R265" s="268">
        <f>E247</f>
        <v>194.59783999999999</v>
      </c>
    </row>
    <row r="266" spans="1:18" ht="22" x14ac:dyDescent="0.3">
      <c r="C266" s="159">
        <f t="shared" si="48"/>
        <v>600</v>
      </c>
      <c r="D266" s="264">
        <f t="shared" si="46"/>
        <v>4.9234048852701696E-2</v>
      </c>
      <c r="E266" s="265">
        <f t="shared" si="47"/>
        <v>1.6075791144674171E+32</v>
      </c>
      <c r="F266" s="266">
        <f t="shared" si="42"/>
        <v>157.07051236943548</v>
      </c>
      <c r="G266" s="233" cm="1">
        <f t="array" ref="G266">$B$7*SUM((($D$42:$D$47)/$C266)/(EXP($D$42:$D$47/$C266)-1)-LN(1-EXP(-$D$42:$D$47/$C266)))</f>
        <v>9.5899034654986384</v>
      </c>
      <c r="H266" s="267">
        <f t="shared" si="44"/>
        <v>52.354456098643297</v>
      </c>
      <c r="I266" s="235">
        <f t="shared" si="45"/>
        <v>5.7631029180476085</v>
      </c>
      <c r="J266" s="312">
        <f t="shared" si="43"/>
        <v>224.77797485162503</v>
      </c>
      <c r="L266" s="56"/>
      <c r="M266" s="164" t="s">
        <v>86</v>
      </c>
      <c r="N266" s="165">
        <f>IFERROR(ABS(N264-N265)/N264,0)</f>
        <v>4.4439264754723596E-5</v>
      </c>
      <c r="O266" s="165">
        <f t="shared" ref="O266:R266" si="49">IFERROR(ABS(O264-O265)/O264,0)</f>
        <v>5.0776749581949322E-4</v>
      </c>
      <c r="P266" s="165">
        <f t="shared" si="49"/>
        <v>5.226799600576054E-5</v>
      </c>
      <c r="Q266" s="165">
        <f t="shared" si="49"/>
        <v>3.0103887997132075E-4</v>
      </c>
      <c r="R266" s="165">
        <f t="shared" si="49"/>
        <v>2.0804397825035741E-5</v>
      </c>
    </row>
    <row r="267" spans="1:18" ht="19" x14ac:dyDescent="0.25">
      <c r="A267" s="269"/>
      <c r="C267" s="159">
        <f t="shared" si="48"/>
        <v>700</v>
      </c>
      <c r="D267" s="264">
        <f t="shared" si="46"/>
        <v>5.7439723661485309E-2</v>
      </c>
      <c r="E267" s="265">
        <f t="shared" si="47"/>
        <v>2.0257812153132569E+32</v>
      </c>
      <c r="F267" s="266">
        <f t="shared" si="42"/>
        <v>160.274688400325</v>
      </c>
      <c r="G267" s="233" cm="1">
        <f t="array" ref="G267">$B$7*SUM((($D$42:$D$47)/$C267)/(EXP($D$42:$D$47/$C267)-1)-LN(1-EXP(-$D$42:$D$47/$C267)))</f>
        <v>12.085491266600583</v>
      </c>
      <c r="H267" s="267">
        <f t="shared" si="44"/>
        <v>54.276961717176945</v>
      </c>
      <c r="I267" s="235">
        <f t="shared" si="45"/>
        <v>5.7631029180476085</v>
      </c>
      <c r="J267" s="312">
        <f t="shared" si="43"/>
        <v>232.40024430215013</v>
      </c>
    </row>
    <row r="268" spans="1:18" ht="19" x14ac:dyDescent="0.25">
      <c r="A268" s="269"/>
      <c r="C268" s="159">
        <f t="shared" si="48"/>
        <v>800</v>
      </c>
      <c r="D268" s="264">
        <f t="shared" si="46"/>
        <v>6.5645398470268929E-2</v>
      </c>
      <c r="E268" s="265">
        <f t="shared" si="47"/>
        <v>2.4750299586170452E+32</v>
      </c>
      <c r="F268" s="266">
        <f t="shared" si="42"/>
        <v>163.05027192741829</v>
      </c>
      <c r="G268" s="233" cm="1">
        <f t="array" ref="G268">$B$7*SUM((($D$42:$D$47)/$C268)/(EXP($D$42:$D$47/$C268)-1)-LN(1-EXP(-$D$42:$D$47/$C268)))</f>
        <v>14.604873605051068</v>
      </c>
      <c r="H268" s="267">
        <f t="shared" si="44"/>
        <v>55.942311833432932</v>
      </c>
      <c r="I268" s="235">
        <f t="shared" si="45"/>
        <v>5.7631029180476085</v>
      </c>
      <c r="J268" s="312">
        <f t="shared" si="43"/>
        <v>239.36056028394992</v>
      </c>
    </row>
    <row r="269" spans="1:18" ht="19" x14ac:dyDescent="0.25">
      <c r="C269" s="159">
        <f t="shared" si="48"/>
        <v>900</v>
      </c>
      <c r="D269" s="264">
        <f t="shared" si="46"/>
        <v>7.3851073279052548E-2</v>
      </c>
      <c r="E269" s="265">
        <f t="shared" si="47"/>
        <v>2.9533114137003252E+32</v>
      </c>
      <c r="F269" s="266">
        <f t="shared" si="42"/>
        <v>165.49851010657184</v>
      </c>
      <c r="G269" s="233" cm="1">
        <f t="array" ref="G269">$B$7*SUM((($D$42:$D$47)/$C269)/(EXP($D$42:$D$47/$C269)-1)-LN(1-EXP(-$D$42:$D$47/$C269)))</f>
        <v>17.128972261018362</v>
      </c>
      <c r="H269" s="267">
        <f t="shared" si="44"/>
        <v>57.411254740925088</v>
      </c>
      <c r="I269" s="235">
        <f t="shared" si="45"/>
        <v>5.7631029180476085</v>
      </c>
      <c r="J269" s="312">
        <f t="shared" si="43"/>
        <v>245.80184002656293</v>
      </c>
    </row>
    <row r="270" spans="1:18" ht="19" x14ac:dyDescent="0.25">
      <c r="C270" s="159">
        <f t="shared" si="48"/>
        <v>1000</v>
      </c>
      <c r="D270" s="264">
        <f t="shared" si="46"/>
        <v>8.2056748087836168E-2</v>
      </c>
      <c r="E270" s="265">
        <f t="shared" si="47"/>
        <v>3.4589595211351474E+32</v>
      </c>
      <c r="F270" s="266">
        <f t="shared" si="42"/>
        <v>167.6885337850355</v>
      </c>
      <c r="G270" s="233" cm="1">
        <f t="array" ref="G270">$B$7*SUM((($D$42:$D$47)/$C270)/(EXP($D$42:$D$47/$C270)-1)-LN(1-EXP(-$D$42:$D$47/$C270)))</f>
        <v>19.642936710729902</v>
      </c>
      <c r="H270" s="267">
        <f t="shared" si="44"/>
        <v>58.725268948003233</v>
      </c>
      <c r="I270" s="235">
        <f t="shared" si="45"/>
        <v>5.7631029180476085</v>
      </c>
      <c r="J270" s="312">
        <f t="shared" si="43"/>
        <v>251.81984236181628</v>
      </c>
    </row>
    <row r="271" spans="1:18" ht="19" x14ac:dyDescent="0.25">
      <c r="C271" s="159">
        <f t="shared" si="48"/>
        <v>1100</v>
      </c>
      <c r="D271" s="264">
        <f t="shared" si="46"/>
        <v>9.0262422896619773E-2</v>
      </c>
      <c r="E271" s="265">
        <f t="shared" si="47"/>
        <v>3.9905660863517955E+32</v>
      </c>
      <c r="F271" s="266">
        <f t="shared" si="42"/>
        <v>169.66965118244812</v>
      </c>
      <c r="G271" s="233" cm="1">
        <f t="array" ref="G271">$B$7*SUM((($D$42:$D$47)/$C271)/(EXP($D$42:$D$47/$C271)-1)-LN(1-EXP(-$D$42:$D$47/$C271)))</f>
        <v>22.133898437120791</v>
      </c>
      <c r="H271" s="267">
        <f t="shared" si="44"/>
        <v>59.913939386450849</v>
      </c>
      <c r="I271" s="235">
        <f t="shared" si="45"/>
        <v>5.7631029180476085</v>
      </c>
      <c r="J271" s="312">
        <f t="shared" si="43"/>
        <v>257.48059192406737</v>
      </c>
    </row>
    <row r="272" spans="1:18" ht="19" x14ac:dyDescent="0.25">
      <c r="C272" s="159">
        <f t="shared" si="48"/>
        <v>1200</v>
      </c>
      <c r="D272" s="264">
        <f t="shared" si="46"/>
        <v>9.8468097705403393E-2</v>
      </c>
      <c r="E272" s="265">
        <f t="shared" si="47"/>
        <v>4.5469203725351152E+32</v>
      </c>
      <c r="F272" s="266">
        <f t="shared" si="42"/>
        <v>171.47826966455455</v>
      </c>
      <c r="G272" s="233" cm="1">
        <f t="array" ref="G272">$B$7*SUM((($D$42:$D$47)/$C272)/(EXP($D$42:$D$47/$C272)-1)-LN(1-EXP(-$D$42:$D$47/$C272)))</f>
        <v>24.590800334154974</v>
      </c>
      <c r="H272" s="267">
        <f t="shared" si="44"/>
        <v>60.999110475714723</v>
      </c>
      <c r="I272" s="235">
        <f t="shared" si="45"/>
        <v>5.7631029180476085</v>
      </c>
      <c r="J272" s="312">
        <f t="shared" si="43"/>
        <v>262.83128339247185</v>
      </c>
    </row>
    <row r="273" spans="3:10" ht="19" x14ac:dyDescent="0.25">
      <c r="C273" s="159">
        <f t="shared" si="48"/>
        <v>1300</v>
      </c>
      <c r="D273" s="264">
        <f t="shared" si="46"/>
        <v>0.10667377251418701</v>
      </c>
      <c r="E273" s="265">
        <f t="shared" si="47"/>
        <v>5.1269668351342135E+32</v>
      </c>
      <c r="F273" s="266">
        <f t="shared" si="42"/>
        <v>173.14203738625665</v>
      </c>
      <c r="G273" s="233" cm="1">
        <f t="array" ref="G273">$B$7*SUM((($D$42:$D$47)/$C273)/(EXP($D$42:$D$47/$C273)-1)-LN(1-EXP(-$D$42:$D$47/$C273)))</f>
        <v>27.004616592929217</v>
      </c>
      <c r="H273" s="267">
        <f t="shared" si="44"/>
        <v>61.99737110873599</v>
      </c>
      <c r="I273" s="235">
        <f t="shared" si="45"/>
        <v>5.7631029180476085</v>
      </c>
      <c r="J273" s="312">
        <f t="shared" si="43"/>
        <v>267.90712800596941</v>
      </c>
    </row>
    <row r="274" spans="3:10" ht="19" x14ac:dyDescent="0.25">
      <c r="C274" s="159">
        <f t="shared" si="48"/>
        <v>1400</v>
      </c>
      <c r="D274" s="264">
        <f t="shared" si="46"/>
        <v>0.11487944732297062</v>
      </c>
      <c r="E274" s="265">
        <f t="shared" si="47"/>
        <v>5.729774538193334E+32</v>
      </c>
      <c r="F274" s="266">
        <f t="shared" si="42"/>
        <v>174.68244569544404</v>
      </c>
      <c r="G274" s="233" cm="1">
        <f t="array" ref="G274">$B$7*SUM((($D$42:$D$47)/$C274)/(EXP($D$42:$D$47/$C274)-1)-LN(1-EXP(-$D$42:$D$47/$C274)))</f>
        <v>29.368426657020219</v>
      </c>
      <c r="H274" s="267">
        <f t="shared" si="44"/>
        <v>62.921616094248364</v>
      </c>
      <c r="I274" s="235">
        <f t="shared" si="45"/>
        <v>5.7631029180476085</v>
      </c>
      <c r="J274" s="312">
        <f t="shared" si="43"/>
        <v>272.73559136476024</v>
      </c>
    </row>
    <row r="275" spans="3:10" ht="19" x14ac:dyDescent="0.25">
      <c r="C275" s="159">
        <f t="shared" si="48"/>
        <v>1500</v>
      </c>
      <c r="D275" s="264">
        <f t="shared" si="46"/>
        <v>0.12308512213175424</v>
      </c>
      <c r="E275" s="265">
        <f t="shared" si="47"/>
        <v>6.3545144007920277E+32</v>
      </c>
      <c r="F275" s="266">
        <f t="shared" si="42"/>
        <v>176.11653152217173</v>
      </c>
      <c r="G275" s="233" cm="1">
        <f t="array" ref="G275">$B$7*SUM((($D$42:$D$47)/$C275)/(EXP($D$42:$D$47/$C275)-1)-LN(1-EXP(-$D$42:$D$47/$C275)))</f>
        <v>31.67728725966159</v>
      </c>
      <c r="H275" s="267">
        <f t="shared" si="44"/>
        <v>63.782067590285024</v>
      </c>
      <c r="I275" s="235">
        <f t="shared" si="45"/>
        <v>5.7631029180476085</v>
      </c>
      <c r="J275" s="312">
        <f t="shared" si="43"/>
        <v>277.33898929016596</v>
      </c>
    </row>
    <row r="276" spans="3:10" ht="19" x14ac:dyDescent="0.25">
      <c r="C276" s="159">
        <f t="shared" si="48"/>
        <v>1600</v>
      </c>
      <c r="D276" s="264">
        <f t="shared" si="46"/>
        <v>0.13129079694053786</v>
      </c>
      <c r="E276" s="265">
        <f t="shared" si="47"/>
        <v>7.0004418695118115E+32</v>
      </c>
      <c r="F276" s="266">
        <f t="shared" si="42"/>
        <v>177.45802922253719</v>
      </c>
      <c r="G276" s="233" cm="1">
        <f t="array" ref="G276">$B$7*SUM((($D$42:$D$47)/$C276)/(EXP($D$42:$D$47/$C276)-1)-LN(1-EXP(-$D$42:$D$47/$C276)))</f>
        <v>33.927978118089733</v>
      </c>
      <c r="H276" s="267">
        <f t="shared" si="44"/>
        <v>64.586966210504357</v>
      </c>
      <c r="I276" s="235">
        <f t="shared" si="45"/>
        <v>5.7631029180476085</v>
      </c>
      <c r="J276" s="312">
        <f t="shared" si="43"/>
        <v>281.7360764691789</v>
      </c>
    </row>
    <row r="277" spans="3:10" ht="19" x14ac:dyDescent="0.25">
      <c r="C277" s="159">
        <f t="shared" si="48"/>
        <v>1700</v>
      </c>
      <c r="D277" s="264">
        <f t="shared" si="46"/>
        <v>0.13949647174932148</v>
      </c>
      <c r="E277" s="265">
        <f t="shared" si="47"/>
        <v>7.6668834580920938E+32</v>
      </c>
      <c r="F277" s="266">
        <f t="shared" si="42"/>
        <v>178.71817261161365</v>
      </c>
      <c r="G277" s="233" cm="1">
        <f t="array" ref="G277">$B$7*SUM((($D$42:$D$47)/$C277)/(EXP($D$42:$D$47/$C277)-1)-LN(1-EXP(-$D$42:$D$47/$C277)))</f>
        <v>36.118700618768031</v>
      </c>
      <c r="H277" s="267">
        <f t="shared" si="44"/>
        <v>65.343052243950211</v>
      </c>
      <c r="I277" s="235">
        <f t="shared" si="45"/>
        <v>5.7631029180476085</v>
      </c>
      <c r="J277" s="312">
        <f t="shared" si="43"/>
        <v>285.94302839237946</v>
      </c>
    </row>
    <row r="278" spans="3:10" ht="19" x14ac:dyDescent="0.25">
      <c r="C278" s="159">
        <f t="shared" si="48"/>
        <v>1800</v>
      </c>
      <c r="D278" s="264">
        <f t="shared" si="46"/>
        <v>0.1477021465581051</v>
      </c>
      <c r="E278" s="265">
        <f t="shared" si="47"/>
        <v>8.3532261103325399E+32</v>
      </c>
      <c r="F278" s="266">
        <f t="shared" si="42"/>
        <v>179.90626740169091</v>
      </c>
      <c r="G278" s="233" cm="1">
        <f t="array" ref="G278">$B$7*SUM((($D$42:$D$47)/$C278)/(EXP($D$42:$D$47/$C278)-1)-LN(1-EXP(-$D$42:$D$47/$C278)))</f>
        <v>38.248781789221056</v>
      </c>
      <c r="H278" s="267">
        <f t="shared" si="44"/>
        <v>66.055909117996507</v>
      </c>
      <c r="I278" s="235">
        <f t="shared" si="45"/>
        <v>5.7631029180476085</v>
      </c>
      <c r="J278" s="312">
        <f t="shared" si="43"/>
        <v>289.97406122695605</v>
      </c>
    </row>
    <row r="279" spans="3:10" ht="19" x14ac:dyDescent="0.25">
      <c r="C279" s="159">
        <f t="shared" si="48"/>
        <v>1900</v>
      </c>
      <c r="D279" s="264">
        <f t="shared" si="46"/>
        <v>0.15590782136688872</v>
      </c>
      <c r="E279" s="265">
        <f t="shared" si="47"/>
        <v>9.0589086674583589E+32</v>
      </c>
      <c r="F279" s="266">
        <f t="shared" si="42"/>
        <v>181.03010866301489</v>
      </c>
      <c r="G279" s="233" cm="1">
        <f t="array" ref="G279">$B$7*SUM((($D$42:$D$47)/$C279)/(EXP($D$42:$D$47/$C279)-1)-LN(1-EXP(-$D$42:$D$47/$C279)))</f>
        <v>40.318410387530278</v>
      </c>
      <c r="H279" s="267">
        <f t="shared" si="44"/>
        <v>66.730213874790891</v>
      </c>
      <c r="I279" s="235">
        <f t="shared" si="45"/>
        <v>5.7631029180476085</v>
      </c>
      <c r="J279" s="312">
        <f t="shared" si="43"/>
        <v>293.84183584338365</v>
      </c>
    </row>
    <row r="280" spans="3:10" ht="20" thickBot="1" x14ac:dyDescent="0.3">
      <c r="C280" s="166">
        <f t="shared" si="48"/>
        <v>2000</v>
      </c>
      <c r="D280" s="270">
        <f t="shared" si="46"/>
        <v>0.16411349617567234</v>
      </c>
      <c r="E280" s="271">
        <f t="shared" si="47"/>
        <v>9.7834149329776311E+32</v>
      </c>
      <c r="F280" s="272">
        <f t="shared" si="42"/>
        <v>182.0962910801544</v>
      </c>
      <c r="G280" s="237" cm="1">
        <f t="array" ref="G280">$B$7*SUM((($D$42:$D$47)/$C280)/(EXP($D$42:$D$47/$C280)-1)-LN(1-EXP(-$D$42:$D$47/$C280)))</f>
        <v>42.328414951813151</v>
      </c>
      <c r="H280" s="273">
        <f t="shared" si="44"/>
        <v>67.369923325074637</v>
      </c>
      <c r="I280" s="239">
        <f t="shared" si="45"/>
        <v>5.7631029180476085</v>
      </c>
      <c r="J280" s="313">
        <f t="shared" si="43"/>
        <v>297.55773227508979</v>
      </c>
    </row>
  </sheetData>
  <mergeCells count="11">
    <mergeCell ref="A18:V18"/>
    <mergeCell ref="A53:V53"/>
    <mergeCell ref="U93:W93"/>
    <mergeCell ref="C100:I100"/>
    <mergeCell ref="D245:E245"/>
    <mergeCell ref="AB101:AH101"/>
    <mergeCell ref="D203:E203"/>
    <mergeCell ref="D212:H212"/>
    <mergeCell ref="H239:K239"/>
    <mergeCell ref="D244:E244"/>
    <mergeCell ref="H198:K19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C94E0-74CB-5144-9379-7E1B752C0006}">
  <dimension ref="A3:AH280"/>
  <sheetViews>
    <sheetView topLeftCell="B58" zoomScale="75" workbookViewId="0">
      <selection activeCell="N266" sqref="N266"/>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1.33203125" customWidth="1"/>
    <col min="9" max="9" width="10.83203125" customWidth="1"/>
    <col min="10" max="10" width="14.6640625" customWidth="1"/>
    <col min="11" max="11" width="14.33203125" customWidth="1"/>
    <col min="12" max="12" width="14.1640625" customWidth="1"/>
    <col min="13" max="13" width="16" customWidth="1"/>
    <col min="14" max="14" width="13.33203125" customWidth="1"/>
    <col min="15" max="15" width="14.1640625" customWidth="1"/>
    <col min="16" max="16" width="24" customWidth="1"/>
    <col min="17" max="17" width="21" customWidth="1"/>
    <col min="18" max="18" width="20" customWidth="1"/>
    <col min="21" max="21" width="17.33203125" customWidth="1"/>
    <col min="22" max="22" width="14.6640625" customWidth="1"/>
    <col min="23" max="23" width="14.33203125" customWidth="1"/>
    <col min="24" max="24" width="14.5" customWidth="1"/>
    <col min="25" max="25" width="13.33203125" customWidth="1"/>
    <col min="26" max="26" width="16.33203125" customWidth="1"/>
    <col min="28" max="28" width="13.6640625" customWidth="1"/>
    <col min="30" max="30" width="15.33203125" customWidth="1"/>
    <col min="31" max="31" width="15.5" customWidth="1"/>
    <col min="32" max="32" width="17.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14">
        <v>1</v>
      </c>
      <c r="F7" s="315">
        <v>27.210699999999999</v>
      </c>
      <c r="G7" s="315">
        <v>219474.63</v>
      </c>
      <c r="H7" s="315">
        <v>627.50300000000004</v>
      </c>
      <c r="I7" s="315">
        <v>2625.5</v>
      </c>
      <c r="J7" s="315">
        <v>315777</v>
      </c>
      <c r="K7" s="315">
        <v>4.3599999999999999E-18</v>
      </c>
      <c r="L7" s="316">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17">
        <v>3.6750199999999997E-2</v>
      </c>
      <c r="F8" s="318">
        <v>1</v>
      </c>
      <c r="G8" s="318">
        <v>8065.73</v>
      </c>
      <c r="H8" s="318">
        <v>23.0609</v>
      </c>
      <c r="I8" s="318">
        <v>96.486900000000006</v>
      </c>
      <c r="J8" s="318">
        <v>11604.9</v>
      </c>
      <c r="K8" s="319">
        <v>1.5999999999999999E-19</v>
      </c>
      <c r="L8" s="320">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17">
        <v>4.5563300000000003E-6</v>
      </c>
      <c r="F9" s="318">
        <v>1.23981E-4</v>
      </c>
      <c r="G9" s="318">
        <v>1</v>
      </c>
      <c r="H9" s="318">
        <v>2.8590999999999998E-3</v>
      </c>
      <c r="I9" s="318">
        <v>1.1963E-2</v>
      </c>
      <c r="J9" s="318">
        <v>1.42879</v>
      </c>
      <c r="K9" s="318">
        <v>1.9863000000000001E-23</v>
      </c>
      <c r="L9" s="320">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17">
        <v>1.59362E-3</v>
      </c>
      <c r="F10" s="318">
        <v>4.3363400000000003E-2</v>
      </c>
      <c r="G10" s="318">
        <v>349.75700000000001</v>
      </c>
      <c r="H10" s="318">
        <v>1</v>
      </c>
      <c r="I10" s="318">
        <v>4.1840000000000002</v>
      </c>
      <c r="J10" s="318">
        <v>503.22800000000001</v>
      </c>
      <c r="K10" s="318">
        <v>6.9500000000000005E-21</v>
      </c>
      <c r="L10" s="320">
        <v>10485400000000</v>
      </c>
    </row>
    <row r="11" spans="1:22" ht="22" x14ac:dyDescent="0.3">
      <c r="A11" s="26" t="s">
        <v>25</v>
      </c>
      <c r="B11" s="48">
        <v>8.8541799999999997E-12</v>
      </c>
      <c r="D11" s="28" t="s">
        <v>10</v>
      </c>
      <c r="E11" s="317">
        <v>3.8088E-4</v>
      </c>
      <c r="F11" s="318">
        <v>1.0364099999999999E-2</v>
      </c>
      <c r="G11" s="318">
        <v>83.593000000000004</v>
      </c>
      <c r="H11" s="318">
        <v>0.23900099999999999</v>
      </c>
      <c r="I11" s="318">
        <v>1</v>
      </c>
      <c r="J11" s="318">
        <v>120.274</v>
      </c>
      <c r="K11" s="318">
        <v>1.6599999999999999E-21</v>
      </c>
      <c r="L11" s="320">
        <v>2506070000000</v>
      </c>
    </row>
    <row r="12" spans="1:22" ht="22" x14ac:dyDescent="0.3">
      <c r="A12" s="46" t="s">
        <v>26</v>
      </c>
      <c r="B12" s="47">
        <v>5.2917700000000002E-12</v>
      </c>
      <c r="D12" s="49" t="s">
        <v>11</v>
      </c>
      <c r="E12" s="317">
        <v>3.1667800000000002E-6</v>
      </c>
      <c r="F12" s="318">
        <v>8.6170500000000004E-5</v>
      </c>
      <c r="G12" s="318">
        <v>0.69502799999999998</v>
      </c>
      <c r="H12" s="318">
        <v>1.9872000000000002E-3</v>
      </c>
      <c r="I12" s="318">
        <v>8.3140000000000002E-3</v>
      </c>
      <c r="J12" s="318">
        <v>1</v>
      </c>
      <c r="K12" s="318">
        <v>1.38054E-23</v>
      </c>
      <c r="L12" s="320">
        <v>20836400000</v>
      </c>
    </row>
    <row r="13" spans="1:22" ht="19" x14ac:dyDescent="0.25">
      <c r="A13" s="26" t="s">
        <v>27</v>
      </c>
      <c r="B13" s="50">
        <f>298.15</f>
        <v>298.14999999999998</v>
      </c>
      <c r="D13" s="28" t="s">
        <v>12</v>
      </c>
      <c r="E13" s="317">
        <v>2.294E+17</v>
      </c>
      <c r="F13" s="318">
        <v>6.24181E+18</v>
      </c>
      <c r="G13" s="318">
        <v>5.0344500000000003E+22</v>
      </c>
      <c r="H13" s="318">
        <v>1.44E+20</v>
      </c>
      <c r="I13" s="318">
        <v>6.02E+20</v>
      </c>
      <c r="J13" s="318">
        <v>7.2435399999999999E+22</v>
      </c>
      <c r="K13" s="318">
        <v>1</v>
      </c>
      <c r="L13" s="320">
        <v>1.5093E+33</v>
      </c>
    </row>
    <row r="14" spans="1:22" ht="20" thickBot="1" x14ac:dyDescent="0.3">
      <c r="A14" s="26" t="s">
        <v>28</v>
      </c>
      <c r="B14" s="51">
        <v>6.626068E-34</v>
      </c>
      <c r="D14" s="52" t="s">
        <v>13</v>
      </c>
      <c r="E14" s="321">
        <v>1.5198300000000001E-16</v>
      </c>
      <c r="F14" s="322">
        <v>4.13558E-15</v>
      </c>
      <c r="G14" s="322">
        <v>3.3356499999999997E-11</v>
      </c>
      <c r="H14" s="322">
        <v>9.5370000000000002E-14</v>
      </c>
      <c r="I14" s="322"/>
      <c r="J14" s="322">
        <v>4.7993E-11</v>
      </c>
      <c r="K14" s="322">
        <v>6.62561E-34</v>
      </c>
      <c r="L14" s="323">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471" t="s">
        <v>143</v>
      </c>
      <c r="B18" s="471"/>
      <c r="C18" s="471"/>
      <c r="D18" s="471"/>
      <c r="E18" s="471"/>
      <c r="F18" s="471"/>
      <c r="G18" s="471"/>
      <c r="H18" s="471"/>
      <c r="I18" s="471"/>
      <c r="J18" s="471"/>
      <c r="K18" s="471"/>
      <c r="L18" s="471"/>
      <c r="M18" s="471"/>
      <c r="N18" s="471"/>
      <c r="O18" s="471"/>
      <c r="P18" s="471"/>
      <c r="Q18" s="471"/>
      <c r="R18" s="471"/>
      <c r="S18" s="471"/>
      <c r="T18" s="471"/>
      <c r="U18" s="471"/>
      <c r="V18" s="471"/>
    </row>
    <row r="19" spans="1:27" ht="17" thickTop="1" x14ac:dyDescent="0.2"/>
    <row r="20" spans="1:27" ht="17" thickBot="1" x14ac:dyDescent="0.25"/>
    <row r="21" spans="1:27" ht="20" thickBot="1" x14ac:dyDescent="0.3">
      <c r="A21" s="55" t="s">
        <v>33</v>
      </c>
      <c r="B21" s="56"/>
      <c r="C21" s="57" t="s">
        <v>34</v>
      </c>
      <c r="D21" s="58"/>
      <c r="E21" s="58"/>
      <c r="F21" s="59"/>
      <c r="G21" s="56"/>
      <c r="H21" s="55" t="s">
        <v>35</v>
      </c>
      <c r="I21" s="56"/>
      <c r="J21" s="56"/>
      <c r="M21" s="56"/>
      <c r="N21" s="56"/>
      <c r="O21" s="60" t="s">
        <v>36</v>
      </c>
      <c r="P21" s="58"/>
      <c r="Q21" s="58"/>
      <c r="R21" s="59"/>
      <c r="S21" s="56"/>
      <c r="T21" s="56"/>
      <c r="U21" s="56"/>
      <c r="V21" s="56"/>
      <c r="W21" s="56"/>
      <c r="X21" s="56"/>
      <c r="Y21" s="56"/>
      <c r="Z21" s="56"/>
      <c r="AA21" s="56"/>
    </row>
    <row r="22" spans="1:27" ht="20" thickBot="1" x14ac:dyDescent="0.3">
      <c r="A22" s="61">
        <v>298.14999999999998</v>
      </c>
      <c r="B22" s="56"/>
      <c r="C22" s="62"/>
      <c r="D22" s="63" t="s">
        <v>37</v>
      </c>
      <c r="E22" s="64" t="s">
        <v>38</v>
      </c>
      <c r="F22" s="65" t="s">
        <v>39</v>
      </c>
      <c r="G22" s="56"/>
      <c r="H22" s="66" t="s">
        <v>40</v>
      </c>
      <c r="I22" s="67" t="s">
        <v>9</v>
      </c>
      <c r="J22" s="67" t="s">
        <v>10</v>
      </c>
      <c r="K22" s="68" t="s">
        <v>7</v>
      </c>
      <c r="L22" s="69" t="s">
        <v>12</v>
      </c>
      <c r="M22" s="56"/>
      <c r="N22" s="56"/>
      <c r="O22" s="70"/>
      <c r="P22" s="71" t="s">
        <v>41</v>
      </c>
      <c r="Q22" s="72" t="s">
        <v>42</v>
      </c>
      <c r="R22" s="73" t="s">
        <v>43</v>
      </c>
      <c r="S22" s="56"/>
      <c r="T22" s="56"/>
      <c r="U22" s="56"/>
      <c r="V22" s="56"/>
      <c r="W22" s="56"/>
      <c r="X22" s="56"/>
      <c r="Y22" s="56"/>
      <c r="Z22" s="56"/>
      <c r="AA22" s="56"/>
    </row>
    <row r="23" spans="1:27" ht="22" thickBot="1" x14ac:dyDescent="0.3">
      <c r="A23" s="56"/>
      <c r="B23" s="56"/>
      <c r="C23" s="74" t="s">
        <v>44</v>
      </c>
      <c r="D23" s="75">
        <v>0</v>
      </c>
      <c r="E23" s="76">
        <v>0.99270999999999998</v>
      </c>
      <c r="F23" s="77">
        <v>0.99270999999999998</v>
      </c>
      <c r="G23" s="56"/>
      <c r="H23" s="78">
        <v>1.0175E-2</v>
      </c>
      <c r="I23" s="79">
        <f>H23*$H$7</f>
        <v>6.3848430250000003</v>
      </c>
      <c r="J23" s="79">
        <f>H23*$I$7</f>
        <v>26.7144625</v>
      </c>
      <c r="K23" s="80">
        <f>H23*$F$7</f>
        <v>0.27686887249999997</v>
      </c>
      <c r="L23" s="81">
        <f>H23*$K$7</f>
        <v>4.4363000000000001E-20</v>
      </c>
      <c r="M23" s="56"/>
      <c r="N23" s="56"/>
      <c r="O23" s="82" t="s">
        <v>45</v>
      </c>
      <c r="P23" s="83">
        <v>7.8659999999999997</v>
      </c>
      <c r="Q23" s="84">
        <v>4.968</v>
      </c>
      <c r="R23" s="85">
        <v>31.132000000000001</v>
      </c>
      <c r="S23" s="56"/>
      <c r="T23" s="56"/>
      <c r="U23" s="56"/>
      <c r="V23" s="56"/>
      <c r="W23" s="56"/>
      <c r="X23" s="56"/>
      <c r="Y23" s="56"/>
      <c r="Z23" s="56"/>
      <c r="AA23" s="56"/>
    </row>
    <row r="24" spans="1:27" ht="22" thickBot="1" x14ac:dyDescent="0.3">
      <c r="A24" s="55" t="s">
        <v>46</v>
      </c>
      <c r="B24" s="56"/>
      <c r="C24" s="86" t="s">
        <v>47</v>
      </c>
      <c r="D24" s="246">
        <f>D23*$U$9</f>
        <v>0</v>
      </c>
      <c r="E24" s="223">
        <f t="shared" ref="E24:F24" si="0">E23*$U$9</f>
        <v>1.6478986E-27</v>
      </c>
      <c r="F24" s="324">
        <f t="shared" si="0"/>
        <v>1.6478986E-27</v>
      </c>
      <c r="G24" s="56"/>
      <c r="M24" s="56"/>
      <c r="N24" s="56"/>
      <c r="O24" s="88" t="s">
        <v>48</v>
      </c>
      <c r="P24" s="83">
        <v>0</v>
      </c>
      <c r="Q24" s="84">
        <v>0</v>
      </c>
      <c r="R24" s="85">
        <v>0</v>
      </c>
      <c r="S24" s="56"/>
      <c r="T24" s="56"/>
      <c r="U24" s="56"/>
      <c r="V24" s="56"/>
      <c r="W24" s="56"/>
      <c r="X24" s="56"/>
      <c r="Y24" s="56"/>
      <c r="Z24" s="56"/>
      <c r="AA24" s="56"/>
    </row>
    <row r="25" spans="1:27" ht="22" thickBot="1" x14ac:dyDescent="0.3">
      <c r="A25" s="61">
        <v>1</v>
      </c>
      <c r="B25" s="56"/>
      <c r="C25" s="89" t="s">
        <v>49</v>
      </c>
      <c r="D25" s="90">
        <f>D24*($Q$8)^2</f>
        <v>0</v>
      </c>
      <c r="E25" s="91">
        <f>E24*($Q$8)^2</f>
        <v>1.6478986000000003E-47</v>
      </c>
      <c r="F25" s="92">
        <f t="shared" ref="F25" si="1">F24*($Q$8)^2</f>
        <v>1.6478986000000003E-47</v>
      </c>
      <c r="G25" s="56"/>
      <c r="M25" s="56"/>
      <c r="N25" s="56"/>
      <c r="O25" s="88" t="s">
        <v>50</v>
      </c>
      <c r="P25" s="83">
        <v>0.88900000000000001</v>
      </c>
      <c r="Q25" s="84">
        <v>2.9809999999999999</v>
      </c>
      <c r="R25" s="85">
        <v>28.08</v>
      </c>
      <c r="S25" s="56"/>
      <c r="T25" s="56"/>
      <c r="U25" s="56"/>
      <c r="V25" s="56"/>
      <c r="W25" s="56"/>
      <c r="X25" s="56"/>
      <c r="Y25" s="56"/>
      <c r="Z25" s="56"/>
      <c r="AA25" s="56"/>
    </row>
    <row r="26" spans="1:27" ht="20" thickBot="1" x14ac:dyDescent="0.3">
      <c r="A26" s="56"/>
      <c r="B26" s="56"/>
      <c r="C26" s="56"/>
      <c r="D26" s="56"/>
      <c r="E26" s="56"/>
      <c r="F26" s="56"/>
      <c r="G26" s="56"/>
      <c r="H26" s="55" t="s">
        <v>51</v>
      </c>
      <c r="I26" s="56"/>
      <c r="J26" s="56"/>
      <c r="K26" s="56"/>
      <c r="M26" s="56"/>
      <c r="N26" s="56"/>
      <c r="O26" s="88" t="s">
        <v>52</v>
      </c>
      <c r="P26" s="83">
        <v>0.59199999999999997</v>
      </c>
      <c r="Q26" s="84">
        <v>1.9870000000000001</v>
      </c>
      <c r="R26" s="85">
        <v>3.052</v>
      </c>
      <c r="S26" s="56"/>
      <c r="T26" s="56"/>
      <c r="U26" s="56"/>
      <c r="V26" s="56"/>
      <c r="W26" s="56"/>
      <c r="X26" s="56"/>
      <c r="Y26" s="56"/>
      <c r="Z26" s="56"/>
      <c r="AA26" s="56"/>
    </row>
    <row r="27" spans="1:27" ht="20" thickBot="1" x14ac:dyDescent="0.3">
      <c r="A27" s="55" t="s">
        <v>53</v>
      </c>
      <c r="B27" s="56"/>
      <c r="C27" s="55" t="s">
        <v>145</v>
      </c>
      <c r="D27" s="56"/>
      <c r="E27" s="56"/>
      <c r="F27" s="56"/>
      <c r="G27" s="56"/>
      <c r="H27" s="66" t="s">
        <v>40</v>
      </c>
      <c r="I27" s="67" t="s">
        <v>9</v>
      </c>
      <c r="J27" s="67" t="s">
        <v>10</v>
      </c>
      <c r="K27" s="68" t="s">
        <v>7</v>
      </c>
      <c r="L27" s="69" t="s">
        <v>12</v>
      </c>
      <c r="M27" s="56"/>
      <c r="N27" s="56"/>
      <c r="O27" s="93" t="s">
        <v>55</v>
      </c>
      <c r="P27" s="94">
        <v>6.3849999999999998</v>
      </c>
      <c r="Q27" s="95">
        <v>0</v>
      </c>
      <c r="R27" s="96">
        <v>0</v>
      </c>
      <c r="S27" s="56"/>
      <c r="T27" s="56"/>
      <c r="U27" s="56"/>
      <c r="V27" s="56"/>
      <c r="W27" s="56"/>
      <c r="X27" s="56"/>
      <c r="Y27" s="56"/>
      <c r="Z27" s="56"/>
      <c r="AA27" s="56"/>
    </row>
    <row r="28" spans="1:27" ht="20" thickBot="1" x14ac:dyDescent="0.3">
      <c r="A28" s="61">
        <v>2.0156499999999999</v>
      </c>
      <c r="B28" s="56"/>
      <c r="C28" s="342">
        <v>87.254140000000007</v>
      </c>
      <c r="D28" s="111"/>
      <c r="E28" s="111"/>
      <c r="F28" s="56"/>
      <c r="G28" s="56"/>
      <c r="H28" s="100">
        <v>1.2536E-2</v>
      </c>
      <c r="I28" s="79">
        <f>H28*$H$7</f>
        <v>7.8663776080000005</v>
      </c>
      <c r="J28" s="79">
        <f>H28*$I$7</f>
        <v>32.913268000000002</v>
      </c>
      <c r="K28" s="101">
        <f>H28*$F$7</f>
        <v>0.34111333519999998</v>
      </c>
      <c r="L28" s="81">
        <f>H28*$K$7</f>
        <v>5.4656960000000003E-20</v>
      </c>
      <c r="M28" s="56"/>
      <c r="N28" s="56"/>
      <c r="O28" s="56"/>
      <c r="P28" s="56"/>
      <c r="Q28" s="56"/>
      <c r="R28" s="56"/>
      <c r="S28" s="56"/>
      <c r="T28" s="56"/>
      <c r="U28" s="56"/>
      <c r="V28" s="56"/>
      <c r="W28" s="56"/>
      <c r="X28" s="56"/>
      <c r="Y28" s="56"/>
      <c r="Z28" s="56"/>
      <c r="AA28" s="56"/>
    </row>
    <row r="29" spans="1:27" ht="20" thickBot="1" x14ac:dyDescent="0.3">
      <c r="A29" s="56"/>
      <c r="B29" s="56"/>
      <c r="C29" s="234"/>
      <c r="D29" s="234"/>
      <c r="E29" s="234"/>
      <c r="F29" s="56"/>
      <c r="G29" s="56"/>
      <c r="L29" s="56"/>
      <c r="M29" s="56"/>
      <c r="N29" s="56"/>
      <c r="O29" s="56"/>
      <c r="P29" s="56"/>
      <c r="Q29" s="56"/>
      <c r="R29" s="56"/>
      <c r="S29" s="56"/>
      <c r="T29" s="56"/>
      <c r="U29" s="56"/>
      <c r="V29" s="56"/>
      <c r="W29" s="56"/>
      <c r="X29" s="56"/>
      <c r="Y29" s="56"/>
      <c r="Z29" s="56"/>
      <c r="AA29" s="56"/>
    </row>
    <row r="30" spans="1:27" ht="20" thickBot="1" x14ac:dyDescent="0.3">
      <c r="A30" s="55" t="s">
        <v>56</v>
      </c>
      <c r="B30" s="56"/>
      <c r="F30" s="56"/>
      <c r="G30" s="56"/>
      <c r="M30" s="56"/>
      <c r="O30" s="104" t="s">
        <v>57</v>
      </c>
      <c r="P30" s="105"/>
      <c r="Q30" s="105"/>
      <c r="R30" s="106"/>
      <c r="S30" s="56"/>
      <c r="T30" s="56"/>
      <c r="U30" s="56"/>
      <c r="V30" s="56"/>
      <c r="W30" s="56"/>
      <c r="X30" s="56"/>
      <c r="Y30" s="56"/>
      <c r="Z30" s="56"/>
      <c r="AA30" s="56"/>
    </row>
    <row r="31" spans="1:27" ht="20" thickBot="1" x14ac:dyDescent="0.3">
      <c r="A31" s="61">
        <v>2</v>
      </c>
      <c r="B31" s="56"/>
      <c r="C31" s="55" t="s">
        <v>58</v>
      </c>
      <c r="D31" s="56"/>
      <c r="E31" s="56"/>
      <c r="F31" s="56"/>
      <c r="G31" s="56"/>
      <c r="H31" s="55" t="s">
        <v>59</v>
      </c>
      <c r="I31" s="56"/>
      <c r="J31" s="56"/>
      <c r="K31" s="56"/>
      <c r="L31" s="56"/>
      <c r="M31" s="56"/>
      <c r="N31" s="56"/>
      <c r="O31" s="107"/>
      <c r="P31" s="108" t="s">
        <v>60</v>
      </c>
      <c r="Q31" s="109" t="s">
        <v>61</v>
      </c>
      <c r="R31" s="110" t="s">
        <v>62</v>
      </c>
      <c r="S31" s="56"/>
      <c r="T31" s="56"/>
      <c r="U31" s="56"/>
      <c r="V31" s="56"/>
      <c r="W31" s="56"/>
      <c r="X31" s="56"/>
      <c r="Y31" s="56"/>
      <c r="Z31" s="56"/>
      <c r="AA31" s="56"/>
    </row>
    <row r="32" spans="1:27" ht="20" thickBot="1" x14ac:dyDescent="0.3">
      <c r="A32" s="56"/>
      <c r="B32" s="56"/>
      <c r="C32" s="111" t="s">
        <v>37</v>
      </c>
      <c r="D32" s="111" t="s">
        <v>38</v>
      </c>
      <c r="E32" s="111" t="s">
        <v>39</v>
      </c>
      <c r="F32" s="56"/>
      <c r="G32" s="56"/>
      <c r="H32" s="66" t="s">
        <v>40</v>
      </c>
      <c r="I32" s="67" t="s">
        <v>9</v>
      </c>
      <c r="J32" s="67" t="s">
        <v>10</v>
      </c>
      <c r="K32" s="68" t="s">
        <v>7</v>
      </c>
      <c r="L32" s="69" t="s">
        <v>12</v>
      </c>
      <c r="M32" s="56"/>
      <c r="N32" s="56"/>
      <c r="O32" s="82" t="s">
        <v>48</v>
      </c>
      <c r="P32" s="112">
        <v>1</v>
      </c>
      <c r="Q32" s="113">
        <v>0</v>
      </c>
      <c r="R32" s="113">
        <v>0</v>
      </c>
      <c r="S32" s="56"/>
      <c r="T32" s="56"/>
      <c r="U32" s="56"/>
      <c r="V32" s="56"/>
      <c r="W32" s="56"/>
      <c r="X32" s="56"/>
      <c r="Y32" s="56"/>
      <c r="Z32" s="56"/>
      <c r="AA32" s="56"/>
    </row>
    <row r="33" spans="1:27" ht="20" thickBot="1" x14ac:dyDescent="0.3">
      <c r="A33" s="56"/>
      <c r="B33" s="56"/>
      <c r="C33" s="114">
        <v>0</v>
      </c>
      <c r="D33" s="115">
        <v>1817.9852960999999</v>
      </c>
      <c r="E33" s="116">
        <v>1817.9852960999999</v>
      </c>
      <c r="F33" s="56"/>
      <c r="G33" s="56"/>
      <c r="H33" s="100">
        <v>1.3480000000000001E-2</v>
      </c>
      <c r="I33" s="79">
        <f>H33*$H$7</f>
        <v>8.4587404400000015</v>
      </c>
      <c r="J33" s="79">
        <f>H33*$I$7</f>
        <v>35.391739999999999</v>
      </c>
      <c r="K33" s="101">
        <f>H33*$F$7</f>
        <v>0.366800236</v>
      </c>
      <c r="L33" s="81">
        <f>H33*$K$7</f>
        <v>5.8772800000000006E-20</v>
      </c>
      <c r="M33" s="56"/>
      <c r="N33" s="56"/>
      <c r="O33" s="88" t="s">
        <v>50</v>
      </c>
      <c r="P33" s="83">
        <v>112481</v>
      </c>
      <c r="Q33" s="84">
        <v>5.0510780000000004</v>
      </c>
      <c r="R33" s="84">
        <v>11.630537</v>
      </c>
      <c r="S33" s="56"/>
      <c r="T33" s="56"/>
      <c r="U33" s="56"/>
      <c r="V33" s="56"/>
      <c r="W33" s="56"/>
      <c r="X33" s="56"/>
      <c r="Y33" s="56"/>
      <c r="Z33" s="56"/>
      <c r="AA33" s="56"/>
    </row>
    <row r="34" spans="1:27" ht="19" x14ac:dyDescent="0.25">
      <c r="A34" s="56"/>
      <c r="B34" s="56"/>
      <c r="E34" s="56"/>
      <c r="F34" s="56"/>
      <c r="G34" s="56"/>
      <c r="M34" s="56"/>
      <c r="N34" s="56"/>
      <c r="O34" s="88" t="s">
        <v>52</v>
      </c>
      <c r="P34" s="83">
        <v>1.70861</v>
      </c>
      <c r="Q34" s="84">
        <v>0.23264199999999999</v>
      </c>
      <c r="R34" s="84">
        <v>0.53567900000000002</v>
      </c>
      <c r="S34" s="56"/>
      <c r="T34" s="56"/>
      <c r="U34" s="56"/>
      <c r="V34" s="56"/>
      <c r="W34" s="56"/>
      <c r="X34" s="56"/>
      <c r="Y34" s="56"/>
      <c r="Z34" s="56"/>
      <c r="AA34" s="56"/>
    </row>
    <row r="35" spans="1:27" ht="19" x14ac:dyDescent="0.25">
      <c r="A35" s="56"/>
      <c r="B35" s="56"/>
      <c r="E35" s="56"/>
      <c r="F35" s="56"/>
      <c r="H35" s="56"/>
      <c r="I35" s="56"/>
      <c r="J35" s="56"/>
      <c r="K35" s="56"/>
      <c r="L35" s="56"/>
      <c r="M35" s="56"/>
      <c r="N35" s="56"/>
      <c r="O35" s="88" t="s">
        <v>63</v>
      </c>
      <c r="P35" s="83">
        <v>4.0125400000000004</v>
      </c>
      <c r="Q35" s="84">
        <v>0.60341900000000004</v>
      </c>
      <c r="R35" s="84">
        <v>1.389424</v>
      </c>
      <c r="S35" s="56"/>
      <c r="T35" s="56"/>
      <c r="U35" s="56"/>
      <c r="V35" s="56"/>
      <c r="W35" s="56"/>
      <c r="X35" s="56"/>
      <c r="Y35" s="56"/>
      <c r="Z35" s="56"/>
      <c r="AA35" s="56"/>
    </row>
    <row r="36" spans="1:27" ht="20" thickBot="1" x14ac:dyDescent="0.3">
      <c r="A36" s="56"/>
      <c r="B36" s="56"/>
      <c r="C36" s="55" t="s">
        <v>64</v>
      </c>
      <c r="D36" s="56"/>
      <c r="E36" s="56"/>
      <c r="F36" s="56"/>
      <c r="H36" s="55" t="s">
        <v>65</v>
      </c>
      <c r="I36" s="56"/>
      <c r="J36" s="56"/>
      <c r="K36" s="56"/>
      <c r="L36" s="56"/>
      <c r="M36" s="56"/>
      <c r="N36" s="56"/>
      <c r="O36" s="88" t="s">
        <v>66</v>
      </c>
      <c r="P36" s="83">
        <v>192185</v>
      </c>
      <c r="Q36" s="84">
        <v>5.2837199999999998</v>
      </c>
      <c r="R36" s="84">
        <v>12.166214999999999</v>
      </c>
      <c r="S36" s="56"/>
      <c r="T36" s="56"/>
      <c r="U36" s="56"/>
      <c r="V36" s="56"/>
      <c r="W36" s="56"/>
      <c r="X36" s="56"/>
      <c r="Y36" s="56"/>
      <c r="Z36" s="56"/>
      <c r="AA36" s="56"/>
    </row>
    <row r="37" spans="1:27" ht="20" thickBot="1" x14ac:dyDescent="0.3">
      <c r="A37" s="56"/>
      <c r="B37" s="56"/>
      <c r="C37" s="117" t="s">
        <v>67</v>
      </c>
      <c r="D37" s="118">
        <v>26715.200000000001</v>
      </c>
      <c r="E37" s="56"/>
      <c r="F37" s="56"/>
      <c r="H37" s="66" t="s">
        <v>40</v>
      </c>
      <c r="I37" s="67" t="s">
        <v>9</v>
      </c>
      <c r="J37" s="67" t="s">
        <v>10</v>
      </c>
      <c r="K37" s="69" t="s">
        <v>7</v>
      </c>
      <c r="L37" s="69" t="s">
        <v>12</v>
      </c>
      <c r="M37" s="56"/>
      <c r="N37" s="56"/>
      <c r="O37" s="88" t="s">
        <v>68</v>
      </c>
      <c r="P37" s="83">
        <v>2.08785E-5</v>
      </c>
      <c r="Q37" s="84">
        <v>-4.680301</v>
      </c>
      <c r="R37" s="84">
        <v>-10.776790999999999</v>
      </c>
      <c r="S37" s="56"/>
      <c r="T37" s="56"/>
      <c r="U37" s="56"/>
      <c r="V37" s="56"/>
      <c r="W37" s="56"/>
      <c r="X37" s="56"/>
      <c r="Y37" s="56"/>
      <c r="Z37" s="56"/>
      <c r="AA37" s="56"/>
    </row>
    <row r="38" spans="1:27" ht="20" thickBot="1" x14ac:dyDescent="0.3">
      <c r="A38" s="56"/>
      <c r="B38" s="56"/>
      <c r="C38" s="119" t="s">
        <v>69</v>
      </c>
      <c r="D38" s="120">
        <v>6.3850899999999999</v>
      </c>
      <c r="E38" s="56"/>
      <c r="F38" s="56"/>
      <c r="H38" s="100">
        <v>-1.312E-3</v>
      </c>
      <c r="I38" s="79">
        <f>H38*$H$7</f>
        <v>-0.82328393600000005</v>
      </c>
      <c r="J38" s="79">
        <f>H38*$I$7</f>
        <v>-3.4446560000000002</v>
      </c>
      <c r="K38" s="101">
        <f>H38*$F$7</f>
        <v>-3.5700438399999999E-2</v>
      </c>
      <c r="L38" s="81">
        <f>H38*$K$7</f>
        <v>-5.72032E-21</v>
      </c>
      <c r="M38" s="56"/>
      <c r="N38" s="56"/>
      <c r="O38" s="93" t="s">
        <v>70</v>
      </c>
      <c r="P38" s="83">
        <v>1</v>
      </c>
      <c r="Q38" s="84">
        <v>0</v>
      </c>
      <c r="R38" s="84">
        <v>0</v>
      </c>
      <c r="S38" s="56"/>
      <c r="T38" s="56"/>
      <c r="U38" s="56"/>
      <c r="V38" s="56"/>
      <c r="W38" s="56"/>
      <c r="X38" s="56"/>
      <c r="Y38" s="56"/>
      <c r="Z38" s="56"/>
      <c r="AA38" s="56"/>
    </row>
    <row r="39" spans="1:27" ht="19" x14ac:dyDescent="0.25">
      <c r="A39" s="56"/>
      <c r="B39" s="56"/>
      <c r="C39" s="56"/>
      <c r="D39" s="56"/>
      <c r="E39" s="56"/>
      <c r="F39" s="56"/>
      <c r="J39" s="56"/>
      <c r="K39" s="56"/>
      <c r="L39" s="56"/>
      <c r="M39" s="56"/>
      <c r="N39" s="56"/>
      <c r="O39" s="121"/>
      <c r="P39" s="56"/>
      <c r="Q39" s="56"/>
      <c r="R39" s="56"/>
      <c r="S39" s="56"/>
      <c r="T39" s="56"/>
      <c r="U39" s="56"/>
      <c r="V39" s="56"/>
      <c r="W39" s="56"/>
      <c r="X39" s="56"/>
      <c r="Y39" s="56"/>
      <c r="Z39" s="56"/>
      <c r="AA39" s="56"/>
    </row>
    <row r="40" spans="1:27" ht="20" thickBot="1" x14ac:dyDescent="0.3">
      <c r="A40" s="56"/>
      <c r="B40" s="56"/>
      <c r="C40" s="56"/>
      <c r="D40" s="56"/>
      <c r="E40" s="56"/>
      <c r="F40" s="56"/>
      <c r="J40" s="56"/>
      <c r="K40" s="56"/>
      <c r="L40" s="56"/>
      <c r="M40" s="56"/>
      <c r="N40" s="56"/>
      <c r="O40" s="121"/>
      <c r="P40" s="56"/>
      <c r="Q40" s="56"/>
      <c r="R40" s="56"/>
      <c r="S40" s="56"/>
      <c r="T40" s="56"/>
      <c r="U40" s="56"/>
      <c r="V40" s="56"/>
      <c r="W40" s="56"/>
      <c r="X40" s="56"/>
      <c r="Y40" s="56"/>
      <c r="Z40" s="56"/>
      <c r="AA40" s="56"/>
    </row>
    <row r="41" spans="1:27" ht="64" customHeight="1" thickBot="1" x14ac:dyDescent="0.3">
      <c r="A41" s="56"/>
      <c r="B41" s="56"/>
      <c r="D41" s="122" t="s">
        <v>71</v>
      </c>
      <c r="E41" s="123" t="s">
        <v>72</v>
      </c>
      <c r="F41" s="124" t="s">
        <v>73</v>
      </c>
      <c r="G41" s="125" t="s">
        <v>74</v>
      </c>
      <c r="I41" s="56"/>
      <c r="J41" s="56"/>
      <c r="K41" s="56"/>
      <c r="L41" s="56"/>
      <c r="M41" s="56"/>
      <c r="N41" s="56"/>
      <c r="O41" s="56"/>
      <c r="P41" s="56"/>
      <c r="Q41" s="56"/>
      <c r="R41" s="56"/>
      <c r="S41" s="56"/>
      <c r="T41" s="56"/>
      <c r="U41" s="56"/>
      <c r="V41" s="56"/>
      <c r="W41" s="56"/>
      <c r="X41" s="56"/>
      <c r="Y41" s="56"/>
      <c r="Z41" s="56"/>
      <c r="AA41" s="56"/>
    </row>
    <row r="42" spans="1:27" ht="20" thickBot="1" x14ac:dyDescent="0.3">
      <c r="A42" s="56"/>
      <c r="B42" s="56"/>
      <c r="C42" s="331">
        <v>1</v>
      </c>
      <c r="D42" s="332">
        <v>6426.2</v>
      </c>
      <c r="E42" s="333">
        <v>4466.4384</v>
      </c>
      <c r="F42" s="204">
        <f>E42*$L$9</f>
        <v>133900696725120</v>
      </c>
      <c r="G42" s="304">
        <v>1.0078</v>
      </c>
      <c r="H42" s="131"/>
      <c r="K42" s="56"/>
      <c r="L42" s="56"/>
      <c r="M42" s="56"/>
      <c r="N42" s="56"/>
      <c r="O42" s="56"/>
      <c r="P42" s="56"/>
      <c r="Q42" s="56"/>
      <c r="R42" s="56"/>
      <c r="S42" s="56"/>
      <c r="T42" s="56"/>
      <c r="U42" s="56"/>
      <c r="V42" s="56"/>
      <c r="W42" s="56"/>
      <c r="X42" s="56"/>
      <c r="Y42" s="56"/>
      <c r="Z42" s="56"/>
      <c r="AA42" s="56"/>
    </row>
    <row r="43" spans="1:27" ht="19" x14ac:dyDescent="0.25">
      <c r="A43" s="56"/>
      <c r="B43" s="56"/>
      <c r="C43" s="334"/>
      <c r="D43" s="191"/>
      <c r="E43" s="191"/>
      <c r="F43" s="192"/>
      <c r="G43" s="191"/>
      <c r="H43" s="131"/>
      <c r="K43" s="56"/>
      <c r="L43" s="56"/>
      <c r="M43" s="56"/>
      <c r="N43" s="56"/>
      <c r="O43" s="56"/>
      <c r="P43" s="56"/>
      <c r="Q43" s="56"/>
      <c r="R43" s="56"/>
      <c r="S43" s="56"/>
      <c r="T43" s="56"/>
      <c r="U43" s="56"/>
      <c r="V43" s="56"/>
      <c r="W43" s="56"/>
      <c r="X43" s="56"/>
      <c r="Y43" s="56"/>
      <c r="Z43" s="56"/>
      <c r="AA43" s="56"/>
    </row>
    <row r="44" spans="1:27" ht="20" thickBot="1" x14ac:dyDescent="0.3">
      <c r="A44" s="56"/>
      <c r="B44" s="56"/>
      <c r="C44" s="131"/>
      <c r="D44" s="56"/>
      <c r="E44" s="56"/>
      <c r="F44" s="158"/>
      <c r="G44" s="56"/>
      <c r="H44" s="131"/>
      <c r="J44" s="137" t="s">
        <v>75</v>
      </c>
      <c r="M44" s="56"/>
      <c r="N44" s="56"/>
      <c r="O44" s="56"/>
      <c r="P44" s="56"/>
      <c r="Q44" s="56"/>
      <c r="R44" s="56"/>
      <c r="S44" s="56"/>
      <c r="T44" s="56"/>
      <c r="U44" s="56"/>
      <c r="V44" s="56"/>
      <c r="W44" s="56"/>
      <c r="X44" s="56"/>
      <c r="Y44" s="56"/>
      <c r="Z44" s="56"/>
      <c r="AA44" s="56"/>
    </row>
    <row r="45" spans="1:27" ht="20" thickBot="1" x14ac:dyDescent="0.3">
      <c r="A45" s="56"/>
      <c r="B45" s="56"/>
      <c r="C45" s="131"/>
      <c r="D45" s="56"/>
      <c r="E45" s="56"/>
      <c r="F45" s="158"/>
      <c r="G45" s="56"/>
      <c r="H45" s="131"/>
      <c r="J45" s="138">
        <v>1</v>
      </c>
      <c r="K45" s="139">
        <f>J45+1</f>
        <v>2</v>
      </c>
      <c r="L45" s="140">
        <f>K45+1</f>
        <v>3</v>
      </c>
      <c r="M45" s="56"/>
      <c r="N45" s="56"/>
      <c r="O45" s="56"/>
      <c r="P45" s="56"/>
      <c r="Q45" s="56"/>
      <c r="R45" s="56"/>
      <c r="S45" s="56"/>
      <c r="T45" s="56"/>
      <c r="U45" s="56"/>
      <c r="V45" s="56"/>
      <c r="W45" s="56"/>
      <c r="X45" s="56"/>
      <c r="Y45" s="56"/>
      <c r="Z45" s="56"/>
      <c r="AA45" s="56"/>
    </row>
    <row r="46" spans="1:27" ht="20" thickBot="1" x14ac:dyDescent="0.3">
      <c r="A46" s="56"/>
      <c r="B46" s="56"/>
      <c r="C46" s="131"/>
      <c r="D46" s="56"/>
      <c r="E46" s="56"/>
      <c r="F46" s="158"/>
      <c r="G46" s="56"/>
      <c r="H46" s="131"/>
      <c r="J46" s="141">
        <v>-1.1785340066400001</v>
      </c>
      <c r="K46" s="142">
        <v>-1.1785393340799999</v>
      </c>
      <c r="L46" s="143">
        <v>-1.1785393340799999</v>
      </c>
      <c r="M46" s="56"/>
      <c r="N46" s="56"/>
      <c r="O46" s="56"/>
      <c r="P46" s="56"/>
      <c r="Q46" s="56"/>
      <c r="R46" s="56"/>
      <c r="S46" s="56"/>
      <c r="T46" s="56"/>
      <c r="U46" s="56"/>
      <c r="V46" s="56"/>
      <c r="W46" s="56"/>
      <c r="X46" s="56"/>
      <c r="Y46" s="56"/>
      <c r="Z46" s="56"/>
      <c r="AA46" s="56"/>
    </row>
    <row r="47" spans="1:27" ht="19" x14ac:dyDescent="0.25">
      <c r="A47" s="56"/>
      <c r="B47" s="56"/>
      <c r="C47" s="131"/>
      <c r="D47" s="56"/>
      <c r="E47" s="56"/>
      <c r="F47" s="158"/>
      <c r="G47" s="56"/>
      <c r="H47" s="131"/>
      <c r="K47" s="56"/>
      <c r="L47" s="56"/>
      <c r="M47" s="56"/>
      <c r="N47" s="56"/>
      <c r="O47" s="56"/>
      <c r="P47" s="56"/>
      <c r="Q47" s="56"/>
      <c r="R47" s="56"/>
      <c r="S47" s="56"/>
      <c r="T47" s="56"/>
      <c r="U47" s="56"/>
      <c r="V47" s="56"/>
      <c r="W47" s="56"/>
      <c r="X47" s="56"/>
      <c r="Y47" s="56"/>
      <c r="Z47" s="56"/>
      <c r="AA47" s="56"/>
    </row>
    <row r="48" spans="1:27" ht="19" x14ac:dyDescent="0.25">
      <c r="A48" s="56"/>
      <c r="B48" s="56"/>
      <c r="C48" s="131"/>
      <c r="D48" s="56"/>
      <c r="E48" s="56"/>
      <c r="F48" s="158"/>
      <c r="G48" s="56"/>
      <c r="H48" s="131"/>
      <c r="K48" s="56"/>
      <c r="L48" s="56"/>
      <c r="M48" s="56"/>
      <c r="N48" s="56"/>
      <c r="O48" s="56"/>
      <c r="P48" s="56"/>
      <c r="Q48" s="56"/>
      <c r="R48" s="56"/>
      <c r="S48" s="56"/>
      <c r="T48" s="56"/>
      <c r="U48" s="56"/>
      <c r="V48" s="56"/>
      <c r="W48" s="56"/>
      <c r="X48" s="56"/>
      <c r="Y48" s="56"/>
      <c r="Z48" s="56"/>
      <c r="AA48" s="56"/>
    </row>
    <row r="49" spans="1:27" ht="19" x14ac:dyDescent="0.25">
      <c r="A49" s="56"/>
      <c r="B49" s="56"/>
      <c r="C49" s="131"/>
      <c r="D49" s="56"/>
      <c r="E49" s="56"/>
      <c r="F49" s="158"/>
      <c r="G49" s="56"/>
      <c r="H49" s="131"/>
      <c r="K49" s="56"/>
      <c r="L49" s="56"/>
      <c r="M49" s="56"/>
      <c r="N49" s="56"/>
      <c r="O49" s="56"/>
      <c r="P49" s="56"/>
      <c r="Q49" s="56"/>
      <c r="R49" s="56"/>
      <c r="S49" s="56"/>
      <c r="T49" s="56"/>
      <c r="U49" s="56"/>
      <c r="V49" s="56"/>
      <c r="W49" s="56"/>
      <c r="X49" s="56"/>
      <c r="Y49" s="56"/>
      <c r="Z49" s="56"/>
      <c r="AA49" s="56"/>
    </row>
    <row r="50" spans="1:27" ht="19" x14ac:dyDescent="0.25">
      <c r="A50" s="56"/>
      <c r="B50" s="56"/>
      <c r="C50" s="131"/>
      <c r="D50" s="56"/>
      <c r="E50" s="56"/>
      <c r="F50" s="158"/>
      <c r="G50" s="56"/>
      <c r="H50" s="131"/>
      <c r="K50" s="56"/>
      <c r="L50" s="56"/>
      <c r="M50" s="56"/>
      <c r="N50" s="56"/>
      <c r="O50" s="56"/>
      <c r="P50" s="56"/>
      <c r="Q50" s="56"/>
      <c r="R50" s="56"/>
      <c r="S50" s="56"/>
      <c r="T50" s="56"/>
      <c r="U50" s="56"/>
      <c r="V50" s="56"/>
      <c r="W50" s="56"/>
      <c r="X50" s="56"/>
      <c r="Y50" s="56"/>
      <c r="Z50" s="56"/>
      <c r="AA50" s="56"/>
    </row>
    <row r="51" spans="1:27" ht="19" x14ac:dyDescent="0.25">
      <c r="A51" s="56"/>
      <c r="B51" s="56"/>
      <c r="C51" s="56"/>
      <c r="D51" s="56"/>
      <c r="E51" s="56"/>
      <c r="F51" s="56"/>
      <c r="G51" s="56"/>
      <c r="H51" s="56"/>
      <c r="K51" s="56"/>
      <c r="L51" s="56"/>
      <c r="M51" s="56"/>
      <c r="N51" s="56"/>
      <c r="O51" s="56"/>
      <c r="P51" s="56"/>
      <c r="Q51" s="56"/>
      <c r="R51" s="56"/>
      <c r="S51" s="56"/>
      <c r="T51" s="56"/>
      <c r="U51" s="56"/>
      <c r="V51" s="56"/>
      <c r="W51" s="56"/>
      <c r="X51" s="56"/>
      <c r="Y51" s="56"/>
      <c r="Z51" s="56"/>
      <c r="AA51" s="56"/>
    </row>
    <row r="52" spans="1:27" ht="19" x14ac:dyDescent="0.25">
      <c r="A52" s="56"/>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row>
    <row r="53" spans="1:27" ht="34" thickBot="1" x14ac:dyDescent="0.5">
      <c r="A53" s="471" t="s">
        <v>138</v>
      </c>
      <c r="B53" s="471"/>
      <c r="C53" s="471"/>
      <c r="D53" s="471"/>
      <c r="E53" s="471"/>
      <c r="F53" s="471"/>
      <c r="G53" s="471"/>
      <c r="H53" s="471"/>
      <c r="I53" s="471"/>
      <c r="J53" s="471"/>
      <c r="K53" s="471"/>
      <c r="L53" s="471"/>
      <c r="M53" s="471"/>
      <c r="N53" s="471"/>
      <c r="O53" s="471"/>
      <c r="P53" s="471"/>
      <c r="Q53" s="471"/>
      <c r="R53" s="471"/>
      <c r="S53" s="471"/>
      <c r="T53" s="471"/>
      <c r="U53" s="471"/>
      <c r="V53" s="471"/>
      <c r="W53" s="56"/>
      <c r="X53" s="56"/>
      <c r="Y53" s="56"/>
      <c r="Z53" s="56"/>
      <c r="AA53" s="56"/>
    </row>
    <row r="54" spans="1:27" ht="20" thickTop="1" x14ac:dyDescent="0.25">
      <c r="A54" s="56"/>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row>
    <row r="55" spans="1:27" ht="19" x14ac:dyDescent="0.25">
      <c r="A55" s="56"/>
      <c r="B55" s="56"/>
      <c r="C55" s="56"/>
      <c r="D55" s="56"/>
      <c r="E55" s="56"/>
      <c r="F55" s="56" t="s">
        <v>77</v>
      </c>
      <c r="G55" s="56"/>
      <c r="H55" s="56"/>
      <c r="I55" s="56"/>
      <c r="J55" s="56"/>
      <c r="K55" s="56"/>
      <c r="L55" s="56"/>
      <c r="M55" s="56"/>
      <c r="N55" s="56"/>
      <c r="O55" s="56"/>
      <c r="Q55" s="56"/>
      <c r="R55" s="56"/>
      <c r="S55" s="56"/>
      <c r="T55" s="56"/>
      <c r="U55" s="56"/>
      <c r="V55" s="56"/>
      <c r="W55" s="56"/>
      <c r="X55" s="56"/>
      <c r="Y55" s="56"/>
      <c r="Z55" s="56"/>
      <c r="AA55" s="56"/>
    </row>
    <row r="56" spans="1:27" ht="27" x14ac:dyDescent="0.35">
      <c r="B56" s="56"/>
      <c r="C56" s="149" t="s">
        <v>78</v>
      </c>
      <c r="D56" s="150"/>
      <c r="E56" s="56"/>
      <c r="F56" s="56"/>
      <c r="G56" s="56"/>
      <c r="H56" s="56"/>
      <c r="I56" s="56"/>
      <c r="J56" s="56"/>
      <c r="K56" s="56"/>
      <c r="L56" s="56"/>
      <c r="M56" s="56"/>
      <c r="N56" s="56"/>
      <c r="O56" s="56"/>
      <c r="Q56" s="56"/>
      <c r="R56" s="56"/>
      <c r="S56" s="56"/>
      <c r="T56" s="56"/>
      <c r="U56" s="56"/>
      <c r="V56" s="56"/>
      <c r="W56" s="56"/>
      <c r="X56" s="56"/>
      <c r="Y56" s="56"/>
      <c r="Z56" s="56"/>
      <c r="AA56" s="56"/>
    </row>
    <row r="57" spans="1:27" ht="19" x14ac:dyDescent="0.25">
      <c r="B57" s="56"/>
      <c r="C57" s="56"/>
      <c r="D57" s="56"/>
      <c r="E57" s="56"/>
      <c r="F57" s="56"/>
      <c r="G57" s="56"/>
      <c r="H57" s="56"/>
      <c r="I57" s="56"/>
      <c r="J57" s="56"/>
      <c r="K57" s="56"/>
      <c r="L57" s="56"/>
      <c r="M57" s="56"/>
      <c r="N57" s="56"/>
      <c r="O57" s="56"/>
      <c r="Q57" s="56"/>
      <c r="R57" s="56"/>
      <c r="S57" s="56"/>
      <c r="T57" s="56"/>
      <c r="U57" s="56"/>
      <c r="V57" s="56"/>
      <c r="W57" s="56"/>
      <c r="X57" s="56"/>
      <c r="Y57" s="56"/>
      <c r="Z57" s="56"/>
      <c r="AA57" s="56"/>
    </row>
    <row r="58" spans="1:27" ht="19" x14ac:dyDescent="0.25">
      <c r="B58" s="56"/>
      <c r="C58" s="56"/>
      <c r="D58" s="56"/>
      <c r="E58" s="56"/>
      <c r="F58" s="56"/>
      <c r="G58" s="56"/>
      <c r="H58" s="56"/>
      <c r="I58" s="56"/>
      <c r="J58" s="56"/>
      <c r="K58" s="56"/>
      <c r="L58" s="56"/>
      <c r="M58" s="56"/>
      <c r="N58" s="56"/>
      <c r="O58" s="56"/>
      <c r="Q58" s="56"/>
      <c r="R58" s="56"/>
      <c r="S58" s="56"/>
      <c r="T58" s="56"/>
      <c r="U58" s="56"/>
      <c r="V58" s="56"/>
      <c r="W58" s="56"/>
      <c r="X58" s="56"/>
      <c r="Y58" s="56"/>
      <c r="Z58" s="56"/>
      <c r="AA58" s="56"/>
    </row>
    <row r="59" spans="1:27" ht="19" x14ac:dyDescent="0.25">
      <c r="B59" s="56"/>
      <c r="D59" s="56"/>
      <c r="E59" s="56"/>
      <c r="F59" s="56"/>
      <c r="G59" s="56"/>
      <c r="H59" s="56"/>
      <c r="I59" s="56"/>
      <c r="J59" s="56"/>
      <c r="K59" s="56"/>
      <c r="L59" s="56"/>
      <c r="M59" s="56"/>
      <c r="N59" s="56"/>
      <c r="O59" s="56"/>
      <c r="Q59" s="56"/>
      <c r="R59" s="56"/>
      <c r="S59" s="56"/>
      <c r="T59" s="56"/>
      <c r="U59" s="56"/>
      <c r="V59" s="56"/>
      <c r="W59" s="56"/>
      <c r="X59" s="56"/>
      <c r="Y59" s="56"/>
      <c r="Z59" s="56"/>
      <c r="AA59" s="56"/>
    </row>
    <row r="60" spans="1:27" ht="19" x14ac:dyDescent="0.25">
      <c r="B60" s="56"/>
      <c r="C60" s="56"/>
      <c r="D60" s="56"/>
      <c r="E60" s="56"/>
      <c r="F60" s="56"/>
      <c r="G60" s="56"/>
      <c r="H60" s="56"/>
      <c r="I60" s="56"/>
      <c r="J60" s="56"/>
      <c r="K60" s="56"/>
      <c r="L60" s="56"/>
      <c r="M60" s="56"/>
      <c r="N60" s="56"/>
      <c r="O60" s="56"/>
      <c r="Q60" s="56"/>
      <c r="R60" s="56"/>
      <c r="S60" s="56"/>
      <c r="T60" s="56"/>
      <c r="U60" s="56"/>
      <c r="V60" s="56"/>
      <c r="W60" s="56"/>
      <c r="X60" s="56"/>
      <c r="Y60" s="56"/>
      <c r="Z60" s="56"/>
      <c r="AA60" s="56"/>
    </row>
    <row r="61" spans="1:27" ht="19" x14ac:dyDescent="0.25">
      <c r="B61" s="56"/>
      <c r="C61" s="56"/>
      <c r="D61" s="56"/>
      <c r="E61" s="56"/>
      <c r="F61" s="56"/>
      <c r="G61" s="56"/>
      <c r="H61" s="56"/>
      <c r="I61" s="56"/>
      <c r="J61" s="56"/>
      <c r="K61" s="56"/>
      <c r="L61" s="56"/>
      <c r="M61" s="56"/>
      <c r="N61" s="56"/>
      <c r="O61" s="56"/>
      <c r="Q61" s="56"/>
      <c r="R61" s="56"/>
      <c r="S61" s="56"/>
      <c r="T61" s="56"/>
      <c r="U61" s="56"/>
      <c r="V61" s="56"/>
      <c r="W61" s="56"/>
      <c r="X61" s="56"/>
      <c r="Y61" s="56"/>
      <c r="Z61" s="56"/>
      <c r="AA61" s="56"/>
    </row>
    <row r="62" spans="1:27" ht="19" x14ac:dyDescent="0.25">
      <c r="B62" s="56"/>
      <c r="C62" s="56"/>
      <c r="D62" s="56"/>
      <c r="E62" s="56"/>
      <c r="F62" s="56"/>
      <c r="G62" s="56"/>
      <c r="H62" s="56"/>
      <c r="I62" s="56"/>
      <c r="J62" s="56"/>
      <c r="K62" s="56"/>
      <c r="L62" s="56"/>
      <c r="M62" s="56"/>
      <c r="N62" s="56"/>
      <c r="O62" s="56"/>
      <c r="Q62" s="56"/>
      <c r="R62" s="56"/>
      <c r="S62" s="56"/>
      <c r="T62" s="56"/>
      <c r="U62" s="56"/>
      <c r="V62" s="56"/>
      <c r="W62" s="56"/>
      <c r="X62" s="56"/>
      <c r="Y62" s="56"/>
      <c r="Z62" s="56"/>
      <c r="AA62" s="56"/>
    </row>
    <row r="63" spans="1:27" ht="20" thickBot="1" x14ac:dyDescent="0.3">
      <c r="B63" s="56"/>
      <c r="C63" s="56"/>
      <c r="D63" s="56"/>
      <c r="E63" s="56"/>
      <c r="F63" s="56"/>
      <c r="G63" s="56"/>
      <c r="H63" s="56"/>
      <c r="I63" s="56"/>
      <c r="J63" s="56"/>
      <c r="K63" s="56"/>
      <c r="L63" s="56"/>
      <c r="M63" s="56"/>
      <c r="N63" s="56"/>
      <c r="O63" s="56"/>
      <c r="Q63" s="56"/>
      <c r="R63" s="56"/>
      <c r="S63" s="56"/>
      <c r="T63" s="56"/>
      <c r="U63" s="56"/>
      <c r="V63" s="56"/>
      <c r="W63" s="56"/>
      <c r="X63" s="56"/>
      <c r="Y63" s="56"/>
      <c r="Z63" s="56"/>
      <c r="AA63" s="56"/>
    </row>
    <row r="64" spans="1:27" ht="30" customHeight="1" thickBot="1" x14ac:dyDescent="0.35">
      <c r="B64" s="56"/>
      <c r="C64" s="181" t="s">
        <v>79</v>
      </c>
      <c r="D64" s="302" t="s">
        <v>80</v>
      </c>
      <c r="E64" s="181" t="s">
        <v>81</v>
      </c>
      <c r="F64" s="56"/>
      <c r="G64" s="56"/>
      <c r="H64" s="153" t="s">
        <v>82</v>
      </c>
      <c r="I64" s="154"/>
      <c r="J64" s="154"/>
      <c r="K64" s="154"/>
      <c r="L64" s="154"/>
      <c r="M64" s="154"/>
      <c r="N64" s="154"/>
      <c r="O64" s="56"/>
      <c r="Q64" s="56"/>
      <c r="R64" s="56"/>
      <c r="S64" s="56"/>
      <c r="T64" s="56"/>
      <c r="U64" s="56"/>
      <c r="V64" s="56"/>
      <c r="W64" s="56"/>
      <c r="X64" s="56"/>
      <c r="Y64" s="56"/>
      <c r="Z64" s="56"/>
      <c r="AA64" s="56"/>
    </row>
    <row r="65" spans="2:27" ht="20" thickBot="1" x14ac:dyDescent="0.3">
      <c r="B65" s="56"/>
      <c r="C65" s="97">
        <v>298.14999999999998</v>
      </c>
      <c r="D65" s="303">
        <f t="shared" ref="D65:D83" si="2">C65*$B$8/$B$16</f>
        <v>4.0625788058228471E-26</v>
      </c>
      <c r="E65" s="240">
        <f xml:space="preserve"> (2*PI()*$A$28*$U$9*$B$8*C65/($B$14^2))^(3/2)*D65</f>
        <v>112425.89879781206</v>
      </c>
      <c r="F65" s="158"/>
      <c r="G65" s="56"/>
      <c r="H65" s="56"/>
      <c r="I65" s="56"/>
      <c r="J65" s="56"/>
      <c r="K65" s="56"/>
      <c r="L65" s="56"/>
      <c r="M65" s="56"/>
      <c r="N65" s="56"/>
      <c r="O65" s="56"/>
      <c r="Q65" s="56"/>
      <c r="R65" s="56"/>
      <c r="S65" s="56"/>
      <c r="T65" s="56"/>
      <c r="U65" s="56"/>
      <c r="V65" s="56"/>
      <c r="W65" s="56"/>
      <c r="X65" s="56"/>
      <c r="Y65" s="56"/>
      <c r="Z65" s="56"/>
      <c r="AA65" s="56"/>
    </row>
    <row r="66" spans="2:27" ht="20" thickBot="1" x14ac:dyDescent="0.3">
      <c r="B66" s="56"/>
      <c r="C66" s="155">
        <v>300</v>
      </c>
      <c r="D66" s="156">
        <f t="shared" si="2"/>
        <v>4.0877868245743891E-26</v>
      </c>
      <c r="E66" s="157">
        <f xml:space="preserve"> (2*PI()*$A$28*$U$9*$B$8*C66/($B$14^2))^(3/2)*D66</f>
        <v>114178.01036804235</v>
      </c>
      <c r="F66" s="56"/>
      <c r="G66" s="56"/>
      <c r="L66" s="151" t="s">
        <v>83</v>
      </c>
      <c r="M66" s="56"/>
      <c r="N66" s="56"/>
      <c r="O66" s="56"/>
      <c r="Q66" s="56"/>
      <c r="R66" s="56"/>
      <c r="S66" s="56"/>
      <c r="T66" s="56"/>
      <c r="U66" s="56"/>
      <c r="V66" s="56"/>
      <c r="W66" s="56"/>
      <c r="X66" s="56"/>
      <c r="Y66" s="56"/>
      <c r="Z66" s="56"/>
      <c r="AA66" s="56"/>
    </row>
    <row r="67" spans="2:27" ht="19" x14ac:dyDescent="0.25">
      <c r="B67" s="56"/>
      <c r="C67" s="159">
        <f>C66+100</f>
        <v>400</v>
      </c>
      <c r="D67" s="160">
        <f t="shared" si="2"/>
        <v>5.4503824327658529E-26</v>
      </c>
      <c r="E67" s="161">
        <f t="shared" ref="E67:E83" si="3" xml:space="preserve"> (2*PI()*$A$28*$U$9*$B$8*C67/($B$14^2))^(3/2)*D67</f>
        <v>234384.72896542485</v>
      </c>
      <c r="F67" s="56"/>
      <c r="G67" s="56"/>
      <c r="K67" s="162" t="s">
        <v>84</v>
      </c>
      <c r="L67" s="129">
        <f>$E$65</f>
        <v>112425.89879781206</v>
      </c>
      <c r="M67" s="56"/>
      <c r="N67" s="56"/>
      <c r="O67" s="56"/>
      <c r="Q67" s="56"/>
      <c r="R67" s="56"/>
      <c r="S67" s="56"/>
      <c r="T67" s="56"/>
      <c r="U67" s="56"/>
      <c r="V67" s="56"/>
      <c r="W67" s="56"/>
      <c r="X67" s="56"/>
      <c r="Y67" s="56"/>
      <c r="Z67" s="56"/>
      <c r="AA67" s="56"/>
    </row>
    <row r="68" spans="2:27" ht="20" thickBot="1" x14ac:dyDescent="0.3">
      <c r="B68" s="56"/>
      <c r="C68" s="159">
        <f t="shared" ref="C68:C83" si="4">C67+100</f>
        <v>500</v>
      </c>
      <c r="D68" s="160">
        <f t="shared" si="2"/>
        <v>6.812978040957315E-26</v>
      </c>
      <c r="E68" s="161">
        <f t="shared" si="3"/>
        <v>409453.27098012256</v>
      </c>
      <c r="F68" s="56"/>
      <c r="G68" s="56"/>
      <c r="K68" s="163" t="s">
        <v>85</v>
      </c>
      <c r="L68" s="147">
        <f>P33</f>
        <v>112481</v>
      </c>
      <c r="M68" s="56"/>
      <c r="N68" s="56"/>
      <c r="O68" s="56"/>
      <c r="Q68" s="56"/>
      <c r="R68" s="56"/>
      <c r="S68" s="56"/>
      <c r="T68" s="56"/>
      <c r="U68" s="56"/>
      <c r="V68" s="56"/>
      <c r="W68" s="56"/>
      <c r="X68" s="56"/>
      <c r="Y68" s="56"/>
      <c r="Z68" s="56"/>
      <c r="AA68" s="56"/>
    </row>
    <row r="69" spans="2:27" ht="22" x14ac:dyDescent="0.3">
      <c r="B69" s="56"/>
      <c r="C69" s="159">
        <f t="shared" si="4"/>
        <v>600</v>
      </c>
      <c r="D69" s="160">
        <f t="shared" si="2"/>
        <v>8.1755736491487783E-26</v>
      </c>
      <c r="E69" s="161">
        <f t="shared" si="3"/>
        <v>645888.36314904713</v>
      </c>
      <c r="F69" s="56"/>
      <c r="G69" s="56"/>
      <c r="H69" s="56"/>
      <c r="I69" s="56"/>
      <c r="K69" s="164" t="s">
        <v>86</v>
      </c>
      <c r="L69" s="165">
        <f>ABS(L67-L68)/L67</f>
        <v>4.9011128909930146E-4</v>
      </c>
      <c r="M69" s="56"/>
      <c r="N69" s="56"/>
      <c r="O69" s="56"/>
      <c r="Q69" s="56"/>
      <c r="R69" s="56"/>
      <c r="S69" s="56"/>
      <c r="T69" s="56"/>
      <c r="U69" s="56"/>
      <c r="V69" s="56"/>
      <c r="W69" s="56"/>
      <c r="X69" s="56"/>
      <c r="Y69" s="56"/>
      <c r="Z69" s="56"/>
      <c r="AA69" s="56"/>
    </row>
    <row r="70" spans="2:27" ht="19" x14ac:dyDescent="0.25">
      <c r="B70" s="56"/>
      <c r="C70" s="159">
        <f t="shared" si="4"/>
        <v>700</v>
      </c>
      <c r="D70" s="160">
        <f t="shared" si="2"/>
        <v>9.5381692573402415E-26</v>
      </c>
      <c r="E70" s="161">
        <f t="shared" si="3"/>
        <v>949564.42167925066</v>
      </c>
      <c r="F70" s="56"/>
      <c r="G70" s="56"/>
      <c r="Q70" s="56"/>
      <c r="R70" s="56"/>
      <c r="S70" s="56"/>
      <c r="T70" s="56"/>
      <c r="U70" s="56"/>
      <c r="V70" s="56"/>
      <c r="W70" s="56"/>
      <c r="X70" s="56"/>
      <c r="Y70" s="56"/>
      <c r="Z70" s="56"/>
      <c r="AA70" s="56"/>
    </row>
    <row r="71" spans="2:27" ht="19" x14ac:dyDescent="0.25">
      <c r="B71" s="56"/>
      <c r="C71" s="159">
        <f t="shared" si="4"/>
        <v>800</v>
      </c>
      <c r="D71" s="160">
        <f t="shared" si="2"/>
        <v>1.0900764865531706E-25</v>
      </c>
      <c r="E71" s="161">
        <f t="shared" si="3"/>
        <v>1325880.2500641872</v>
      </c>
      <c r="F71" s="56"/>
      <c r="G71" s="56"/>
      <c r="Q71" s="56"/>
      <c r="R71" s="56"/>
      <c r="S71" s="56"/>
      <c r="T71" s="56"/>
      <c r="U71" s="56"/>
      <c r="V71" s="56"/>
      <c r="W71" s="56"/>
      <c r="X71" s="56"/>
      <c r="Y71" s="56"/>
      <c r="Z71" s="56"/>
      <c r="AA71" s="56"/>
    </row>
    <row r="72" spans="2:27" ht="19" x14ac:dyDescent="0.25">
      <c r="B72" s="56"/>
      <c r="C72" s="159">
        <f t="shared" si="4"/>
        <v>900</v>
      </c>
      <c r="D72" s="160">
        <f t="shared" si="2"/>
        <v>1.2263360473723168E-25</v>
      </c>
      <c r="E72" s="161">
        <f t="shared" si="3"/>
        <v>1779859.0355811976</v>
      </c>
      <c r="F72" s="56"/>
      <c r="G72" s="56"/>
      <c r="Q72" s="56"/>
      <c r="R72" s="56"/>
      <c r="S72" s="56"/>
      <c r="T72" s="56"/>
      <c r="U72" s="56"/>
      <c r="V72" s="56"/>
      <c r="W72" s="56"/>
      <c r="X72" s="56"/>
      <c r="Y72" s="56"/>
      <c r="Z72" s="56"/>
      <c r="AA72" s="56"/>
    </row>
    <row r="73" spans="2:27" ht="19" x14ac:dyDescent="0.25">
      <c r="C73" s="159">
        <f t="shared" si="4"/>
        <v>1000</v>
      </c>
      <c r="D73" s="160">
        <f t="shared" si="2"/>
        <v>1.362595608191463E-25</v>
      </c>
      <c r="E73" s="161">
        <f t="shared" si="3"/>
        <v>2316217.475912435</v>
      </c>
    </row>
    <row r="74" spans="2:27" ht="19" x14ac:dyDescent="0.25">
      <c r="C74" s="159">
        <f t="shared" si="4"/>
        <v>1100</v>
      </c>
      <c r="D74" s="160">
        <f t="shared" si="2"/>
        <v>1.4988551690106094E-25</v>
      </c>
      <c r="E74" s="161">
        <f t="shared" si="3"/>
        <v>2939415.9534582081</v>
      </c>
    </row>
    <row r="75" spans="2:27" ht="19" x14ac:dyDescent="0.25">
      <c r="C75" s="159">
        <f t="shared" si="4"/>
        <v>1200</v>
      </c>
      <c r="D75" s="160">
        <f t="shared" si="2"/>
        <v>1.6351147298297557E-25</v>
      </c>
      <c r="E75" s="161">
        <f t="shared" si="3"/>
        <v>3653696.3317773752</v>
      </c>
    </row>
    <row r="76" spans="2:27" ht="19" x14ac:dyDescent="0.25">
      <c r="C76" s="159">
        <f t="shared" si="4"/>
        <v>1300</v>
      </c>
      <c r="D76" s="160">
        <f t="shared" si="2"/>
        <v>1.7713742906489019E-25</v>
      </c>
      <c r="E76" s="161">
        <f t="shared" si="3"/>
        <v>4463111.27442268</v>
      </c>
    </row>
    <row r="77" spans="2:27" ht="19" x14ac:dyDescent="0.25">
      <c r="C77" s="159">
        <f t="shared" si="4"/>
        <v>1400</v>
      </c>
      <c r="D77" s="160">
        <f t="shared" si="2"/>
        <v>1.9076338514680483E-25</v>
      </c>
      <c r="E77" s="161">
        <f t="shared" si="3"/>
        <v>5371547.5339429826</v>
      </c>
    </row>
    <row r="78" spans="2:27" ht="19" x14ac:dyDescent="0.25">
      <c r="C78" s="159">
        <f t="shared" si="4"/>
        <v>1500</v>
      </c>
      <c r="D78" s="160">
        <f t="shared" si="2"/>
        <v>2.043893412287195E-25</v>
      </c>
      <c r="E78" s="161">
        <f t="shared" si="3"/>
        <v>6382744.8179655354</v>
      </c>
    </row>
    <row r="79" spans="2:27" ht="19" x14ac:dyDescent="0.25">
      <c r="C79" s="159">
        <f t="shared" si="4"/>
        <v>1600</v>
      </c>
      <c r="D79" s="160">
        <f t="shared" si="2"/>
        <v>2.1801529731063412E-25</v>
      </c>
      <c r="E79" s="161">
        <f t="shared" si="3"/>
        <v>7500311.326893637</v>
      </c>
    </row>
    <row r="80" spans="2:27" ht="19" x14ac:dyDescent="0.25">
      <c r="C80" s="159">
        <f t="shared" si="4"/>
        <v>1700</v>
      </c>
      <c r="D80" s="160">
        <f t="shared" si="2"/>
        <v>2.3164125339254876E-25</v>
      </c>
      <c r="E80" s="161">
        <f t="shared" si="3"/>
        <v>8727736.7320857942</v>
      </c>
    </row>
    <row r="81" spans="3:26" ht="19" x14ac:dyDescent="0.25">
      <c r="C81" s="159">
        <f t="shared" si="4"/>
        <v>1800</v>
      </c>
      <c r="D81" s="160">
        <f t="shared" si="2"/>
        <v>2.4526720947446336E-25</v>
      </c>
      <c r="E81" s="161">
        <f t="shared" si="3"/>
        <v>10068403.148924792</v>
      </c>
    </row>
    <row r="82" spans="3:26" ht="19" x14ac:dyDescent="0.25">
      <c r="C82" s="159">
        <f t="shared" si="4"/>
        <v>1900</v>
      </c>
      <c r="D82" s="160">
        <f t="shared" si="2"/>
        <v>2.58893165556378E-25</v>
      </c>
      <c r="E82" s="161">
        <f t="shared" si="3"/>
        <v>11525594.513639903</v>
      </c>
    </row>
    <row r="83" spans="3:26" ht="20" thickBot="1" x14ac:dyDescent="0.3">
      <c r="C83" s="166">
        <f t="shared" si="4"/>
        <v>2000</v>
      </c>
      <c r="D83" s="167">
        <f t="shared" si="2"/>
        <v>2.725191216382926E-25</v>
      </c>
      <c r="E83" s="168">
        <f t="shared" si="3"/>
        <v>13102504.671363808</v>
      </c>
    </row>
    <row r="92" spans="3:26" ht="22" customHeight="1" x14ac:dyDescent="0.25">
      <c r="F92" s="56" t="s">
        <v>77</v>
      </c>
      <c r="Y92" s="56" t="s">
        <v>77</v>
      </c>
    </row>
    <row r="93" spans="3:26" ht="27" x14ac:dyDescent="0.35">
      <c r="C93" s="149" t="s">
        <v>151</v>
      </c>
      <c r="D93" s="169"/>
      <c r="E93" s="56"/>
      <c r="F93" s="56"/>
      <c r="G93" s="56"/>
      <c r="U93" s="472" t="s">
        <v>88</v>
      </c>
      <c r="V93" s="472"/>
      <c r="W93" s="472"/>
      <c r="X93" s="56"/>
      <c r="Y93" s="56"/>
      <c r="Z93" s="56"/>
    </row>
    <row r="94" spans="3:26" ht="19" x14ac:dyDescent="0.25">
      <c r="E94" s="56"/>
      <c r="G94" s="56"/>
      <c r="X94" s="56"/>
      <c r="Z94" s="56"/>
    </row>
    <row r="95" spans="3:26" ht="20" thickBot="1" x14ac:dyDescent="0.3">
      <c r="E95" s="56"/>
      <c r="F95" s="56"/>
      <c r="G95" s="56"/>
    </row>
    <row r="96" spans="3:26" ht="20" thickBot="1" x14ac:dyDescent="0.3">
      <c r="C96" s="170" t="s">
        <v>89</v>
      </c>
      <c r="E96" s="56"/>
      <c r="F96" s="56"/>
      <c r="G96" s="56"/>
    </row>
    <row r="97" spans="3:34" ht="22" thickBot="1" x14ac:dyDescent="0.3">
      <c r="C97" s="171" t="s">
        <v>90</v>
      </c>
      <c r="D97" s="304" cm="1">
        <f t="array" ref="D97">INDEX($E:$E,(COLUMN(D97)-4)*1+42)</f>
        <v>4466.4384</v>
      </c>
      <c r="E97" s="56"/>
      <c r="F97" s="56"/>
      <c r="G97" s="56"/>
      <c r="H97" s="56"/>
      <c r="I97" s="56"/>
      <c r="J97" s="56"/>
      <c r="K97" s="56"/>
      <c r="L97" s="56"/>
      <c r="M97" s="185" t="s">
        <v>158</v>
      </c>
      <c r="N97" s="373">
        <f>SUM(($B$14*$D$98)/2)*$H$13</f>
        <v>6.3880928765857607</v>
      </c>
    </row>
    <row r="98" spans="3:34" ht="20" thickBot="1" x14ac:dyDescent="0.3">
      <c r="C98" s="173" t="s">
        <v>91</v>
      </c>
      <c r="D98" s="268">
        <f>D97*$L$9</f>
        <v>133900696725120</v>
      </c>
      <c r="E98" s="158"/>
      <c r="F98" s="158"/>
      <c r="G98" s="158"/>
      <c r="H98" s="158"/>
      <c r="I98" s="158"/>
      <c r="J98" s="158"/>
      <c r="K98" s="158"/>
      <c r="L98" s="158"/>
    </row>
    <row r="99" spans="3:34" ht="17" thickBot="1" x14ac:dyDescent="0.25"/>
    <row r="100" spans="3:34" ht="30" customHeight="1" thickBot="1" x14ac:dyDescent="0.5">
      <c r="C100" s="473" t="s">
        <v>152</v>
      </c>
      <c r="D100" s="480"/>
      <c r="E100" s="340" t="s">
        <v>93</v>
      </c>
      <c r="F100" s="341"/>
      <c r="G100" s="341"/>
      <c r="H100" s="341"/>
      <c r="I100" s="341"/>
    </row>
    <row r="101" spans="3:34" ht="38" customHeight="1" thickBot="1" x14ac:dyDescent="0.35">
      <c r="C101" s="176" t="s">
        <v>94</v>
      </c>
      <c r="D101" s="282">
        <v>1</v>
      </c>
      <c r="E101" s="337"/>
      <c r="F101" s="284"/>
      <c r="G101" s="284"/>
      <c r="H101" s="284"/>
      <c r="I101" s="284"/>
      <c r="L101" s="153" t="s">
        <v>82</v>
      </c>
      <c r="M101" s="154"/>
      <c r="N101" s="154"/>
      <c r="O101" s="154"/>
      <c r="P101" s="154"/>
      <c r="Q101" s="56"/>
      <c r="U101" s="181" t="s">
        <v>79</v>
      </c>
      <c r="V101" s="182" t="s">
        <v>95</v>
      </c>
      <c r="W101" s="183" t="s">
        <v>96</v>
      </c>
      <c r="X101" s="183" t="s">
        <v>150</v>
      </c>
      <c r="Y101" s="361" t="s">
        <v>153</v>
      </c>
      <c r="Z101" s="184" t="s">
        <v>99</v>
      </c>
      <c r="AB101" s="463" t="s">
        <v>82</v>
      </c>
      <c r="AC101" s="463"/>
      <c r="AD101" s="463"/>
      <c r="AE101" s="463"/>
      <c r="AF101" s="463"/>
      <c r="AG101" s="463"/>
      <c r="AH101" s="463"/>
    </row>
    <row r="102" spans="3:34" ht="20" thickBot="1" x14ac:dyDescent="0.3">
      <c r="C102" s="185">
        <v>298.14999999999998</v>
      </c>
      <c r="D102" s="335">
        <f>1/(1-EXP(-($B$14*D$98)/($B$8*$C102)))</f>
        <v>1.0000000004358929</v>
      </c>
      <c r="E102" s="309">
        <f xml:space="preserve"> PRODUCT(D102)</f>
        <v>1.0000000004358929</v>
      </c>
      <c r="F102" s="269"/>
      <c r="G102" s="269"/>
      <c r="H102" s="269"/>
      <c r="I102" s="269"/>
      <c r="U102" s="185">
        <v>298.14999999999998</v>
      </c>
      <c r="V102" s="190">
        <f>$E65</f>
        <v>112425.89879781206</v>
      </c>
      <c r="W102" s="191">
        <f>PRODUCT(EXP(-($B$14*$D$98)/(2*$B$8*$U102))/(1-EXP(-($B$14*$D$98)/($B$8*$U102))))</f>
        <v>2.0878047762589872E-5</v>
      </c>
      <c r="X102" s="192">
        <f>$D137</f>
        <v>1.7078764026772475</v>
      </c>
      <c r="Y102" s="193">
        <f>$D175</f>
        <v>1</v>
      </c>
      <c r="Z102" s="194">
        <f>PRODUCT(V102:Y102)</f>
        <v>4.0087843387787254</v>
      </c>
    </row>
    <row r="103" spans="3:34" ht="22" thickBot="1" x14ac:dyDescent="0.3">
      <c r="C103" s="195">
        <v>300</v>
      </c>
      <c r="D103" s="336">
        <f>1/(1-EXP(-($B$14*D$98)/($B$8*$C103)))</f>
        <v>1.000000000497856</v>
      </c>
      <c r="E103" s="198">
        <f xml:space="preserve"> PRODUCT(D103)</f>
        <v>1.000000000497856</v>
      </c>
      <c r="F103" s="269"/>
      <c r="G103" s="269"/>
      <c r="H103" s="269"/>
      <c r="I103" s="269"/>
      <c r="N103" s="151" t="s">
        <v>156</v>
      </c>
      <c r="O103" s="181" t="s">
        <v>155</v>
      </c>
      <c r="P103" s="374" t="s">
        <v>157</v>
      </c>
      <c r="U103" s="195">
        <v>300</v>
      </c>
      <c r="V103" s="199">
        <f t="shared" ref="V103:V120" si="5">$E66</f>
        <v>114178.01036804235</v>
      </c>
      <c r="W103" s="56">
        <f t="shared" ref="W103:W120" si="6">PRODUCT(EXP(-($B$14*$D$98)/(2*$B$8*$U103))/(1-EXP(-($B$14*$D$98)/($B$8*$U103))))</f>
        <v>2.2312683194729433E-5</v>
      </c>
      <c r="X103" s="158">
        <f>$D138</f>
        <v>1.7184736568947652</v>
      </c>
      <c r="Y103" s="200">
        <f t="shared" ref="Y103:Y120" si="7">$D176</f>
        <v>1</v>
      </c>
      <c r="Z103" s="201">
        <f t="shared" ref="Z103:Z120" si="8">PRODUCT(V103:Y103)</f>
        <v>4.3780140309894415</v>
      </c>
    </row>
    <row r="104" spans="3:34" ht="20" thickBot="1" x14ac:dyDescent="0.3">
      <c r="C104" s="202">
        <f>C103+100</f>
        <v>400</v>
      </c>
      <c r="D104" s="336">
        <f t="shared" ref="D104:D120" si="9">1/(1-EXP(-($B$14*D$98)/($B$8*$C104)))</f>
        <v>1.0000001053968774</v>
      </c>
      <c r="E104" s="198">
        <f xml:space="preserve"> PRODUCT(D104)</f>
        <v>1.0000001053968774</v>
      </c>
      <c r="F104" s="269"/>
      <c r="G104" s="269"/>
      <c r="H104" s="269"/>
      <c r="I104" s="269"/>
      <c r="M104" s="162" t="s">
        <v>84</v>
      </c>
      <c r="N104" s="129">
        <f>E102</f>
        <v>1.0000000004358929</v>
      </c>
      <c r="O104" s="378">
        <f>E124</f>
        <v>2.0878047762589872E-5</v>
      </c>
      <c r="P104" s="378">
        <f>N97</f>
        <v>6.3880928765857607</v>
      </c>
      <c r="U104" s="202">
        <f>U103+100</f>
        <v>400</v>
      </c>
      <c r="V104" s="199">
        <f t="shared" si="5"/>
        <v>234384.72896542485</v>
      </c>
      <c r="W104" s="56">
        <f t="shared" si="6"/>
        <v>3.2464886956927176E-4</v>
      </c>
      <c r="X104" s="158">
        <f t="shared" ref="X104:X119" si="10">$D139</f>
        <v>2.2912982091930205</v>
      </c>
      <c r="Y104" s="200">
        <f t="shared" si="7"/>
        <v>1</v>
      </c>
      <c r="Z104" s="201">
        <f t="shared" si="8"/>
        <v>174.35115271478776</v>
      </c>
    </row>
    <row r="105" spans="3:34" ht="23" thickBot="1" x14ac:dyDescent="0.35">
      <c r="C105" s="202">
        <f t="shared" ref="C105:C120" si="11">C104+100</f>
        <v>500</v>
      </c>
      <c r="D105" s="336">
        <f t="shared" si="9"/>
        <v>1.0000026197707961</v>
      </c>
      <c r="E105" s="198">
        <f t="shared" ref="E105:E120" si="12" xml:space="preserve"> PRODUCT(D105)</f>
        <v>1.0000026197707961</v>
      </c>
      <c r="F105" s="269"/>
      <c r="G105" s="269"/>
      <c r="H105" s="269"/>
      <c r="I105" s="269"/>
      <c r="M105" s="163" t="s">
        <v>85</v>
      </c>
      <c r="N105" s="147">
        <f>P38</f>
        <v>1</v>
      </c>
      <c r="O105" s="365">
        <f>P37</f>
        <v>2.08785E-5</v>
      </c>
      <c r="P105" s="365">
        <f>D38</f>
        <v>6.3850899999999999</v>
      </c>
      <c r="U105" s="202">
        <f t="shared" ref="U105:U120" si="13">U104+100</f>
        <v>500</v>
      </c>
      <c r="V105" s="199">
        <f t="shared" si="5"/>
        <v>409453.27098012256</v>
      </c>
      <c r="W105" s="56">
        <f t="shared" si="6"/>
        <v>1.6185727228401538E-3</v>
      </c>
      <c r="X105" s="158">
        <f t="shared" si="10"/>
        <v>2.8641227614912754</v>
      </c>
      <c r="Y105" s="200">
        <f t="shared" si="7"/>
        <v>1</v>
      </c>
      <c r="Z105" s="201">
        <f t="shared" si="8"/>
        <v>1898.13977895531</v>
      </c>
      <c r="AE105" s="151" t="s">
        <v>160</v>
      </c>
      <c r="AF105" s="218" t="s">
        <v>168</v>
      </c>
    </row>
    <row r="106" spans="3:34" ht="23" thickBot="1" x14ac:dyDescent="0.35">
      <c r="C106" s="202">
        <f t="shared" si="11"/>
        <v>600</v>
      </c>
      <c r="D106" s="336">
        <f t="shared" si="9"/>
        <v>1.0000223131810506</v>
      </c>
      <c r="E106" s="198">
        <f t="shared" si="12"/>
        <v>1.0000223131810506</v>
      </c>
      <c r="F106" s="269"/>
      <c r="G106" s="269"/>
      <c r="H106" s="269"/>
      <c r="I106" s="269"/>
      <c r="M106" s="164" t="s">
        <v>86</v>
      </c>
      <c r="N106" s="165">
        <f>ABS(N104-N105)/N104</f>
        <v>4.3589287715846232E-10</v>
      </c>
      <c r="O106" s="165">
        <f t="shared" ref="O106:P106" si="14">ABS(O104-O105)/O104</f>
        <v>2.1660905045838924E-5</v>
      </c>
      <c r="P106" s="165">
        <f t="shared" si="14"/>
        <v>4.7007403363956126E-4</v>
      </c>
      <c r="U106" s="202">
        <f t="shared" si="13"/>
        <v>600</v>
      </c>
      <c r="V106" s="199">
        <f t="shared" si="5"/>
        <v>645888.36314904713</v>
      </c>
      <c r="W106" s="56">
        <f t="shared" si="6"/>
        <v>4.723735696311673E-3</v>
      </c>
      <c r="X106" s="158">
        <f t="shared" si="10"/>
        <v>3.4369473137895303</v>
      </c>
      <c r="Y106" s="200">
        <f t="shared" si="7"/>
        <v>1</v>
      </c>
      <c r="Z106" s="201">
        <f t="shared" si="8"/>
        <v>10486.146590237382</v>
      </c>
      <c r="AD106" s="162" t="s">
        <v>84</v>
      </c>
      <c r="AE106" s="289">
        <f>Z102</f>
        <v>4.0087843387787254</v>
      </c>
      <c r="AF106" s="379">
        <f>V103*X103*Y103*E103</f>
        <v>196211.9031118234</v>
      </c>
    </row>
    <row r="107" spans="3:34" ht="20" thickBot="1" x14ac:dyDescent="0.3">
      <c r="C107" s="202">
        <f t="shared" si="11"/>
        <v>700</v>
      </c>
      <c r="D107" s="336">
        <f t="shared" si="9"/>
        <v>1.0001030597667218</v>
      </c>
      <c r="E107" s="198">
        <f t="shared" si="12"/>
        <v>1.0001030597667218</v>
      </c>
      <c r="F107" s="269"/>
      <c r="G107" s="269"/>
      <c r="H107" s="269"/>
      <c r="I107" s="269"/>
      <c r="U107" s="202">
        <f t="shared" si="13"/>
        <v>700</v>
      </c>
      <c r="V107" s="199">
        <f t="shared" si="5"/>
        <v>949564.42167925066</v>
      </c>
      <c r="W107" s="56">
        <f t="shared" si="6"/>
        <v>1.0152358742546573E-2</v>
      </c>
      <c r="X107" s="158">
        <f t="shared" si="10"/>
        <v>4.0097718660877852</v>
      </c>
      <c r="Y107" s="200">
        <f t="shared" si="7"/>
        <v>1</v>
      </c>
      <c r="Z107" s="201">
        <f t="shared" si="8"/>
        <v>38655.478535156093</v>
      </c>
      <c r="AD107" s="163" t="s">
        <v>85</v>
      </c>
      <c r="AE107" s="290">
        <f>$P35</f>
        <v>4.0125400000000004</v>
      </c>
      <c r="AF107" s="199"/>
    </row>
    <row r="108" spans="3:34" ht="22" x14ac:dyDescent="0.3">
      <c r="C108" s="202">
        <f t="shared" si="11"/>
        <v>800</v>
      </c>
      <c r="D108" s="336">
        <f t="shared" si="9"/>
        <v>1.0003247542664466</v>
      </c>
      <c r="E108" s="198">
        <f t="shared" si="12"/>
        <v>1.0003247542664466</v>
      </c>
      <c r="F108" s="269"/>
      <c r="G108" s="269"/>
      <c r="H108" s="269"/>
      <c r="I108" s="269"/>
      <c r="U108" s="202">
        <f t="shared" si="13"/>
        <v>800</v>
      </c>
      <c r="V108" s="199">
        <f t="shared" si="5"/>
        <v>1325880.2500641872</v>
      </c>
      <c r="W108" s="56">
        <f t="shared" si="6"/>
        <v>1.802386561701599E-2</v>
      </c>
      <c r="X108" s="158">
        <f t="shared" si="10"/>
        <v>4.582596418386041</v>
      </c>
      <c r="Y108" s="200">
        <f t="shared" si="7"/>
        <v>1</v>
      </c>
      <c r="Z108" s="201">
        <f t="shared" si="8"/>
        <v>109512.54040326814</v>
      </c>
      <c r="AD108" s="164" t="s">
        <v>86</v>
      </c>
      <c r="AE108" s="165">
        <f>ABS(AE106-AE107)/AE106</f>
        <v>9.3685788605409992E-4</v>
      </c>
      <c r="AF108" s="291"/>
    </row>
    <row r="109" spans="3:34" ht="19" x14ac:dyDescent="0.25">
      <c r="C109" s="202">
        <f t="shared" si="11"/>
        <v>900</v>
      </c>
      <c r="D109" s="336">
        <f t="shared" si="9"/>
        <v>1.0007931930047049</v>
      </c>
      <c r="E109" s="198">
        <f t="shared" si="12"/>
        <v>1.0007931930047049</v>
      </c>
      <c r="F109" s="269"/>
      <c r="G109" s="269"/>
      <c r="H109" s="269"/>
      <c r="I109" s="269"/>
      <c r="U109" s="202">
        <f t="shared" si="13"/>
        <v>900</v>
      </c>
      <c r="V109" s="199">
        <f t="shared" si="5"/>
        <v>1779859.0355811976</v>
      </c>
      <c r="W109" s="56">
        <f t="shared" si="6"/>
        <v>2.8174849775067505E-2</v>
      </c>
      <c r="X109" s="158">
        <f t="shared" si="10"/>
        <v>5.1554209706842959</v>
      </c>
      <c r="Y109" s="200">
        <f t="shared" si="7"/>
        <v>1</v>
      </c>
      <c r="Z109" s="201">
        <f t="shared" si="8"/>
        <v>258530.24071522686</v>
      </c>
    </row>
    <row r="110" spans="3:34" ht="19" x14ac:dyDescent="0.25">
      <c r="C110" s="202">
        <f t="shared" si="11"/>
        <v>1000</v>
      </c>
      <c r="D110" s="336">
        <f t="shared" si="9"/>
        <v>1.001621192493636</v>
      </c>
      <c r="E110" s="198">
        <f t="shared" si="12"/>
        <v>1.001621192493636</v>
      </c>
      <c r="F110" s="269"/>
      <c r="G110" s="269"/>
      <c r="H110" s="269"/>
      <c r="I110" s="269"/>
      <c r="U110" s="202">
        <f t="shared" si="13"/>
        <v>1000</v>
      </c>
      <c r="V110" s="199">
        <f t="shared" si="5"/>
        <v>2316217.475912435</v>
      </c>
      <c r="W110" s="56">
        <f t="shared" si="6"/>
        <v>4.0296659399229343E-2</v>
      </c>
      <c r="X110" s="158">
        <f t="shared" si="10"/>
        <v>5.7282455229825509</v>
      </c>
      <c r="Y110" s="200">
        <f t="shared" si="7"/>
        <v>1</v>
      </c>
      <c r="Z110" s="201">
        <f t="shared" si="8"/>
        <v>534650.53155065491</v>
      </c>
    </row>
    <row r="111" spans="3:34" ht="19" x14ac:dyDescent="0.25">
      <c r="C111" s="202">
        <f t="shared" si="11"/>
        <v>1100</v>
      </c>
      <c r="D111" s="336">
        <f t="shared" si="9"/>
        <v>1.0029114479107326</v>
      </c>
      <c r="E111" s="198">
        <f t="shared" si="12"/>
        <v>1.0029114479107326</v>
      </c>
      <c r="F111" s="269"/>
      <c r="G111" s="269"/>
      <c r="H111" s="269"/>
      <c r="I111" s="269"/>
      <c r="U111" s="202">
        <f t="shared" si="13"/>
        <v>1100</v>
      </c>
      <c r="V111" s="199">
        <f t="shared" si="5"/>
        <v>2939415.9534582081</v>
      </c>
      <c r="W111" s="56">
        <f t="shared" si="6"/>
        <v>5.4036325186577173E-2</v>
      </c>
      <c r="X111" s="158">
        <f t="shared" si="10"/>
        <v>6.3010700752808058</v>
      </c>
      <c r="Y111" s="200">
        <f t="shared" si="7"/>
        <v>1</v>
      </c>
      <c r="Z111" s="201">
        <f t="shared" si="8"/>
        <v>1000831.954474094</v>
      </c>
    </row>
    <row r="112" spans="3:34" ht="19" x14ac:dyDescent="0.25">
      <c r="C112" s="202">
        <f t="shared" si="11"/>
        <v>1200</v>
      </c>
      <c r="D112" s="336">
        <f t="shared" si="9"/>
        <v>1.0047460488773623</v>
      </c>
      <c r="E112" s="198">
        <f t="shared" si="12"/>
        <v>1.0047460488773623</v>
      </c>
      <c r="F112" s="269"/>
      <c r="G112" s="269"/>
      <c r="H112" s="269"/>
      <c r="I112" s="269"/>
      <c r="U112" s="202">
        <f t="shared" si="13"/>
        <v>1200</v>
      </c>
      <c r="V112" s="199">
        <f t="shared" si="5"/>
        <v>3653696.3317773752</v>
      </c>
      <c r="W112" s="56">
        <f t="shared" si="6"/>
        <v>6.9054861214171911E-2</v>
      </c>
      <c r="X112" s="158">
        <f t="shared" si="10"/>
        <v>6.8738946275790607</v>
      </c>
      <c r="Y112" s="200">
        <f t="shared" si="7"/>
        <v>1</v>
      </c>
      <c r="Z112" s="201">
        <f t="shared" si="8"/>
        <v>1734321.3735948729</v>
      </c>
    </row>
    <row r="113" spans="2:26" ht="19" x14ac:dyDescent="0.25">
      <c r="C113" s="202">
        <f t="shared" si="11"/>
        <v>1300</v>
      </c>
      <c r="D113" s="336">
        <f t="shared" si="9"/>
        <v>1.0071826714022107</v>
      </c>
      <c r="E113" s="198">
        <f t="shared" si="12"/>
        <v>1.0071826714022107</v>
      </c>
      <c r="F113" s="269"/>
      <c r="G113" s="269"/>
      <c r="H113" s="269"/>
      <c r="I113" s="269"/>
      <c r="U113" s="202">
        <f t="shared" si="13"/>
        <v>1300</v>
      </c>
      <c r="V113" s="199">
        <f t="shared" si="5"/>
        <v>4463111.27442268</v>
      </c>
      <c r="W113" s="56">
        <f t="shared" si="6"/>
        <v>8.5054465906752003E-2</v>
      </c>
      <c r="X113" s="158">
        <f t="shared" si="10"/>
        <v>7.4467191798773165</v>
      </c>
      <c r="Y113" s="200">
        <f t="shared" si="7"/>
        <v>1</v>
      </c>
      <c r="Z113" s="201">
        <f t="shared" si="8"/>
        <v>2826830.7916020132</v>
      </c>
    </row>
    <row r="114" spans="2:26" ht="19" x14ac:dyDescent="0.25">
      <c r="C114" s="202">
        <f t="shared" si="11"/>
        <v>1400</v>
      </c>
      <c r="D114" s="336">
        <f t="shared" si="9"/>
        <v>1.0102554185092685</v>
      </c>
      <c r="E114" s="198">
        <f t="shared" si="12"/>
        <v>1.0102554185092685</v>
      </c>
      <c r="F114" s="269"/>
      <c r="G114" s="269"/>
      <c r="H114" s="269"/>
      <c r="I114" s="269"/>
      <c r="U114" s="202">
        <f t="shared" si="13"/>
        <v>1400</v>
      </c>
      <c r="V114" s="199">
        <f t="shared" si="5"/>
        <v>5371547.5339429826</v>
      </c>
      <c r="W114" s="56">
        <f t="shared" si="6"/>
        <v>0.10178699385515157</v>
      </c>
      <c r="X114" s="158">
        <f t="shared" si="10"/>
        <v>8.0195437321755705</v>
      </c>
      <c r="Y114" s="200">
        <f t="shared" si="7"/>
        <v>1</v>
      </c>
      <c r="Z114" s="201">
        <f t="shared" si="8"/>
        <v>4384715.0140473042</v>
      </c>
    </row>
    <row r="115" spans="2:26" ht="19" x14ac:dyDescent="0.25">
      <c r="C115" s="202">
        <f t="shared" si="11"/>
        <v>1500</v>
      </c>
      <c r="D115" s="336">
        <f t="shared" si="9"/>
        <v>1.013978137584411</v>
      </c>
      <c r="E115" s="198">
        <f t="shared" si="12"/>
        <v>1.013978137584411</v>
      </c>
      <c r="F115" s="269"/>
      <c r="G115" s="269"/>
      <c r="H115" s="269"/>
      <c r="I115" s="269"/>
      <c r="U115" s="202">
        <f t="shared" si="13"/>
        <v>1500</v>
      </c>
      <c r="V115" s="199">
        <f t="shared" si="5"/>
        <v>6382744.8179655354</v>
      </c>
      <c r="W115" s="56">
        <f t="shared" si="6"/>
        <v>0.1190526182607495</v>
      </c>
      <c r="X115" s="158">
        <f t="shared" si="10"/>
        <v>8.5923682844738263</v>
      </c>
      <c r="Y115" s="200">
        <f t="shared" si="7"/>
        <v>1</v>
      </c>
      <c r="Z115" s="201">
        <f t="shared" si="8"/>
        <v>6529190.1405756408</v>
      </c>
    </row>
    <row r="116" spans="2:26" ht="19" x14ac:dyDescent="0.25">
      <c r="C116" s="202">
        <f t="shared" si="11"/>
        <v>1600</v>
      </c>
      <c r="D116" s="336">
        <f t="shared" si="9"/>
        <v>1.0183486198834626</v>
      </c>
      <c r="E116" s="198">
        <f t="shared" si="12"/>
        <v>1.0183486198834626</v>
      </c>
      <c r="F116" s="269"/>
      <c r="G116" s="269"/>
      <c r="H116" s="269"/>
      <c r="I116" s="269"/>
      <c r="U116" s="202">
        <f t="shared" si="13"/>
        <v>1600</v>
      </c>
      <c r="V116" s="199">
        <f t="shared" si="5"/>
        <v>7500311.326893637</v>
      </c>
      <c r="W116" s="56">
        <f t="shared" si="6"/>
        <v>0.1366941539901779</v>
      </c>
      <c r="X116" s="158">
        <f t="shared" si="10"/>
        <v>9.1651928367720821</v>
      </c>
      <c r="Y116" s="200">
        <f t="shared" si="7"/>
        <v>1</v>
      </c>
      <c r="Z116" s="201">
        <f t="shared" si="8"/>
        <v>9396602.1464824658</v>
      </c>
    </row>
    <row r="117" spans="2:26" ht="19" x14ac:dyDescent="0.25">
      <c r="C117" s="202">
        <f t="shared" si="11"/>
        <v>1700</v>
      </c>
      <c r="D117" s="336">
        <f t="shared" si="9"/>
        <v>1.0233527351716376</v>
      </c>
      <c r="E117" s="198">
        <f t="shared" si="12"/>
        <v>1.0233527351716376</v>
      </c>
      <c r="F117" s="269"/>
      <c r="G117" s="269"/>
      <c r="H117" s="269"/>
      <c r="I117" s="269"/>
      <c r="U117" s="202">
        <f t="shared" si="13"/>
        <v>1700</v>
      </c>
      <c r="V117" s="199">
        <f t="shared" si="5"/>
        <v>8727736.7320857942</v>
      </c>
      <c r="W117" s="56">
        <f t="shared" si="6"/>
        <v>0.15459005599207945</v>
      </c>
      <c r="X117" s="158">
        <f t="shared" si="10"/>
        <v>9.7380173890703361</v>
      </c>
      <c r="Y117" s="200">
        <f t="shared" si="7"/>
        <v>1</v>
      </c>
      <c r="Z117" s="201">
        <f t="shared" si="8"/>
        <v>13138740.579431489</v>
      </c>
    </row>
    <row r="118" spans="2:26" ht="19" x14ac:dyDescent="0.25">
      <c r="C118" s="202">
        <f t="shared" si="11"/>
        <v>1800</v>
      </c>
      <c r="D118" s="336">
        <f t="shared" si="9"/>
        <v>1.0289680427797723</v>
      </c>
      <c r="E118" s="198">
        <f t="shared" si="12"/>
        <v>1.0289680427797723</v>
      </c>
      <c r="F118" s="269"/>
      <c r="G118" s="269"/>
      <c r="H118" s="269"/>
      <c r="I118" s="269"/>
      <c r="U118" s="202">
        <f t="shared" si="13"/>
        <v>1800</v>
      </c>
      <c r="V118" s="199">
        <f t="shared" si="5"/>
        <v>10068403.148924792</v>
      </c>
      <c r="W118" s="56">
        <f t="shared" si="6"/>
        <v>0.17264758985361808</v>
      </c>
      <c r="X118" s="158">
        <f t="shared" si="10"/>
        <v>10.310841941368592</v>
      </c>
      <c r="Y118" s="200">
        <f t="shared" si="7"/>
        <v>1</v>
      </c>
      <c r="Z118" s="201">
        <f t="shared" si="8"/>
        <v>17923187.424443047</v>
      </c>
    </row>
    <row r="119" spans="2:26" ht="19" x14ac:dyDescent="0.25">
      <c r="C119" s="202">
        <f t="shared" si="11"/>
        <v>1900</v>
      </c>
      <c r="D119" s="336">
        <f t="shared" si="9"/>
        <v>1.0351667248954137</v>
      </c>
      <c r="E119" s="198">
        <f t="shared" si="12"/>
        <v>1.0351667248954137</v>
      </c>
      <c r="F119" s="269"/>
      <c r="G119" s="269"/>
      <c r="H119" s="269"/>
      <c r="I119" s="269"/>
      <c r="U119" s="202">
        <f t="shared" si="13"/>
        <v>1900</v>
      </c>
      <c r="V119" s="199">
        <f t="shared" si="5"/>
        <v>11525594.513639903</v>
      </c>
      <c r="W119" s="56">
        <f t="shared" si="6"/>
        <v>0.19079681191069045</v>
      </c>
      <c r="X119" s="158">
        <f t="shared" si="10"/>
        <v>10.883666493666846</v>
      </c>
      <c r="Y119" s="200">
        <f t="shared" si="7"/>
        <v>1</v>
      </c>
      <c r="Z119" s="201">
        <f t="shared" si="8"/>
        <v>23933690.762483649</v>
      </c>
    </row>
    <row r="120" spans="2:26" ht="20" thickBot="1" x14ac:dyDescent="0.3">
      <c r="C120" s="205">
        <f t="shared" si="11"/>
        <v>2000</v>
      </c>
      <c r="D120" s="336">
        <f t="shared" si="9"/>
        <v>1.0419178518928653</v>
      </c>
      <c r="E120" s="206">
        <f t="shared" si="12"/>
        <v>1.0419178518928653</v>
      </c>
      <c r="F120" s="269"/>
      <c r="G120" s="269"/>
      <c r="H120" s="269"/>
      <c r="I120" s="269"/>
      <c r="U120" s="205">
        <f t="shared" si="13"/>
        <v>2000</v>
      </c>
      <c r="V120" s="207">
        <f t="shared" si="5"/>
        <v>13102504.671363808</v>
      </c>
      <c r="W120" s="208">
        <f t="shared" si="6"/>
        <v>0.20898554543359601</v>
      </c>
      <c r="X120" s="209">
        <f>$D155</f>
        <v>11.456491045965102</v>
      </c>
      <c r="Y120" s="210">
        <f t="shared" si="7"/>
        <v>1</v>
      </c>
      <c r="Z120" s="211">
        <f t="shared" si="8"/>
        <v>31370554.279895131</v>
      </c>
    </row>
    <row r="122" spans="2:26" ht="17" thickBot="1" x14ac:dyDescent="0.25"/>
    <row r="123" spans="2:26" ht="32" thickBot="1" x14ac:dyDescent="0.5">
      <c r="C123" s="366" t="s">
        <v>92</v>
      </c>
      <c r="D123" s="177">
        <v>1</v>
      </c>
      <c r="E123" s="175" t="s">
        <v>93</v>
      </c>
    </row>
    <row r="124" spans="2:26" ht="20" thickBot="1" x14ac:dyDescent="0.3">
      <c r="C124" s="185">
        <v>298.14999999999998</v>
      </c>
      <c r="D124" s="380">
        <f>EXP(-($B$14*D$98)/(2*$B$8*$C124))/(1-EXP(-($B$14*D$98)/($B$8*$C124)))</f>
        <v>2.0878047762589872E-5</v>
      </c>
      <c r="E124" s="274">
        <f>D124</f>
        <v>2.0878047762589872E-5</v>
      </c>
    </row>
    <row r="127" spans="2:26" ht="19" x14ac:dyDescent="0.25">
      <c r="B127" s="56"/>
      <c r="C127" s="56"/>
      <c r="D127" s="56"/>
      <c r="E127" s="56"/>
      <c r="F127" s="56" t="s">
        <v>77</v>
      </c>
      <c r="G127" s="56"/>
      <c r="H127" s="56"/>
      <c r="I127" s="56"/>
      <c r="J127" s="56"/>
      <c r="K127" s="56"/>
      <c r="L127" s="56"/>
      <c r="M127" s="56"/>
      <c r="N127" s="56"/>
      <c r="O127" s="56"/>
    </row>
    <row r="128" spans="2:26" ht="27" x14ac:dyDescent="0.35">
      <c r="B128" s="56"/>
      <c r="C128" s="149" t="s">
        <v>100</v>
      </c>
      <c r="D128" s="150"/>
      <c r="E128" s="56"/>
      <c r="F128" s="56"/>
      <c r="G128" s="56"/>
      <c r="H128" s="56"/>
      <c r="I128" s="56"/>
      <c r="J128" s="56"/>
      <c r="K128" s="56"/>
      <c r="L128" s="56"/>
      <c r="M128" s="56"/>
      <c r="N128" s="56"/>
      <c r="O128" s="56"/>
    </row>
    <row r="129" spans="2:15" ht="20" thickBot="1" x14ac:dyDescent="0.3">
      <c r="B129" s="56"/>
      <c r="C129" s="56"/>
      <c r="D129" s="56"/>
      <c r="E129" s="56"/>
      <c r="F129" s="56"/>
      <c r="G129" s="56"/>
      <c r="H129" s="56"/>
      <c r="I129" s="56"/>
      <c r="J129" s="56"/>
      <c r="K129" s="56"/>
      <c r="L129" s="56"/>
      <c r="M129" s="56"/>
      <c r="N129" s="56"/>
      <c r="O129" s="56"/>
    </row>
    <row r="130" spans="2:15" ht="21" x14ac:dyDescent="0.25">
      <c r="B130" s="56"/>
      <c r="C130" s="467" t="s">
        <v>146</v>
      </c>
      <c r="D130" s="469"/>
      <c r="E130" s="56"/>
      <c r="F130" s="56"/>
      <c r="G130" s="56"/>
      <c r="H130" s="56"/>
      <c r="I130" s="56"/>
      <c r="J130" s="56"/>
      <c r="K130" s="56"/>
      <c r="L130" s="56"/>
      <c r="M130" s="56"/>
      <c r="N130" s="56"/>
      <c r="O130" s="56"/>
    </row>
    <row r="131" spans="2:15" ht="20" thickBot="1" x14ac:dyDescent="0.3">
      <c r="B131" s="56"/>
      <c r="C131" s="481">
        <f>(D132*D133)/(D132+D133)*(D134^2)</f>
        <v>4.6141325616772751E-48</v>
      </c>
      <c r="D131" s="482"/>
      <c r="E131" s="111"/>
      <c r="F131" s="111"/>
      <c r="G131" s="56"/>
      <c r="H131" s="56"/>
      <c r="I131" s="56"/>
      <c r="J131" s="56"/>
      <c r="K131" s="56"/>
      <c r="L131" s="56"/>
      <c r="M131" s="56"/>
      <c r="N131" s="56"/>
      <c r="O131" s="56"/>
    </row>
    <row r="132" spans="2:15" ht="22" thickBot="1" x14ac:dyDescent="0.35">
      <c r="B132" s="56"/>
      <c r="C132" s="343" t="s">
        <v>147</v>
      </c>
      <c r="D132" s="344">
        <f>(A28/2)*$U$9</f>
        <v>1.6729894999999998E-27</v>
      </c>
      <c r="E132" s="158"/>
      <c r="F132" s="158"/>
      <c r="G132" s="56"/>
      <c r="H132" s="56"/>
      <c r="I132" s="56"/>
      <c r="J132" s="56"/>
      <c r="K132" s="56"/>
      <c r="L132" s="56"/>
      <c r="M132" s="56"/>
      <c r="N132" s="56"/>
      <c r="O132" s="56"/>
    </row>
    <row r="133" spans="2:15" ht="22" thickBot="1" x14ac:dyDescent="0.35">
      <c r="B133" s="56"/>
      <c r="C133" s="173" t="s">
        <v>148</v>
      </c>
      <c r="D133" s="344">
        <f>(A28/2)*$U$9</f>
        <v>1.6729894999999998E-27</v>
      </c>
      <c r="E133" s="56"/>
      <c r="F133" s="56"/>
      <c r="G133" s="56"/>
      <c r="H133" s="56"/>
      <c r="I133" s="56"/>
      <c r="J133" s="56"/>
      <c r="K133" s="56"/>
      <c r="L133" s="56"/>
      <c r="M133" s="56"/>
      <c r="N133" s="56"/>
      <c r="O133" s="56"/>
    </row>
    <row r="134" spans="2:15" ht="22" thickBot="1" x14ac:dyDescent="0.35">
      <c r="B134" s="56"/>
      <c r="C134" s="173" t="s">
        <v>149</v>
      </c>
      <c r="D134" s="344">
        <f xml:space="preserve"> 0.7427*10^-10</f>
        <v>7.4270000000000006E-11</v>
      </c>
      <c r="E134" s="56"/>
      <c r="F134" s="56"/>
      <c r="G134" s="56"/>
      <c r="H134" s="56"/>
      <c r="I134" s="56"/>
      <c r="J134" s="56"/>
      <c r="K134" s="56"/>
      <c r="L134" s="56"/>
      <c r="M134" s="56"/>
      <c r="N134" s="56"/>
      <c r="O134" s="56"/>
    </row>
    <row r="135" spans="2:15" ht="20" thickBot="1" x14ac:dyDescent="0.3">
      <c r="B135" s="56"/>
      <c r="C135" s="56"/>
      <c r="D135" s="56"/>
      <c r="E135" s="56"/>
      <c r="F135" s="56"/>
      <c r="G135" s="56"/>
      <c r="H135" s="56"/>
      <c r="I135" s="56"/>
      <c r="J135" s="56"/>
      <c r="K135" s="56"/>
      <c r="L135" s="56"/>
      <c r="M135" s="56"/>
      <c r="N135" s="56"/>
      <c r="O135" s="56"/>
    </row>
    <row r="136" spans="2:15" ht="23" thickBot="1" x14ac:dyDescent="0.35">
      <c r="B136" s="56"/>
      <c r="C136" s="213" t="s">
        <v>79</v>
      </c>
      <c r="D136" s="151" t="s">
        <v>159</v>
      </c>
      <c r="E136" s="294"/>
      <c r="F136" s="56"/>
      <c r="G136" s="56"/>
      <c r="H136" s="153" t="s">
        <v>82</v>
      </c>
      <c r="I136" s="154"/>
      <c r="J136" s="154"/>
      <c r="K136" s="154"/>
      <c r="L136" s="154"/>
      <c r="M136" s="154"/>
      <c r="N136" s="154"/>
      <c r="O136" s="56"/>
    </row>
    <row r="137" spans="2:15" ht="20" thickBot="1" x14ac:dyDescent="0.3">
      <c r="B137" s="56"/>
      <c r="C137" s="155">
        <v>298.14999999999998</v>
      </c>
      <c r="D137" s="157">
        <f>(8*PI()^2*$B$8*C137*$C$131)/($H$139*$B$14^2)</f>
        <v>1.7078764026772475</v>
      </c>
      <c r="E137" s="158"/>
      <c r="F137" s="158"/>
      <c r="G137" s="56"/>
      <c r="H137" s="56"/>
      <c r="I137" s="56"/>
      <c r="J137" s="56"/>
      <c r="K137" s="56"/>
      <c r="L137" s="56"/>
      <c r="M137" s="56"/>
      <c r="N137" s="56"/>
      <c r="O137" s="56"/>
    </row>
    <row r="138" spans="2:15" ht="20" thickBot="1" x14ac:dyDescent="0.3">
      <c r="B138" s="56"/>
      <c r="C138" s="155">
        <v>300</v>
      </c>
      <c r="D138" s="157">
        <f>(8*PI()^2*$B$8*C138*$C$131)/($H$139*$B$14^2)</f>
        <v>1.7184736568947652</v>
      </c>
      <c r="E138" s="158"/>
      <c r="F138" s="56"/>
      <c r="G138" s="56"/>
      <c r="L138" s="151" t="s">
        <v>144</v>
      </c>
      <c r="M138" s="294"/>
      <c r="N138" s="56"/>
      <c r="O138" s="56"/>
    </row>
    <row r="139" spans="2:15" ht="20" thickBot="1" x14ac:dyDescent="0.3">
      <c r="B139" s="56"/>
      <c r="C139" s="159">
        <f>C138+100</f>
        <v>400</v>
      </c>
      <c r="D139" s="161">
        <f>(8*PI()^2*$B$8*C139*$C$131)/($H$139*$B$14^2)</f>
        <v>2.2912982091930205</v>
      </c>
      <c r="E139" s="158"/>
      <c r="F139" s="56"/>
      <c r="G139" s="97" t="s">
        <v>106</v>
      </c>
      <c r="H139" s="103">
        <v>2</v>
      </c>
      <c r="K139" s="162" t="s">
        <v>84</v>
      </c>
      <c r="L139" s="129">
        <f>$D$137</f>
        <v>1.7078764026772475</v>
      </c>
      <c r="M139" s="158"/>
      <c r="N139" s="56"/>
      <c r="O139" s="56"/>
    </row>
    <row r="140" spans="2:15" ht="20" thickBot="1" x14ac:dyDescent="0.3">
      <c r="B140" s="56"/>
      <c r="C140" s="159">
        <f t="shared" ref="C140:C155" si="15">C139+100</f>
        <v>500</v>
      </c>
      <c r="D140" s="161">
        <f t="shared" ref="D140:D155" si="16">(8*PI()^2*$B$8*C140*$C$131)/($H$139*$B$14^2)</f>
        <v>2.8641227614912754</v>
      </c>
      <c r="E140" s="158"/>
      <c r="F140" s="56"/>
      <c r="G140" s="56"/>
      <c r="K140" s="163" t="s">
        <v>85</v>
      </c>
      <c r="L140" s="147">
        <f>P34</f>
        <v>1.70861</v>
      </c>
      <c r="M140" s="158"/>
      <c r="N140" s="56"/>
      <c r="O140" s="56"/>
    </row>
    <row r="141" spans="2:15" ht="22" x14ac:dyDescent="0.3">
      <c r="B141" s="56"/>
      <c r="C141" s="159">
        <f t="shared" si="15"/>
        <v>600</v>
      </c>
      <c r="D141" s="161">
        <f t="shared" si="16"/>
        <v>3.4369473137895303</v>
      </c>
      <c r="E141" s="158"/>
      <c r="F141" s="56"/>
      <c r="G141" s="56"/>
      <c r="H141" s="56"/>
      <c r="I141" s="56"/>
      <c r="K141" s="164" t="s">
        <v>86</v>
      </c>
      <c r="L141" s="165">
        <f>ABS(L139-L140)/L139</f>
        <v>4.295377122152911E-4</v>
      </c>
      <c r="M141" s="295"/>
      <c r="N141" s="56"/>
      <c r="O141" s="56"/>
    </row>
    <row r="142" spans="2:15" ht="19" x14ac:dyDescent="0.25">
      <c r="B142" s="56"/>
      <c r="C142" s="159">
        <f t="shared" si="15"/>
        <v>700</v>
      </c>
      <c r="D142" s="161">
        <f t="shared" si="16"/>
        <v>4.0097718660877852</v>
      </c>
      <c r="E142" s="158"/>
      <c r="F142" s="56"/>
      <c r="G142" s="56"/>
    </row>
    <row r="143" spans="2:15" ht="19" x14ac:dyDescent="0.25">
      <c r="B143" s="56"/>
      <c r="C143" s="159">
        <f t="shared" si="15"/>
        <v>800</v>
      </c>
      <c r="D143" s="161">
        <f t="shared" si="16"/>
        <v>4.582596418386041</v>
      </c>
      <c r="E143" s="158"/>
      <c r="F143" s="56"/>
      <c r="G143" s="56"/>
    </row>
    <row r="144" spans="2:15" ht="19" x14ac:dyDescent="0.25">
      <c r="B144" s="56"/>
      <c r="C144" s="159">
        <f t="shared" si="15"/>
        <v>900</v>
      </c>
      <c r="D144" s="161">
        <f t="shared" si="16"/>
        <v>5.1554209706842959</v>
      </c>
      <c r="E144" s="158"/>
      <c r="F144" s="56"/>
      <c r="G144" s="56"/>
    </row>
    <row r="145" spans="3:5" ht="19" x14ac:dyDescent="0.25">
      <c r="C145" s="159">
        <f t="shared" si="15"/>
        <v>1000</v>
      </c>
      <c r="D145" s="161">
        <f t="shared" si="16"/>
        <v>5.7282455229825509</v>
      </c>
      <c r="E145" s="158"/>
    </row>
    <row r="146" spans="3:5" ht="19" x14ac:dyDescent="0.25">
      <c r="C146" s="159">
        <f t="shared" si="15"/>
        <v>1100</v>
      </c>
      <c r="D146" s="161">
        <f t="shared" si="16"/>
        <v>6.3010700752808058</v>
      </c>
      <c r="E146" s="158"/>
    </row>
    <row r="147" spans="3:5" ht="19" x14ac:dyDescent="0.25">
      <c r="C147" s="159">
        <f t="shared" si="15"/>
        <v>1200</v>
      </c>
      <c r="D147" s="161">
        <f t="shared" si="16"/>
        <v>6.8738946275790607</v>
      </c>
      <c r="E147" s="158"/>
    </row>
    <row r="148" spans="3:5" ht="19" x14ac:dyDescent="0.25">
      <c r="C148" s="159">
        <f t="shared" si="15"/>
        <v>1300</v>
      </c>
      <c r="D148" s="161">
        <f t="shared" si="16"/>
        <v>7.4467191798773165</v>
      </c>
      <c r="E148" s="158"/>
    </row>
    <row r="149" spans="3:5" ht="19" x14ac:dyDescent="0.25">
      <c r="C149" s="159">
        <f t="shared" si="15"/>
        <v>1400</v>
      </c>
      <c r="D149" s="161">
        <f t="shared" si="16"/>
        <v>8.0195437321755705</v>
      </c>
      <c r="E149" s="158"/>
    </row>
    <row r="150" spans="3:5" ht="19" x14ac:dyDescent="0.25">
      <c r="C150" s="159">
        <f t="shared" si="15"/>
        <v>1500</v>
      </c>
      <c r="D150" s="161">
        <f t="shared" si="16"/>
        <v>8.5923682844738263</v>
      </c>
      <c r="E150" s="158"/>
    </row>
    <row r="151" spans="3:5" ht="19" x14ac:dyDescent="0.25">
      <c r="C151" s="159">
        <f t="shared" si="15"/>
        <v>1600</v>
      </c>
      <c r="D151" s="161">
        <f t="shared" si="16"/>
        <v>9.1651928367720821</v>
      </c>
      <c r="E151" s="158"/>
    </row>
    <row r="152" spans="3:5" ht="19" x14ac:dyDescent="0.25">
      <c r="C152" s="159">
        <f t="shared" si="15"/>
        <v>1700</v>
      </c>
      <c r="D152" s="161">
        <f t="shared" si="16"/>
        <v>9.7380173890703361</v>
      </c>
      <c r="E152" s="158"/>
    </row>
    <row r="153" spans="3:5" ht="19" x14ac:dyDescent="0.25">
      <c r="C153" s="159">
        <f t="shared" si="15"/>
        <v>1800</v>
      </c>
      <c r="D153" s="161">
        <f t="shared" si="16"/>
        <v>10.310841941368592</v>
      </c>
      <c r="E153" s="158"/>
    </row>
    <row r="154" spans="3:5" ht="19" x14ac:dyDescent="0.25">
      <c r="C154" s="159">
        <f t="shared" si="15"/>
        <v>1900</v>
      </c>
      <c r="D154" s="161">
        <f t="shared" si="16"/>
        <v>10.883666493666846</v>
      </c>
      <c r="E154" s="158"/>
    </row>
    <row r="155" spans="3:5" ht="20" thickBot="1" x14ac:dyDescent="0.3">
      <c r="C155" s="166">
        <f t="shared" si="15"/>
        <v>2000</v>
      </c>
      <c r="D155" s="168">
        <f t="shared" si="16"/>
        <v>11.456491045965102</v>
      </c>
      <c r="E155" s="158"/>
    </row>
    <row r="162" spans="2:16" ht="19" x14ac:dyDescent="0.25">
      <c r="B162" s="56"/>
      <c r="C162" s="56"/>
      <c r="D162" s="56"/>
      <c r="E162" s="56"/>
      <c r="F162" s="56"/>
      <c r="G162" s="56"/>
      <c r="H162" s="56"/>
      <c r="I162" s="56"/>
      <c r="J162" s="56"/>
      <c r="K162" s="56"/>
      <c r="L162" s="56"/>
      <c r="M162" s="56"/>
      <c r="N162" s="56"/>
      <c r="O162" s="56"/>
      <c r="P162" s="56"/>
    </row>
    <row r="163" spans="2:16" ht="19" x14ac:dyDescent="0.25">
      <c r="B163" s="56"/>
      <c r="C163" s="56"/>
      <c r="D163" s="56"/>
      <c r="E163" s="56"/>
      <c r="F163" s="56" t="s">
        <v>77</v>
      </c>
      <c r="G163" s="56"/>
      <c r="H163" s="56"/>
      <c r="I163" s="56"/>
      <c r="J163" s="56"/>
      <c r="K163" s="56"/>
      <c r="L163" s="56"/>
      <c r="M163" s="56"/>
      <c r="N163" s="56"/>
      <c r="O163" s="56"/>
    </row>
    <row r="164" spans="2:16" ht="27" x14ac:dyDescent="0.35">
      <c r="B164" s="56"/>
      <c r="C164" s="149" t="s">
        <v>107</v>
      </c>
      <c r="D164" s="150"/>
      <c r="E164" s="56"/>
      <c r="F164" s="56"/>
      <c r="G164" s="56"/>
      <c r="H164" s="56"/>
      <c r="I164" s="56"/>
      <c r="J164" s="56"/>
      <c r="K164" s="56"/>
      <c r="L164" s="56"/>
      <c r="M164" s="56"/>
      <c r="N164" s="56"/>
      <c r="O164" s="56"/>
    </row>
    <row r="165" spans="2:16" ht="19" x14ac:dyDescent="0.25">
      <c r="B165" s="56"/>
      <c r="C165" s="56"/>
      <c r="D165" s="56"/>
      <c r="E165" s="56"/>
      <c r="F165" s="56"/>
      <c r="G165" s="56"/>
      <c r="H165" s="56"/>
      <c r="I165" s="56"/>
      <c r="J165" s="56"/>
      <c r="K165" s="56"/>
      <c r="L165" s="56"/>
      <c r="M165" s="56"/>
      <c r="N165" s="56"/>
      <c r="O165" s="56"/>
    </row>
    <row r="166" spans="2:16" ht="20" thickBot="1" x14ac:dyDescent="0.3">
      <c r="B166" s="56"/>
      <c r="C166" s="137" t="s">
        <v>108</v>
      </c>
      <c r="F166" s="56"/>
      <c r="G166" s="56"/>
      <c r="H166" s="56"/>
      <c r="I166" s="56"/>
      <c r="J166" s="56"/>
      <c r="K166" s="56"/>
      <c r="L166" s="56"/>
      <c r="M166" s="56"/>
      <c r="N166" s="56"/>
      <c r="O166" s="56"/>
    </row>
    <row r="167" spans="2:16" ht="20" thickBot="1" x14ac:dyDescent="0.3">
      <c r="B167" s="56"/>
      <c r="C167" s="180"/>
      <c r="D167" s="138">
        <v>1</v>
      </c>
      <c r="E167" s="139">
        <f>D167+1</f>
        <v>2</v>
      </c>
      <c r="F167" s="140" t="s">
        <v>109</v>
      </c>
      <c r="G167" s="56"/>
      <c r="H167" s="56"/>
      <c r="I167" s="56"/>
      <c r="J167" s="56"/>
      <c r="K167" s="56"/>
      <c r="L167" s="56"/>
      <c r="M167" s="56"/>
      <c r="N167" s="56"/>
      <c r="O167" s="56"/>
    </row>
    <row r="168" spans="2:16" ht="20" thickBot="1" x14ac:dyDescent="0.3">
      <c r="B168" s="56"/>
      <c r="C168" s="214" t="s">
        <v>110</v>
      </c>
      <c r="D168" s="215">
        <f>J$46</f>
        <v>-1.1785340066400001</v>
      </c>
      <c r="E168" s="215">
        <f t="shared" ref="E168" si="17">K$46</f>
        <v>-1.1785393340799999</v>
      </c>
      <c r="F168" s="215">
        <f>L$46</f>
        <v>-1.1785393340799999</v>
      </c>
      <c r="G168" s="56"/>
      <c r="H168" s="56"/>
      <c r="I168" s="56"/>
      <c r="J168" s="56"/>
      <c r="K168" s="56"/>
      <c r="L168" s="56"/>
      <c r="M168" s="56"/>
      <c r="N168" s="56"/>
      <c r="O168" s="56"/>
    </row>
    <row r="169" spans="2:16" ht="20" thickBot="1" x14ac:dyDescent="0.3">
      <c r="B169" s="56"/>
      <c r="C169" s="216" t="s">
        <v>111</v>
      </c>
      <c r="D169" s="217">
        <f>D168*$K$7</f>
        <v>-5.1384082689504001E-18</v>
      </c>
      <c r="E169" s="217">
        <f t="shared" ref="E169" si="18">E168*$K$7</f>
        <v>-5.1384314965887994E-18</v>
      </c>
      <c r="F169" s="217">
        <f>F168*$K$7</f>
        <v>-5.1384314965887994E-18</v>
      </c>
      <c r="G169" s="56"/>
      <c r="H169" s="56"/>
      <c r="I169" s="56"/>
      <c r="J169" s="56"/>
      <c r="K169" s="56"/>
      <c r="L169" s="56"/>
      <c r="M169" s="56"/>
      <c r="N169" s="56"/>
      <c r="O169" s="56"/>
    </row>
    <row r="170" spans="2:16" ht="20" thickBot="1" x14ac:dyDescent="0.3">
      <c r="B170" s="56"/>
      <c r="D170" s="56"/>
      <c r="E170" s="56"/>
      <c r="F170" s="56"/>
      <c r="G170" s="56"/>
      <c r="H170" s="56"/>
      <c r="I170" s="56"/>
      <c r="J170" s="56"/>
      <c r="K170" s="56"/>
      <c r="L170" s="56"/>
      <c r="M170" s="56"/>
      <c r="N170" s="56"/>
      <c r="O170" s="56"/>
    </row>
    <row r="171" spans="2:16" ht="22" thickBot="1" x14ac:dyDescent="0.35">
      <c r="B171" s="56"/>
      <c r="C171" s="218" t="s">
        <v>112</v>
      </c>
      <c r="D171" s="56"/>
      <c r="E171" s="56"/>
      <c r="F171" s="56"/>
      <c r="G171" s="56"/>
      <c r="H171" s="56"/>
      <c r="I171" s="56"/>
      <c r="J171" s="56"/>
      <c r="K171" s="56"/>
      <c r="L171" s="56"/>
      <c r="M171" s="56"/>
      <c r="N171" s="56"/>
      <c r="O171" s="56"/>
    </row>
    <row r="172" spans="2:16" ht="23" thickBot="1" x14ac:dyDescent="0.35">
      <c r="B172" s="56"/>
      <c r="C172" s="219">
        <f>F169+L23</f>
        <v>-5.0940684965887995E-18</v>
      </c>
      <c r="F172" s="56"/>
      <c r="G172" s="56"/>
      <c r="H172" s="153" t="s">
        <v>82</v>
      </c>
      <c r="I172" s="154"/>
      <c r="J172" s="154"/>
      <c r="K172" s="154"/>
      <c r="L172" s="154"/>
      <c r="M172" s="154"/>
      <c r="N172" s="56"/>
      <c r="O172" s="56"/>
    </row>
    <row r="173" spans="2:16" ht="20" thickBot="1" x14ac:dyDescent="0.3">
      <c r="B173" s="56"/>
      <c r="F173" s="158"/>
      <c r="G173" s="56"/>
      <c r="H173" s="56"/>
      <c r="I173" s="56"/>
      <c r="J173" s="56"/>
      <c r="K173" s="56"/>
      <c r="L173" s="56"/>
      <c r="M173" s="56"/>
      <c r="N173" s="56"/>
      <c r="O173" s="56"/>
    </row>
    <row r="174" spans="2:16" ht="22" thickBot="1" x14ac:dyDescent="0.3">
      <c r="B174" s="56"/>
      <c r="C174" s="213" t="s">
        <v>79</v>
      </c>
      <c r="D174" s="220" t="s">
        <v>113</v>
      </c>
      <c r="F174" s="56"/>
      <c r="G174" s="56"/>
      <c r="L174" s="151" t="s">
        <v>83</v>
      </c>
      <c r="M174" s="56"/>
      <c r="N174" s="56"/>
      <c r="O174" s="56"/>
    </row>
    <row r="175" spans="2:16" ht="20" thickBot="1" x14ac:dyDescent="0.3">
      <c r="B175" s="56"/>
      <c r="C175" s="155">
        <v>298.14999999999998</v>
      </c>
      <c r="D175" s="157">
        <f>1</f>
        <v>1</v>
      </c>
      <c r="F175" s="56"/>
      <c r="G175" s="56"/>
      <c r="K175" s="162" t="s">
        <v>84</v>
      </c>
      <c r="L175" s="129">
        <f>1</f>
        <v>1</v>
      </c>
      <c r="M175" s="56"/>
      <c r="N175" s="56"/>
      <c r="O175" s="56"/>
    </row>
    <row r="176" spans="2:16" ht="20" thickBot="1" x14ac:dyDescent="0.3">
      <c r="B176" s="56"/>
      <c r="C176" s="155">
        <v>300</v>
      </c>
      <c r="D176" s="157">
        <v>1</v>
      </c>
      <c r="F176" s="56"/>
      <c r="G176" s="56"/>
      <c r="K176" s="163" t="s">
        <v>85</v>
      </c>
      <c r="L176" s="147">
        <f>P32</f>
        <v>1</v>
      </c>
      <c r="M176" s="56"/>
      <c r="N176" s="56"/>
      <c r="O176" s="56"/>
    </row>
    <row r="177" spans="2:15" ht="22" x14ac:dyDescent="0.3">
      <c r="B177" s="56"/>
      <c r="C177" s="159">
        <f>C176+100</f>
        <v>400</v>
      </c>
      <c r="D177" s="161">
        <v>1</v>
      </c>
      <c r="F177" s="56"/>
      <c r="G177" s="56"/>
      <c r="H177" s="56"/>
      <c r="I177" s="56"/>
      <c r="K177" s="164" t="s">
        <v>86</v>
      </c>
      <c r="L177" s="165">
        <f>ABS(L175-L176)/L175</f>
        <v>0</v>
      </c>
      <c r="M177" s="56"/>
      <c r="N177" s="56"/>
      <c r="O177" s="56"/>
    </row>
    <row r="178" spans="2:15" ht="19" x14ac:dyDescent="0.25">
      <c r="B178" s="56"/>
      <c r="C178" s="159">
        <f t="shared" ref="C178:C193" si="19">C177+100</f>
        <v>500</v>
      </c>
      <c r="D178" s="161">
        <v>1</v>
      </c>
      <c r="F178" s="56"/>
      <c r="G178" s="56"/>
    </row>
    <row r="179" spans="2:15" ht="19" x14ac:dyDescent="0.25">
      <c r="B179" s="56"/>
      <c r="C179" s="159">
        <f t="shared" si="19"/>
        <v>600</v>
      </c>
      <c r="D179" s="161">
        <v>1</v>
      </c>
      <c r="F179" s="56"/>
      <c r="G179" s="56"/>
    </row>
    <row r="180" spans="2:15" ht="19" x14ac:dyDescent="0.25">
      <c r="B180" s="56"/>
      <c r="C180" s="159">
        <f t="shared" si="19"/>
        <v>700</v>
      </c>
      <c r="D180" s="161">
        <v>1</v>
      </c>
      <c r="F180" s="56"/>
      <c r="G180" s="56"/>
    </row>
    <row r="181" spans="2:15" ht="19" x14ac:dyDescent="0.25">
      <c r="C181" s="159">
        <f t="shared" si="19"/>
        <v>800</v>
      </c>
      <c r="D181" s="161">
        <v>1</v>
      </c>
    </row>
    <row r="182" spans="2:15" ht="19" x14ac:dyDescent="0.25">
      <c r="C182" s="159">
        <f t="shared" si="19"/>
        <v>900</v>
      </c>
      <c r="D182" s="161">
        <v>1</v>
      </c>
    </row>
    <row r="183" spans="2:15" ht="19" x14ac:dyDescent="0.25">
      <c r="C183" s="159">
        <f t="shared" si="19"/>
        <v>1000</v>
      </c>
      <c r="D183" s="161">
        <v>1</v>
      </c>
    </row>
    <row r="184" spans="2:15" ht="19" x14ac:dyDescent="0.25">
      <c r="C184" s="159">
        <f t="shared" si="19"/>
        <v>1100</v>
      </c>
      <c r="D184" s="161">
        <v>1</v>
      </c>
    </row>
    <row r="185" spans="2:15" ht="19" x14ac:dyDescent="0.25">
      <c r="C185" s="159">
        <f t="shared" si="19"/>
        <v>1200</v>
      </c>
      <c r="D185" s="161">
        <v>1</v>
      </c>
    </row>
    <row r="186" spans="2:15" ht="19" x14ac:dyDescent="0.25">
      <c r="C186" s="159">
        <f t="shared" si="19"/>
        <v>1300</v>
      </c>
      <c r="D186" s="161">
        <v>1</v>
      </c>
    </row>
    <row r="187" spans="2:15" ht="19" x14ac:dyDescent="0.25">
      <c r="C187" s="159">
        <f t="shared" si="19"/>
        <v>1400</v>
      </c>
      <c r="D187" s="161">
        <v>1</v>
      </c>
    </row>
    <row r="188" spans="2:15" ht="19" x14ac:dyDescent="0.25">
      <c r="C188" s="159">
        <f t="shared" si="19"/>
        <v>1500</v>
      </c>
      <c r="D188" s="161">
        <v>1</v>
      </c>
    </row>
    <row r="189" spans="2:15" ht="19" x14ac:dyDescent="0.25">
      <c r="C189" s="159">
        <f t="shared" si="19"/>
        <v>1600</v>
      </c>
      <c r="D189" s="161">
        <v>1</v>
      </c>
    </row>
    <row r="190" spans="2:15" ht="19" x14ac:dyDescent="0.25">
      <c r="C190" s="159">
        <f t="shared" si="19"/>
        <v>1700</v>
      </c>
      <c r="D190" s="161">
        <v>1</v>
      </c>
    </row>
    <row r="191" spans="2:15" ht="19" x14ac:dyDescent="0.25">
      <c r="C191" s="159">
        <f t="shared" si="19"/>
        <v>1800</v>
      </c>
      <c r="D191" s="161">
        <v>1</v>
      </c>
    </row>
    <row r="192" spans="2:15" ht="19" x14ac:dyDescent="0.25">
      <c r="C192" s="159">
        <f t="shared" si="19"/>
        <v>1900</v>
      </c>
      <c r="D192" s="161">
        <v>1</v>
      </c>
    </row>
    <row r="193" spans="3:11" ht="20" thickBot="1" x14ac:dyDescent="0.3">
      <c r="C193" s="166">
        <f t="shared" si="19"/>
        <v>2000</v>
      </c>
      <c r="D193" s="168">
        <v>1</v>
      </c>
    </row>
    <row r="197" spans="3:11" ht="17" thickBot="1" x14ac:dyDescent="0.25"/>
    <row r="198" spans="3:11" ht="20" thickBot="1" x14ac:dyDescent="0.3">
      <c r="E198" s="56"/>
      <c r="F198" s="56" t="s">
        <v>77</v>
      </c>
      <c r="G198" s="56"/>
      <c r="H198" s="467" t="s">
        <v>114</v>
      </c>
      <c r="I198" s="468"/>
      <c r="J198" s="468"/>
      <c r="K198" s="469"/>
    </row>
    <row r="199" spans="3:11" ht="28" thickBot="1" x14ac:dyDescent="0.4">
      <c r="C199" s="149" t="s">
        <v>115</v>
      </c>
      <c r="D199" s="150"/>
      <c r="E199" s="56"/>
      <c r="F199" s="56"/>
      <c r="G199" s="56"/>
      <c r="H199" s="221" t="s">
        <v>116</v>
      </c>
      <c r="I199" s="221" t="s">
        <v>117</v>
      </c>
      <c r="J199" s="221" t="s">
        <v>118</v>
      </c>
      <c r="K199" s="221" t="s">
        <v>119</v>
      </c>
    </row>
    <row r="202" spans="3:11" ht="17" thickBot="1" x14ac:dyDescent="0.25"/>
    <row r="203" spans="3:11" ht="20" thickBot="1" x14ac:dyDescent="0.25">
      <c r="D203" s="461" t="s">
        <v>120</v>
      </c>
      <c r="E203" s="462"/>
    </row>
    <row r="204" spans="3:11" ht="20" thickBot="1" x14ac:dyDescent="0.3">
      <c r="D204" s="173" t="s">
        <v>121</v>
      </c>
      <c r="E204" s="222" t="s">
        <v>122</v>
      </c>
    </row>
    <row r="205" spans="3:11" ht="19" x14ac:dyDescent="0.25">
      <c r="C205" s="82" t="s">
        <v>45</v>
      </c>
      <c r="D205" s="325">
        <f>$Q23</f>
        <v>4.968</v>
      </c>
      <c r="E205" s="129">
        <f>D205*4.184</f>
        <v>20.786111999999999</v>
      </c>
    </row>
    <row r="206" spans="3:11" ht="19" x14ac:dyDescent="0.25">
      <c r="C206" s="88" t="s">
        <v>48</v>
      </c>
      <c r="D206" s="87">
        <f t="shared" ref="D206:D209" si="20">$Q24</f>
        <v>0</v>
      </c>
      <c r="E206" s="135">
        <f t="shared" ref="E206:E209" si="21">D206*4.184</f>
        <v>0</v>
      </c>
    </row>
    <row r="207" spans="3:11" ht="19" x14ac:dyDescent="0.25">
      <c r="C207" s="88" t="s">
        <v>50</v>
      </c>
      <c r="D207" s="87">
        <f t="shared" si="20"/>
        <v>2.9809999999999999</v>
      </c>
      <c r="E207" s="135">
        <f t="shared" si="21"/>
        <v>12.472504000000001</v>
      </c>
    </row>
    <row r="208" spans="3:11" ht="19" x14ac:dyDescent="0.25">
      <c r="C208" s="88" t="s">
        <v>52</v>
      </c>
      <c r="D208" s="87">
        <f t="shared" si="20"/>
        <v>1.9870000000000001</v>
      </c>
      <c r="E208" s="135">
        <f t="shared" si="21"/>
        <v>8.3136080000000003</v>
      </c>
    </row>
    <row r="209" spans="3:16" ht="20" thickBot="1" x14ac:dyDescent="0.3">
      <c r="C209" s="93" t="s">
        <v>55</v>
      </c>
      <c r="D209" s="90">
        <f t="shared" si="20"/>
        <v>0</v>
      </c>
      <c r="E209" s="147">
        <f t="shared" si="21"/>
        <v>0</v>
      </c>
    </row>
    <row r="210" spans="3:16" ht="24" customHeight="1" x14ac:dyDescent="0.2"/>
    <row r="211" spans="3:16" ht="17" thickBot="1" x14ac:dyDescent="0.25"/>
    <row r="212" spans="3:16" ht="23" thickBot="1" x14ac:dyDescent="0.35">
      <c r="D212" s="464" t="s">
        <v>122</v>
      </c>
      <c r="E212" s="465"/>
      <c r="F212" s="465"/>
      <c r="G212" s="465"/>
      <c r="H212" s="466"/>
      <c r="J212" s="153" t="s">
        <v>82</v>
      </c>
      <c r="K212" s="154"/>
      <c r="L212" s="154"/>
      <c r="M212" s="154"/>
      <c r="N212" s="154"/>
      <c r="O212" s="154"/>
      <c r="P212" s="56"/>
    </row>
    <row r="213" spans="3:16" ht="20" thickBot="1" x14ac:dyDescent="0.3">
      <c r="C213" s="213" t="s">
        <v>79</v>
      </c>
      <c r="D213" s="224" t="s">
        <v>123</v>
      </c>
      <c r="E213" s="225" t="s">
        <v>124</v>
      </c>
      <c r="F213" s="225" t="s">
        <v>125</v>
      </c>
      <c r="G213" s="226" t="s">
        <v>126</v>
      </c>
      <c r="H213" s="218" t="s">
        <v>127</v>
      </c>
      <c r="J213" s="56"/>
      <c r="K213" s="56"/>
      <c r="L213" s="56"/>
      <c r="M213" s="56"/>
      <c r="N213" s="56"/>
      <c r="O213" s="56"/>
      <c r="P213" s="56"/>
    </row>
    <row r="214" spans="3:16" ht="20" thickBot="1" x14ac:dyDescent="0.3">
      <c r="C214" s="185">
        <v>298.14999999999998</v>
      </c>
      <c r="D214" s="227">
        <f>3*$B$7/2</f>
        <v>12.471599999999999</v>
      </c>
      <c r="E214" s="229">
        <f>$B$7*SUM(($D$42*$D$42)*EXP($D$42/$C214)/($C214^2*(EXP($D$42/$C214)-1)^2))</f>
        <v>1.6837155562279454E-6</v>
      </c>
      <c r="F214" s="228">
        <f>$B$7</f>
        <v>8.3143999999999991</v>
      </c>
      <c r="G214" s="231">
        <v>0</v>
      </c>
      <c r="H214" s="230">
        <f t="shared" ref="H214:H232" si="22">SUM(D214:G214)</f>
        <v>20.786001683715554</v>
      </c>
      <c r="K214" s="224" t="s">
        <v>123</v>
      </c>
      <c r="L214" s="225" t="s">
        <v>124</v>
      </c>
      <c r="M214" s="225" t="s">
        <v>125</v>
      </c>
      <c r="N214" s="226" t="s">
        <v>126</v>
      </c>
      <c r="O214" s="218" t="s">
        <v>127</v>
      </c>
      <c r="P214" s="56"/>
    </row>
    <row r="215" spans="3:16" ht="19" x14ac:dyDescent="0.25">
      <c r="C215" s="155">
        <v>300</v>
      </c>
      <c r="D215" s="227">
        <f>3*$B$7/2</f>
        <v>12.471599999999999</v>
      </c>
      <c r="E215" s="229">
        <f>$B$7*SUM(($D$42*$D$42)*EXP($D$42/$C215)/($C215^2*(EXP($D$42/$C215)-1)^2))</f>
        <v>1.899413624350746E-6</v>
      </c>
      <c r="F215" s="229">
        <v>8.3143999999999991</v>
      </c>
      <c r="G215" s="231">
        <v>0</v>
      </c>
      <c r="H215" s="230">
        <f t="shared" si="22"/>
        <v>20.78600189941362</v>
      </c>
      <c r="J215" s="162" t="s">
        <v>84</v>
      </c>
      <c r="K215" s="129">
        <f>D$214</f>
        <v>12.471599999999999</v>
      </c>
      <c r="L215" s="129">
        <f t="shared" ref="L215:O215" si="23">E$214</f>
        <v>1.6837155562279454E-6</v>
      </c>
      <c r="M215" s="129">
        <f t="shared" si="23"/>
        <v>8.3143999999999991</v>
      </c>
      <c r="N215" s="129">
        <f t="shared" si="23"/>
        <v>0</v>
      </c>
      <c r="O215" s="129">
        <f t="shared" si="23"/>
        <v>20.786001683715554</v>
      </c>
      <c r="P215" s="56"/>
    </row>
    <row r="216" spans="3:16" ht="20" thickBot="1" x14ac:dyDescent="0.3">
      <c r="C216" s="159">
        <f>C215+100</f>
        <v>400</v>
      </c>
      <c r="D216" s="232">
        <f t="shared" ref="D216:D232" si="24">3*$B$7/2</f>
        <v>12.471599999999999</v>
      </c>
      <c r="E216" s="234">
        <f>$B$7*SUM(($D$42*$D$42)*EXP($D$42/$C216)/($C216^2*(EXP($D$42/$C216)-1)^2))</f>
        <v>2.26183801869387E-4</v>
      </c>
      <c r="F216" s="234">
        <v>8.3143999999999991</v>
      </c>
      <c r="G216" s="235">
        <v>0</v>
      </c>
      <c r="H216" s="310">
        <f t="shared" si="22"/>
        <v>20.786226183801865</v>
      </c>
      <c r="J216" s="163" t="s">
        <v>85</v>
      </c>
      <c r="K216" s="147">
        <f>E207</f>
        <v>12.472504000000001</v>
      </c>
      <c r="L216" s="147">
        <f>E209</f>
        <v>0</v>
      </c>
      <c r="M216" s="147">
        <f>E208</f>
        <v>8.3136080000000003</v>
      </c>
      <c r="N216" s="147">
        <f>E206</f>
        <v>0</v>
      </c>
      <c r="O216" s="147">
        <f>E205</f>
        <v>20.786111999999999</v>
      </c>
      <c r="P216" s="56"/>
    </row>
    <row r="217" spans="3:16" ht="22" x14ac:dyDescent="0.3">
      <c r="C217" s="159">
        <f t="shared" ref="C217:C232" si="25">C216+100</f>
        <v>500</v>
      </c>
      <c r="D217" s="232">
        <f t="shared" si="24"/>
        <v>12.471599999999999</v>
      </c>
      <c r="E217" s="234">
        <f t="shared" ref="E217:E231" si="26">$B$7*SUM(($D$42*$D$42)*EXP($D$42/$C217)/($C217^2*(EXP($D$42/$C217)-1)^2))</f>
        <v>3.5981168040515594E-3</v>
      </c>
      <c r="F217" s="234">
        <v>8.3143999999999991</v>
      </c>
      <c r="G217" s="235">
        <v>0</v>
      </c>
      <c r="H217" s="310">
        <f t="shared" si="22"/>
        <v>20.789598116804051</v>
      </c>
      <c r="J217" s="164" t="s">
        <v>86</v>
      </c>
      <c r="K217" s="165">
        <f>IFERROR(ABS(K215-K216)/K215,0)</f>
        <v>7.2484685204946797E-5</v>
      </c>
      <c r="L217" s="165">
        <f t="shared" ref="L217:O217" si="27">IFERROR(ABS(L215-L216)/L215,0)</f>
        <v>1</v>
      </c>
      <c r="M217" s="165">
        <f t="shared" si="27"/>
        <v>9.5256422591984244E-5</v>
      </c>
      <c r="N217" s="165">
        <f t="shared" si="27"/>
        <v>0</v>
      </c>
      <c r="O217" s="165">
        <f t="shared" si="27"/>
        <v>5.3072392720702393E-6</v>
      </c>
      <c r="P217" s="56"/>
    </row>
    <row r="218" spans="3:16" ht="19" x14ac:dyDescent="0.25">
      <c r="C218" s="159">
        <f t="shared" si="25"/>
        <v>600</v>
      </c>
      <c r="D218" s="232">
        <f t="shared" si="24"/>
        <v>12.471599999999999</v>
      </c>
      <c r="E218" s="234">
        <f t="shared" si="26"/>
        <v>2.1282253126146292E-2</v>
      </c>
      <c r="F218" s="234">
        <v>8.3143999999999991</v>
      </c>
      <c r="G218" s="235">
        <v>0</v>
      </c>
      <c r="H218" s="310">
        <f t="shared" si="22"/>
        <v>20.807282253126147</v>
      </c>
    </row>
    <row r="219" spans="3:16" ht="19" x14ac:dyDescent="0.25">
      <c r="C219" s="159">
        <f t="shared" si="25"/>
        <v>700</v>
      </c>
      <c r="D219" s="232">
        <f t="shared" si="24"/>
        <v>12.471599999999999</v>
      </c>
      <c r="E219" s="234">
        <f t="shared" si="26"/>
        <v>7.2224641609260107E-2</v>
      </c>
      <c r="F219" s="234">
        <v>8.3143999999999991</v>
      </c>
      <c r="G219" s="235">
        <v>0</v>
      </c>
      <c r="H219" s="310">
        <f t="shared" si="22"/>
        <v>20.858224641609258</v>
      </c>
    </row>
    <row r="220" spans="3:16" ht="19" x14ac:dyDescent="0.25">
      <c r="C220" s="159">
        <f t="shared" si="25"/>
        <v>800</v>
      </c>
      <c r="D220" s="232">
        <f t="shared" si="24"/>
        <v>12.471599999999999</v>
      </c>
      <c r="E220" s="234">
        <f t="shared" si="26"/>
        <v>0.17428598016852392</v>
      </c>
      <c r="F220" s="234">
        <v>8.3143999999999991</v>
      </c>
      <c r="G220" s="235">
        <v>0</v>
      </c>
      <c r="H220" s="310">
        <f t="shared" si="22"/>
        <v>20.960285980168521</v>
      </c>
    </row>
    <row r="221" spans="3:16" ht="19" x14ac:dyDescent="0.25">
      <c r="C221" s="159">
        <f t="shared" si="25"/>
        <v>900</v>
      </c>
      <c r="D221" s="232">
        <f t="shared" si="24"/>
        <v>12.471599999999999</v>
      </c>
      <c r="E221" s="234">
        <f t="shared" si="26"/>
        <v>0.33649913796522074</v>
      </c>
      <c r="F221" s="234">
        <v>8.3143999999999991</v>
      </c>
      <c r="G221" s="235">
        <v>0</v>
      </c>
      <c r="H221" s="310">
        <f t="shared" si="22"/>
        <v>21.122499137965221</v>
      </c>
    </row>
    <row r="222" spans="3:16" ht="19" x14ac:dyDescent="0.25">
      <c r="C222" s="159">
        <f t="shared" si="25"/>
        <v>1000</v>
      </c>
      <c r="D222" s="232">
        <f t="shared" si="24"/>
        <v>12.471599999999999</v>
      </c>
      <c r="E222" s="234">
        <f t="shared" si="26"/>
        <v>0.55754922761233772</v>
      </c>
      <c r="F222" s="234">
        <v>8.3143999999999991</v>
      </c>
      <c r="G222" s="235">
        <v>0</v>
      </c>
      <c r="H222" s="310">
        <f t="shared" si="22"/>
        <v>21.343549227612336</v>
      </c>
    </row>
    <row r="223" spans="3:16" ht="19" x14ac:dyDescent="0.25">
      <c r="C223" s="159">
        <f t="shared" si="25"/>
        <v>1100</v>
      </c>
      <c r="D223" s="232">
        <f t="shared" si="24"/>
        <v>12.471599999999999</v>
      </c>
      <c r="E223" s="234">
        <f t="shared" si="26"/>
        <v>0.82857316539847137</v>
      </c>
      <c r="F223" s="234">
        <v>8.3143999999999991</v>
      </c>
      <c r="G223" s="235">
        <v>0</v>
      </c>
      <c r="H223" s="310">
        <f t="shared" si="22"/>
        <v>21.614573165398468</v>
      </c>
    </row>
    <row r="224" spans="3:16" ht="19" x14ac:dyDescent="0.25">
      <c r="C224" s="159">
        <f t="shared" si="25"/>
        <v>1200</v>
      </c>
      <c r="D224" s="232">
        <f t="shared" si="24"/>
        <v>12.471599999999999</v>
      </c>
      <c r="E224" s="234">
        <f t="shared" si="26"/>
        <v>1.1370255507256912</v>
      </c>
      <c r="F224" s="234">
        <v>8.3143999999999991</v>
      </c>
      <c r="G224" s="235">
        <v>0</v>
      </c>
      <c r="H224" s="310">
        <f t="shared" si="22"/>
        <v>21.92302555072569</v>
      </c>
    </row>
    <row r="225" spans="3:11" ht="19" x14ac:dyDescent="0.25">
      <c r="C225" s="159">
        <f t="shared" si="25"/>
        <v>1300</v>
      </c>
      <c r="D225" s="232">
        <f t="shared" si="24"/>
        <v>12.471599999999999</v>
      </c>
      <c r="E225" s="234">
        <f t="shared" si="26"/>
        <v>1.4697768168410157</v>
      </c>
      <c r="F225" s="234">
        <v>8.3143999999999991</v>
      </c>
      <c r="G225" s="235">
        <v>0</v>
      </c>
      <c r="H225" s="310">
        <f t="shared" si="22"/>
        <v>22.255776816841013</v>
      </c>
    </row>
    <row r="226" spans="3:11" ht="19" x14ac:dyDescent="0.25">
      <c r="C226" s="159">
        <f t="shared" si="25"/>
        <v>1400</v>
      </c>
      <c r="D226" s="232">
        <f t="shared" si="24"/>
        <v>12.471599999999999</v>
      </c>
      <c r="E226" s="234">
        <f t="shared" si="26"/>
        <v>1.8149809257481151</v>
      </c>
      <c r="F226" s="234">
        <v>8.3143999999999991</v>
      </c>
      <c r="G226" s="235">
        <v>0</v>
      </c>
      <c r="H226" s="310">
        <f t="shared" si="22"/>
        <v>22.600980925748111</v>
      </c>
    </row>
    <row r="227" spans="3:11" ht="19" x14ac:dyDescent="0.25">
      <c r="C227" s="159">
        <f t="shared" si="25"/>
        <v>1500</v>
      </c>
      <c r="D227" s="232">
        <f t="shared" si="24"/>
        <v>12.471599999999999</v>
      </c>
      <c r="E227" s="234">
        <f t="shared" si="26"/>
        <v>2.1629112248710061</v>
      </c>
      <c r="F227" s="234">
        <v>8.3143999999999991</v>
      </c>
      <c r="G227" s="235">
        <v>0</v>
      </c>
      <c r="H227" s="310">
        <f t="shared" si="22"/>
        <v>22.948911224871004</v>
      </c>
    </row>
    <row r="228" spans="3:11" ht="19" x14ac:dyDescent="0.25">
      <c r="C228" s="159">
        <f t="shared" si="25"/>
        <v>1600</v>
      </c>
      <c r="D228" s="232">
        <f t="shared" si="24"/>
        <v>12.471599999999999</v>
      </c>
      <c r="E228" s="234">
        <f t="shared" si="26"/>
        <v>2.5061266473523518</v>
      </c>
      <c r="F228" s="234">
        <v>8.3143999999999991</v>
      </c>
      <c r="G228" s="235">
        <v>0</v>
      </c>
      <c r="H228" s="310">
        <f t="shared" si="22"/>
        <v>23.292126647352347</v>
      </c>
    </row>
    <row r="229" spans="3:11" ht="19" x14ac:dyDescent="0.25">
      <c r="C229" s="159">
        <f t="shared" si="25"/>
        <v>1700</v>
      </c>
      <c r="D229" s="232">
        <f t="shared" si="24"/>
        <v>12.471599999999999</v>
      </c>
      <c r="E229" s="234">
        <f t="shared" si="26"/>
        <v>2.8392797077426954</v>
      </c>
      <c r="F229" s="234">
        <v>8.3143999999999991</v>
      </c>
      <c r="G229" s="235">
        <v>0</v>
      </c>
      <c r="H229" s="310">
        <f t="shared" si="22"/>
        <v>23.625279707742692</v>
      </c>
    </row>
    <row r="230" spans="3:11" ht="19" x14ac:dyDescent="0.25">
      <c r="C230" s="159">
        <f t="shared" si="25"/>
        <v>1800</v>
      </c>
      <c r="D230" s="232">
        <f t="shared" si="24"/>
        <v>12.471599999999999</v>
      </c>
      <c r="E230" s="234">
        <f t="shared" si="26"/>
        <v>3.1587756547703738</v>
      </c>
      <c r="F230" s="234">
        <v>8.3143999999999991</v>
      </c>
      <c r="G230" s="235">
        <v>0</v>
      </c>
      <c r="H230" s="310">
        <f t="shared" si="22"/>
        <v>23.944775654770371</v>
      </c>
    </row>
    <row r="231" spans="3:11" ht="19" x14ac:dyDescent="0.25">
      <c r="C231" s="159">
        <f t="shared" si="25"/>
        <v>1900</v>
      </c>
      <c r="D231" s="232">
        <f t="shared" si="24"/>
        <v>12.471599999999999</v>
      </c>
      <c r="E231" s="234">
        <f t="shared" si="26"/>
        <v>3.462403181185759</v>
      </c>
      <c r="F231" s="234">
        <v>8.3143999999999991</v>
      </c>
      <c r="G231" s="235">
        <v>0</v>
      </c>
      <c r="H231" s="310">
        <f t="shared" si="22"/>
        <v>24.248403181185758</v>
      </c>
    </row>
    <row r="232" spans="3:11" ht="20" thickBot="1" x14ac:dyDescent="0.3">
      <c r="C232" s="166">
        <f t="shared" si="25"/>
        <v>2000</v>
      </c>
      <c r="D232" s="236">
        <f t="shared" si="24"/>
        <v>12.471599999999999</v>
      </c>
      <c r="E232" s="238">
        <f>$B$7*SUM(($D$42*$D$42)*EXP($D$42/$C232)/($C232^2*(EXP($D$42/$C232)-1)^2))</f>
        <v>3.7489961710958579</v>
      </c>
      <c r="F232" s="238">
        <v>8.3143999999999991</v>
      </c>
      <c r="G232" s="239">
        <v>0</v>
      </c>
      <c r="H232" s="311">
        <f t="shared" si="22"/>
        <v>24.534996171095855</v>
      </c>
    </row>
    <row r="238" spans="3:11" ht="17" thickBot="1" x14ac:dyDescent="0.25"/>
    <row r="239" spans="3:11" ht="20" thickBot="1" x14ac:dyDescent="0.3">
      <c r="E239" s="56"/>
      <c r="F239" s="56" t="s">
        <v>77</v>
      </c>
      <c r="G239" s="56"/>
      <c r="H239" s="467" t="s">
        <v>114</v>
      </c>
      <c r="I239" s="468"/>
      <c r="J239" s="468"/>
      <c r="K239" s="469"/>
    </row>
    <row r="240" spans="3:11" ht="28" thickBot="1" x14ac:dyDescent="0.4">
      <c r="C240" s="149" t="s">
        <v>128</v>
      </c>
      <c r="D240" s="150"/>
      <c r="E240" s="56"/>
      <c r="F240" s="56"/>
      <c r="G240" s="56"/>
      <c r="H240" s="221" t="s">
        <v>116</v>
      </c>
      <c r="I240" s="221" t="s">
        <v>117</v>
      </c>
      <c r="J240" s="221" t="s">
        <v>118</v>
      </c>
      <c r="K240" s="221" t="s">
        <v>119</v>
      </c>
    </row>
    <row r="244" spans="3:10" ht="20" thickBot="1" x14ac:dyDescent="0.25">
      <c r="D244" s="470"/>
      <c r="E244" s="470"/>
    </row>
    <row r="245" spans="3:10" ht="20" thickBot="1" x14ac:dyDescent="0.25">
      <c r="D245" s="461" t="s">
        <v>129</v>
      </c>
      <c r="E245" s="462"/>
    </row>
    <row r="246" spans="3:10" ht="20" thickBot="1" x14ac:dyDescent="0.3">
      <c r="D246" s="173" t="s">
        <v>121</v>
      </c>
      <c r="E246" s="222" t="s">
        <v>122</v>
      </c>
    </row>
    <row r="247" spans="3:10" ht="19" x14ac:dyDescent="0.25">
      <c r="C247" s="82" t="s">
        <v>45</v>
      </c>
      <c r="D247" s="289">
        <f>$R23</f>
        <v>31.132000000000001</v>
      </c>
      <c r="E247" s="129">
        <f>D247*4.184</f>
        <v>130.25628800000001</v>
      </c>
    </row>
    <row r="248" spans="3:10" ht="19" x14ac:dyDescent="0.25">
      <c r="C248" s="88" t="s">
        <v>48</v>
      </c>
      <c r="D248" s="326">
        <f t="shared" ref="D248:D251" si="28">$R24</f>
        <v>0</v>
      </c>
      <c r="E248" s="135">
        <f t="shared" ref="E248:E251" si="29">D248*4.184</f>
        <v>0</v>
      </c>
    </row>
    <row r="249" spans="3:10" ht="19" x14ac:dyDescent="0.25">
      <c r="C249" s="88" t="s">
        <v>50</v>
      </c>
      <c r="D249" s="326">
        <f t="shared" si="28"/>
        <v>28.08</v>
      </c>
      <c r="E249" s="135">
        <f t="shared" si="29"/>
        <v>117.48671999999999</v>
      </c>
    </row>
    <row r="250" spans="3:10" ht="19" x14ac:dyDescent="0.25">
      <c r="C250" s="88" t="s">
        <v>52</v>
      </c>
      <c r="D250" s="326">
        <f t="shared" si="28"/>
        <v>3.052</v>
      </c>
      <c r="E250" s="135">
        <f t="shared" si="29"/>
        <v>12.769568000000001</v>
      </c>
    </row>
    <row r="251" spans="3:10" ht="20" thickBot="1" x14ac:dyDescent="0.3">
      <c r="C251" s="93" t="s">
        <v>55</v>
      </c>
      <c r="D251" s="327">
        <f t="shared" si="28"/>
        <v>0</v>
      </c>
      <c r="E251" s="147">
        <f t="shared" si="29"/>
        <v>0</v>
      </c>
    </row>
    <row r="253" spans="3:10" ht="17" thickBot="1" x14ac:dyDescent="0.25"/>
    <row r="254" spans="3:10" ht="20" thickBot="1" x14ac:dyDescent="0.3">
      <c r="C254" s="57" t="s">
        <v>34</v>
      </c>
      <c r="D254" s="242"/>
      <c r="E254" s="242"/>
      <c r="F254" s="242"/>
      <c r="G254" s="243"/>
      <c r="I254" s="66" t="s">
        <v>130</v>
      </c>
      <c r="J254" s="244">
        <f>($B$14^2)/(8*PI()*PI()*C131*$B$8)</f>
        <v>87.286761364178176</v>
      </c>
    </row>
    <row r="255" spans="3:10" ht="20" thickBot="1" x14ac:dyDescent="0.3">
      <c r="C255" s="245"/>
      <c r="D255" s="63" t="s">
        <v>37</v>
      </c>
      <c r="E255" s="64" t="s">
        <v>38</v>
      </c>
      <c r="F255" s="65" t="s">
        <v>39</v>
      </c>
      <c r="G255" s="218"/>
      <c r="I255" s="111"/>
      <c r="J255" s="111"/>
    </row>
    <row r="256" spans="3:10" ht="22" thickBot="1" x14ac:dyDescent="0.3">
      <c r="C256" s="74" t="s">
        <v>44</v>
      </c>
      <c r="D256" s="328">
        <f>D$23</f>
        <v>0</v>
      </c>
      <c r="E256" s="76">
        <f t="shared" ref="E256:F256" si="30">E$23</f>
        <v>0.99270999999999998</v>
      </c>
      <c r="F256" s="329">
        <f t="shared" si="30"/>
        <v>0.99270999999999998</v>
      </c>
      <c r="G256" s="194"/>
      <c r="J256" s="111"/>
    </row>
    <row r="257" spans="1:18" ht="22" thickBot="1" x14ac:dyDescent="0.3">
      <c r="C257" s="86" t="s">
        <v>47</v>
      </c>
      <c r="D257" s="246">
        <f>D256*$U$9</f>
        <v>0</v>
      </c>
      <c r="E257" s="223">
        <f t="shared" ref="E257:F257" si="31">E256*$U$9</f>
        <v>1.6478986E-27</v>
      </c>
      <c r="F257" s="330">
        <f t="shared" si="31"/>
        <v>1.6478986E-27</v>
      </c>
      <c r="G257" s="194"/>
    </row>
    <row r="258" spans="1:18" ht="22" thickBot="1" x14ac:dyDescent="0.3">
      <c r="C258" s="89" t="s">
        <v>49</v>
      </c>
      <c r="D258" s="90">
        <f>D257*($Q$8)^2</f>
        <v>0</v>
      </c>
      <c r="E258" s="91">
        <f>E257*($Q$8)^2</f>
        <v>1.6478986000000003E-47</v>
      </c>
      <c r="F258" s="247">
        <f t="shared" ref="F258" si="32">F257*($Q$8)^2</f>
        <v>1.6478986000000003E-47</v>
      </c>
      <c r="G258" s="194"/>
    </row>
    <row r="259" spans="1:18" ht="17" thickBot="1" x14ac:dyDescent="0.25"/>
    <row r="260" spans="1:18" ht="20" thickBot="1" x14ac:dyDescent="0.3">
      <c r="F260" s="248" t="s">
        <v>122</v>
      </c>
      <c r="G260" s="249"/>
      <c r="H260" s="249"/>
      <c r="I260" s="249"/>
      <c r="J260" s="250"/>
    </row>
    <row r="261" spans="1:18" ht="23" thickBot="1" x14ac:dyDescent="0.35">
      <c r="C261" s="213" t="s">
        <v>79</v>
      </c>
      <c r="D261" s="251" t="s">
        <v>131</v>
      </c>
      <c r="E261" s="185" t="s">
        <v>132</v>
      </c>
      <c r="F261" s="252" t="s">
        <v>123</v>
      </c>
      <c r="G261" s="253" t="s">
        <v>124</v>
      </c>
      <c r="H261" s="253" t="s">
        <v>125</v>
      </c>
      <c r="I261" s="254" t="s">
        <v>126</v>
      </c>
      <c r="J261" s="218" t="s">
        <v>127</v>
      </c>
      <c r="L261" s="153" t="s">
        <v>82</v>
      </c>
      <c r="M261" s="154"/>
      <c r="N261" s="154"/>
      <c r="O261" s="154"/>
      <c r="P261" s="154"/>
      <c r="Q261" s="154"/>
    </row>
    <row r="262" spans="1:18" ht="20" thickBot="1" x14ac:dyDescent="0.3">
      <c r="C262" s="185">
        <v>298.14999999999998</v>
      </c>
      <c r="D262" s="255">
        <f>$B$7*C262/$B$16</f>
        <v>2.4465219442388352E-2</v>
      </c>
      <c r="E262" s="256">
        <f>((2*PI()*$A$28*$U$9*$B$8*$C262)/($B$14*$B$14))^(3/2)</f>
        <v>2.7673530575375749E+30</v>
      </c>
      <c r="F262" s="257">
        <f t="shared" ref="F262:F280" si="33">$B$7*LN(($D262/$B$6)*EXP(5/2)*E262)</f>
        <v>117.4828168554847</v>
      </c>
      <c r="G262" s="258">
        <f>$B$7*SUM((($D$42)/$C262)/(EXP($D$42/$C262)-1)-LN(1-EXP(-$D$42/$C262)))</f>
        <v>8.1742020844215608E-8</v>
      </c>
      <c r="H262" s="259">
        <f>$B$7*LN(EXP(1)*$C262/($A$31*$J$254))</f>
        <v>12.764688660997145</v>
      </c>
      <c r="I262" s="260">
        <f>0</f>
        <v>0</v>
      </c>
      <c r="J262" s="261">
        <f t="shared" ref="J262:J280" si="34">SUM(F262:I262)</f>
        <v>130.24750559822385</v>
      </c>
      <c r="L262" s="56"/>
      <c r="M262" s="56"/>
      <c r="N262" s="56"/>
      <c r="O262" s="56"/>
      <c r="P262" s="56"/>
      <c r="Q262" s="56"/>
    </row>
    <row r="263" spans="1:18" ht="20" thickBot="1" x14ac:dyDescent="0.3">
      <c r="C263" s="155">
        <v>300</v>
      </c>
      <c r="D263" s="255">
        <f>$B$7*C263/$B$16</f>
        <v>2.4617024426350848E-2</v>
      </c>
      <c r="E263" s="256">
        <f>((2*PI()*$A$28*$U$9*$B$8*$C263)/($B$14*$B$14))^(3/2)</f>
        <v>2.7931498208674397E+30</v>
      </c>
      <c r="F263" s="262">
        <f t="shared" si="33"/>
        <v>117.61139404386878</v>
      </c>
      <c r="G263" s="228">
        <f>$B$7*SUM((($D$42)/$C263)/(EXP($D$42/$C263)-1)-LN(1-EXP(-$D$42/$C263)))</f>
        <v>9.2811567220227496E-8</v>
      </c>
      <c r="H263" s="263">
        <f>$B$7*LN(EXP(1)*$C263/($A$31*$J$254))</f>
        <v>12.816119536350815</v>
      </c>
      <c r="I263" s="231">
        <v>0</v>
      </c>
      <c r="J263" s="261">
        <f t="shared" si="34"/>
        <v>130.42751367303117</v>
      </c>
      <c r="N263" s="224" t="s">
        <v>123</v>
      </c>
      <c r="O263" s="225" t="s">
        <v>124</v>
      </c>
      <c r="P263" s="225" t="s">
        <v>125</v>
      </c>
      <c r="Q263" s="226" t="s">
        <v>126</v>
      </c>
      <c r="R263" s="218" t="s">
        <v>127</v>
      </c>
    </row>
    <row r="264" spans="1:18" ht="20" thickBot="1" x14ac:dyDescent="0.3">
      <c r="C264" s="159">
        <f>C263+100</f>
        <v>400</v>
      </c>
      <c r="D264" s="264">
        <f t="shared" ref="D264:D280" si="35">$B$7*C264/$B$16</f>
        <v>3.2822699235134464E-2</v>
      </c>
      <c r="E264" s="265">
        <f t="shared" ref="E264:E280" si="36">(2*PI()*$A$28*$U$9*$B$8*$C264/($B$14)^2)^(3/2)</f>
        <v>4.3003354692394289E+30</v>
      </c>
      <c r="F264" s="266">
        <f t="shared" si="33"/>
        <v>123.59115360185157</v>
      </c>
      <c r="G264" s="233">
        <f>$B$7*SUM((($D$42)/$C264)/(EXP($D$42/$C264)-1)-LN(1-EXP(-$D$42/$C264)))</f>
        <v>1.495519144227562E-5</v>
      </c>
      <c r="H264" s="267">
        <f>$B$7*LN(EXP(1)*$C264/($A$31*$J$254))</f>
        <v>15.208023359543901</v>
      </c>
      <c r="I264" s="235">
        <v>0</v>
      </c>
      <c r="J264" s="312">
        <f t="shared" si="34"/>
        <v>138.79919191658692</v>
      </c>
      <c r="M264" s="162" t="s">
        <v>84</v>
      </c>
      <c r="N264" s="268">
        <f>F$262</f>
        <v>117.4828168554847</v>
      </c>
      <c r="O264" s="268">
        <f>G$262</f>
        <v>8.1742020844215608E-8</v>
      </c>
      <c r="P264" s="268">
        <f>H$262</f>
        <v>12.764688660997145</v>
      </c>
      <c r="Q264" s="268">
        <f>I$262</f>
        <v>0</v>
      </c>
      <c r="R264" s="268">
        <f>J$262</f>
        <v>130.24750559822385</v>
      </c>
    </row>
    <row r="265" spans="1:18" ht="20" thickBot="1" x14ac:dyDescent="0.3">
      <c r="C265" s="159">
        <f t="shared" ref="C265:C280" si="37">C264+100</f>
        <v>500</v>
      </c>
      <c r="D265" s="264">
        <f t="shared" si="35"/>
        <v>4.1028374043918084E-2</v>
      </c>
      <c r="E265" s="265">
        <f t="shared" si="36"/>
        <v>6.0099015220455467E+30</v>
      </c>
      <c r="F265" s="266">
        <f t="shared" si="33"/>
        <v>128.22941545946878</v>
      </c>
      <c r="G265" s="233">
        <f t="shared" ref="G265:G279" si="38">$B$7*SUM((($D$42)/$C265)/(EXP($D$42/$C265)-1)-LN(1-EXP(-$D$42/$C265)))</f>
        <v>3.0173843636825773E-4</v>
      </c>
      <c r="H265" s="267">
        <f t="shared" ref="H265:H279" si="39">$B$7*LN(EXP(1)*$C265/($A$31*$J$254))</f>
        <v>17.063328102590766</v>
      </c>
      <c r="I265" s="235">
        <v>0</v>
      </c>
      <c r="J265" s="312">
        <f t="shared" si="34"/>
        <v>145.29304530049592</v>
      </c>
      <c r="M265" s="163" t="s">
        <v>85</v>
      </c>
      <c r="N265" s="268">
        <f>E249</f>
        <v>117.48671999999999</v>
      </c>
      <c r="O265" s="268">
        <f>E251</f>
        <v>0</v>
      </c>
      <c r="P265" s="268">
        <f>E250</f>
        <v>12.769568000000001</v>
      </c>
      <c r="Q265" s="268">
        <f>E248</f>
        <v>0</v>
      </c>
      <c r="R265" s="268">
        <f>E247</f>
        <v>130.25628800000001</v>
      </c>
    </row>
    <row r="266" spans="1:18" ht="22" x14ac:dyDescent="0.3">
      <c r="C266" s="159">
        <f t="shared" si="37"/>
        <v>600</v>
      </c>
      <c r="D266" s="264">
        <f t="shared" si="35"/>
        <v>4.9234048852701696E-2</v>
      </c>
      <c r="E266" s="265">
        <f t="shared" si="36"/>
        <v>7.90022071682145E+30</v>
      </c>
      <c r="F266" s="266">
        <f t="shared" si="33"/>
        <v>132.01915133898783</v>
      </c>
      <c r="G266" s="233">
        <f t="shared" si="38"/>
        <v>2.172555013585336E-3</v>
      </c>
      <c r="H266" s="267">
        <f t="shared" si="39"/>
        <v>18.579222454398426</v>
      </c>
      <c r="I266" s="235">
        <v>0</v>
      </c>
      <c r="J266" s="312">
        <f t="shared" si="34"/>
        <v>150.60054634839983</v>
      </c>
      <c r="L266" s="56"/>
      <c r="M266" s="164" t="s">
        <v>86</v>
      </c>
      <c r="N266" s="165">
        <f>IFERROR(ABS(N264-N265)/N264,0)</f>
        <v>3.3223109725848237E-5</v>
      </c>
      <c r="O266" s="165">
        <f t="shared" ref="O266:R266" si="40">IFERROR(ABS(O264-O265)/O264,0)</f>
        <v>1</v>
      </c>
      <c r="P266" s="165">
        <f t="shared" si="40"/>
        <v>3.8225287999116709E-4</v>
      </c>
      <c r="Q266" s="165">
        <f t="shared" si="40"/>
        <v>0</v>
      </c>
      <c r="R266" s="165">
        <f t="shared" si="40"/>
        <v>6.7428560230936503E-5</v>
      </c>
    </row>
    <row r="267" spans="1:18" ht="19" x14ac:dyDescent="0.25">
      <c r="A267" s="269"/>
      <c r="C267" s="159">
        <f t="shared" si="37"/>
        <v>700</v>
      </c>
      <c r="D267" s="264">
        <f t="shared" si="35"/>
        <v>5.7439723661485309E-2</v>
      </c>
      <c r="E267" s="265">
        <f t="shared" si="36"/>
        <v>9.955415930038137E+30</v>
      </c>
      <c r="F267" s="266">
        <f t="shared" si="33"/>
        <v>135.22332736987735</v>
      </c>
      <c r="G267" s="233">
        <f t="shared" si="38"/>
        <v>8.7234045158709108E-3</v>
      </c>
      <c r="H267" s="267">
        <f t="shared" si="39"/>
        <v>19.860892866754181</v>
      </c>
      <c r="I267" s="235">
        <v>0</v>
      </c>
      <c r="J267" s="312">
        <f t="shared" si="34"/>
        <v>155.0929436411474</v>
      </c>
    </row>
    <row r="268" spans="1:18" ht="19" x14ac:dyDescent="0.25">
      <c r="A268" s="269"/>
      <c r="C268" s="159">
        <f t="shared" si="37"/>
        <v>800</v>
      </c>
      <c r="D268" s="264">
        <f t="shared" si="35"/>
        <v>6.5645398470268929E-2</v>
      </c>
      <c r="E268" s="265">
        <f t="shared" si="36"/>
        <v>1.2163185486704971E+31</v>
      </c>
      <c r="F268" s="266">
        <f t="shared" si="33"/>
        <v>137.99891089697064</v>
      </c>
      <c r="G268" s="233">
        <f t="shared" si="38"/>
        <v>2.438962472298431E-2</v>
      </c>
      <c r="H268" s="267">
        <f t="shared" si="39"/>
        <v>20.971126277591512</v>
      </c>
      <c r="I268" s="235">
        <v>0</v>
      </c>
      <c r="J268" s="312">
        <f t="shared" si="34"/>
        <v>158.99442679928512</v>
      </c>
    </row>
    <row r="269" spans="1:18" ht="19" x14ac:dyDescent="0.25">
      <c r="C269" s="159">
        <f t="shared" si="37"/>
        <v>900</v>
      </c>
      <c r="D269" s="264">
        <f t="shared" si="35"/>
        <v>7.3851073279052548E-2</v>
      </c>
      <c r="E269" s="265">
        <f t="shared" si="36"/>
        <v>1.4513632208683096E+31</v>
      </c>
      <c r="F269" s="266">
        <f t="shared" si="33"/>
        <v>140.44714907612419</v>
      </c>
      <c r="G269" s="233">
        <f t="shared" si="38"/>
        <v>5.3682318409350629E-2</v>
      </c>
      <c r="H269" s="267">
        <f t="shared" si="39"/>
        <v>21.950421549252944</v>
      </c>
      <c r="I269" s="235">
        <v>0</v>
      </c>
      <c r="J269" s="312">
        <f t="shared" si="34"/>
        <v>162.4512529437865</v>
      </c>
    </row>
    <row r="270" spans="1:18" ht="19" x14ac:dyDescent="0.25">
      <c r="C270" s="159">
        <f t="shared" si="37"/>
        <v>1000</v>
      </c>
      <c r="D270" s="264">
        <f t="shared" si="35"/>
        <v>8.2056748087836168E-2</v>
      </c>
      <c r="E270" s="265">
        <f t="shared" si="36"/>
        <v>1.6998568482006842E+31</v>
      </c>
      <c r="F270" s="266">
        <f t="shared" si="33"/>
        <v>142.63717275458771</v>
      </c>
      <c r="G270" s="233">
        <f t="shared" si="38"/>
        <v>0.10008995944831635</v>
      </c>
      <c r="H270" s="267">
        <f t="shared" si="39"/>
        <v>22.826431020638378</v>
      </c>
      <c r="I270" s="235">
        <v>0</v>
      </c>
      <c r="J270" s="312">
        <f t="shared" si="34"/>
        <v>165.56369373467442</v>
      </c>
    </row>
    <row r="271" spans="1:18" ht="19" x14ac:dyDescent="0.25">
      <c r="C271" s="159">
        <f t="shared" si="37"/>
        <v>1100</v>
      </c>
      <c r="D271" s="264">
        <f t="shared" si="35"/>
        <v>9.0262422896619773E-2</v>
      </c>
      <c r="E271" s="265">
        <f t="shared" si="36"/>
        <v>1.9611073933170669E+31</v>
      </c>
      <c r="F271" s="266">
        <f t="shared" si="33"/>
        <v>144.61829015200047</v>
      </c>
      <c r="G271" s="233">
        <f t="shared" si="38"/>
        <v>0.16559071865192521</v>
      </c>
      <c r="H271" s="267">
        <f t="shared" si="39"/>
        <v>23.618877979603454</v>
      </c>
      <c r="I271" s="235">
        <v>0</v>
      </c>
      <c r="J271" s="312">
        <f t="shared" si="34"/>
        <v>168.40275885025585</v>
      </c>
    </row>
    <row r="272" spans="1:18" ht="19" x14ac:dyDescent="0.25">
      <c r="C272" s="159">
        <f t="shared" si="37"/>
        <v>1200</v>
      </c>
      <c r="D272" s="264">
        <f t="shared" si="35"/>
        <v>9.8468097705403393E-2</v>
      </c>
      <c r="E272" s="265">
        <f t="shared" si="36"/>
        <v>2.2345198566939639E+31</v>
      </c>
      <c r="F272" s="266">
        <f t="shared" si="33"/>
        <v>146.42690863410689</v>
      </c>
      <c r="G272" s="233">
        <f t="shared" si="38"/>
        <v>0.25068778264961988</v>
      </c>
      <c r="H272" s="267">
        <f t="shared" si="39"/>
        <v>24.34232537244603</v>
      </c>
      <c r="I272" s="235">
        <v>0</v>
      </c>
      <c r="J272" s="312">
        <f t="shared" si="34"/>
        <v>171.01992178920253</v>
      </c>
    </row>
    <row r="273" spans="3:10" ht="19" x14ac:dyDescent="0.25">
      <c r="C273" s="159">
        <f t="shared" si="37"/>
        <v>1300</v>
      </c>
      <c r="D273" s="264">
        <f t="shared" si="35"/>
        <v>0.10667377251418701</v>
      </c>
      <c r="E273" s="265">
        <f t="shared" si="36"/>
        <v>2.5195755058563723E+31</v>
      </c>
      <c r="F273" s="266">
        <f t="shared" si="33"/>
        <v>148.09067635580899</v>
      </c>
      <c r="G273" s="233">
        <f t="shared" si="38"/>
        <v>0.35471754910532549</v>
      </c>
      <c r="H273" s="267">
        <f t="shared" si="39"/>
        <v>25.007832461126881</v>
      </c>
      <c r="I273" s="235">
        <v>0</v>
      </c>
      <c r="J273" s="312">
        <f t="shared" si="34"/>
        <v>173.45322636604118</v>
      </c>
    </row>
    <row r="274" spans="3:10" ht="19" x14ac:dyDescent="0.25">
      <c r="C274" s="159">
        <f t="shared" si="37"/>
        <v>1400</v>
      </c>
      <c r="D274" s="264">
        <f t="shared" si="35"/>
        <v>0.11487944732297062</v>
      </c>
      <c r="E274" s="265">
        <f t="shared" si="36"/>
        <v>2.8158168454649867E+31</v>
      </c>
      <c r="F274" s="266">
        <f t="shared" si="33"/>
        <v>149.63108466499625</v>
      </c>
      <c r="G274" s="233">
        <f t="shared" si="38"/>
        <v>0.47622861545450601</v>
      </c>
      <c r="H274" s="267">
        <f t="shared" si="39"/>
        <v>25.623995784801789</v>
      </c>
      <c r="I274" s="235">
        <v>0</v>
      </c>
      <c r="J274" s="312">
        <f t="shared" si="34"/>
        <v>175.73130906525256</v>
      </c>
    </row>
    <row r="275" spans="3:10" ht="19" x14ac:dyDescent="0.25">
      <c r="C275" s="159">
        <f t="shared" si="37"/>
        <v>1500</v>
      </c>
      <c r="D275" s="264">
        <f t="shared" si="35"/>
        <v>0.12308512213175424</v>
      </c>
      <c r="E275" s="265">
        <f t="shared" si="36"/>
        <v>3.1228364354005132E+31</v>
      </c>
      <c r="F275" s="266">
        <f t="shared" si="33"/>
        <v>151.06517049172407</v>
      </c>
      <c r="G275" s="233">
        <f t="shared" si="38"/>
        <v>0.61332173944003021</v>
      </c>
      <c r="H275" s="267">
        <f t="shared" si="39"/>
        <v>26.197630115492895</v>
      </c>
      <c r="I275" s="235">
        <v>0</v>
      </c>
      <c r="J275" s="312">
        <f t="shared" si="34"/>
        <v>177.87612234665701</v>
      </c>
    </row>
    <row r="276" spans="3:10" ht="19" x14ac:dyDescent="0.25">
      <c r="C276" s="159">
        <f t="shared" si="37"/>
        <v>1600</v>
      </c>
      <c r="D276" s="264">
        <f t="shared" si="35"/>
        <v>0.13129079694053786</v>
      </c>
      <c r="E276" s="265">
        <f t="shared" si="36"/>
        <v>3.4402683753915625E+31</v>
      </c>
      <c r="F276" s="266">
        <f t="shared" si="33"/>
        <v>152.40666819208965</v>
      </c>
      <c r="G276" s="233">
        <f t="shared" si="38"/>
        <v>0.76391062877035532</v>
      </c>
      <c r="H276" s="267">
        <f t="shared" si="39"/>
        <v>26.734229195639116</v>
      </c>
      <c r="I276" s="235">
        <v>0</v>
      </c>
      <c r="J276" s="312">
        <f t="shared" si="34"/>
        <v>179.90480801649915</v>
      </c>
    </row>
    <row r="277" spans="3:10" ht="19" x14ac:dyDescent="0.25">
      <c r="C277" s="159">
        <f t="shared" si="37"/>
        <v>1700</v>
      </c>
      <c r="D277" s="264">
        <f t="shared" si="35"/>
        <v>0.13949647174932148</v>
      </c>
      <c r="E277" s="265">
        <f t="shared" si="36"/>
        <v>3.7677816901186478E+31</v>
      </c>
      <c r="F277" s="266">
        <f t="shared" si="33"/>
        <v>153.666811581166</v>
      </c>
      <c r="G277" s="233">
        <f t="shared" si="38"/>
        <v>0.92590155720670464</v>
      </c>
      <c r="H277" s="267">
        <f t="shared" si="39"/>
        <v>27.238286551269685</v>
      </c>
      <c r="I277" s="235">
        <v>0</v>
      </c>
      <c r="J277" s="312">
        <f t="shared" si="34"/>
        <v>181.8309996896424</v>
      </c>
    </row>
    <row r="278" spans="3:10" ht="19" x14ac:dyDescent="0.25">
      <c r="C278" s="159">
        <f t="shared" si="37"/>
        <v>1800</v>
      </c>
      <c r="D278" s="264">
        <f t="shared" si="35"/>
        <v>0.1477021465581051</v>
      </c>
      <c r="E278" s="265">
        <f t="shared" si="36"/>
        <v>4.1050751017628756E+31</v>
      </c>
      <c r="F278" s="266">
        <f t="shared" si="33"/>
        <v>154.85490637124312</v>
      </c>
      <c r="G278" s="233">
        <f t="shared" si="38"/>
        <v>1.097305594325777</v>
      </c>
      <c r="H278" s="267">
        <f t="shared" si="39"/>
        <v>27.713524467300555</v>
      </c>
      <c r="I278" s="235">
        <v>0</v>
      </c>
      <c r="J278" s="312">
        <f t="shared" si="34"/>
        <v>183.66573643286944</v>
      </c>
    </row>
    <row r="279" spans="3:10" ht="19" x14ac:dyDescent="0.25">
      <c r="C279" s="159">
        <f t="shared" si="37"/>
        <v>1900</v>
      </c>
      <c r="D279" s="264">
        <f t="shared" si="35"/>
        <v>0.15590782136688872</v>
      </c>
      <c r="E279" s="265">
        <f t="shared" si="36"/>
        <v>4.4518728367628634E+31</v>
      </c>
      <c r="F279" s="266">
        <f t="shared" si="33"/>
        <v>155.97874763256723</v>
      </c>
      <c r="G279" s="233">
        <f t="shared" si="38"/>
        <v>1.2763008511081246</v>
      </c>
      <c r="H279" s="267">
        <f t="shared" si="39"/>
        <v>28.163060971830134</v>
      </c>
      <c r="I279" s="235">
        <v>0</v>
      </c>
      <c r="J279" s="312">
        <f t="shared" si="34"/>
        <v>185.41810945550549</v>
      </c>
    </row>
    <row r="280" spans="3:10" ht="20" thickBot="1" x14ac:dyDescent="0.3">
      <c r="C280" s="166">
        <f t="shared" si="37"/>
        <v>2000</v>
      </c>
      <c r="D280" s="270">
        <f t="shared" si="35"/>
        <v>0.16411349617567234</v>
      </c>
      <c r="E280" s="271">
        <f t="shared" si="36"/>
        <v>4.8079212176363959E+31</v>
      </c>
      <c r="F280" s="272">
        <f t="shared" si="33"/>
        <v>157.04493004970675</v>
      </c>
      <c r="G280" s="237">
        <f>$B$7*SUM((($D$42)/$C280)/(EXP($D$42/$C280)-1)-LN(1-EXP(-$D$42/$C280)))</f>
        <v>1.4612604027687357</v>
      </c>
      <c r="H280" s="273">
        <f>$B$7*LN(EXP(1)*$C280/($A$31*$J$254))</f>
        <v>28.589533938685985</v>
      </c>
      <c r="I280" s="239">
        <v>0</v>
      </c>
      <c r="J280" s="313">
        <f t="shared" si="34"/>
        <v>187.09572439116147</v>
      </c>
    </row>
  </sheetData>
  <mergeCells count="13">
    <mergeCell ref="AB101:AH101"/>
    <mergeCell ref="D245:E245"/>
    <mergeCell ref="C131:D131"/>
    <mergeCell ref="H198:K198"/>
    <mergeCell ref="D203:E203"/>
    <mergeCell ref="D212:H212"/>
    <mergeCell ref="H239:K239"/>
    <mergeCell ref="D244:E244"/>
    <mergeCell ref="C130:D130"/>
    <mergeCell ref="A18:V18"/>
    <mergeCell ref="A53:V53"/>
    <mergeCell ref="U93:W93"/>
    <mergeCell ref="C100:D10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1AAED-BBC4-8944-B979-37EC2DE3D0F0}">
  <dimension ref="A3:AP280"/>
  <sheetViews>
    <sheetView topLeftCell="A130" zoomScale="108" workbookViewId="0">
      <selection activeCell="E137" sqref="E137"/>
    </sheetView>
  </sheetViews>
  <sheetFormatPr baseColWidth="10" defaultRowHeight="16" x14ac:dyDescent="0.2"/>
  <cols>
    <col min="1" max="1" width="17.1640625" customWidth="1"/>
    <col min="2" max="2" width="17" customWidth="1"/>
    <col min="3" max="3" width="18.6640625" customWidth="1"/>
    <col min="4" max="4" width="20" customWidth="1"/>
    <col min="5" max="5" width="18" customWidth="1"/>
    <col min="6" max="6" width="14.33203125" customWidth="1"/>
    <col min="7" max="7" width="16.83203125" customWidth="1"/>
    <col min="8" max="8" width="17.83203125" customWidth="1"/>
    <col min="9" max="9" width="10.83203125" customWidth="1"/>
    <col min="10" max="10" width="14.6640625" customWidth="1"/>
    <col min="11" max="11" width="14.33203125" customWidth="1"/>
    <col min="12" max="12" width="14.1640625" customWidth="1"/>
    <col min="13" max="13" width="16" customWidth="1"/>
    <col min="14" max="14" width="13.33203125" customWidth="1"/>
    <col min="15" max="15" width="14.1640625" customWidth="1"/>
    <col min="16" max="16" width="24" customWidth="1"/>
    <col min="17" max="17" width="21" customWidth="1"/>
    <col min="18" max="18" width="20" customWidth="1"/>
    <col min="19" max="19" width="16.5" customWidth="1"/>
    <col min="20" max="20" width="16.1640625" customWidth="1"/>
    <col min="21" max="21" width="17.33203125" customWidth="1"/>
    <col min="22" max="22" width="14.6640625" customWidth="1"/>
    <col min="23" max="23" width="14.33203125" customWidth="1"/>
    <col min="24" max="24" width="14.5" customWidth="1"/>
    <col min="25" max="25" width="13.33203125" customWidth="1"/>
    <col min="26" max="26" width="16.33203125" customWidth="1"/>
    <col min="28" max="28" width="13.6640625" customWidth="1"/>
    <col min="29" max="29" width="19" customWidth="1"/>
    <col min="30" max="30" width="15.33203125" customWidth="1"/>
    <col min="31" max="31" width="15.5" customWidth="1"/>
    <col min="32" max="32" width="17.5" customWidth="1"/>
    <col min="33" max="33" width="11.33203125" bestFit="1" customWidth="1"/>
    <col min="34" max="34" width="16.83203125" bestFit="1" customWidth="1"/>
    <col min="39" max="39" width="12.1640625" bestFit="1" customWidth="1"/>
    <col min="40" max="40" width="18" customWidth="1"/>
    <col min="41" max="41" width="12.83203125" customWidth="1"/>
  </cols>
  <sheetData>
    <row r="3" spans="1:22" x14ac:dyDescent="0.2">
      <c r="A3" s="1"/>
      <c r="B3" s="1"/>
    </row>
    <row r="4" spans="1:22" ht="20" thickBot="1" x14ac:dyDescent="0.3">
      <c r="A4" s="2"/>
      <c r="B4" s="2"/>
    </row>
    <row r="5" spans="1:22" ht="23" customHeight="1" thickBot="1" x14ac:dyDescent="0.35">
      <c r="A5" s="3" t="s">
        <v>0</v>
      </c>
      <c r="B5" s="4"/>
      <c r="D5" s="5" t="s">
        <v>1</v>
      </c>
      <c r="E5" s="6"/>
      <c r="F5" s="6"/>
      <c r="G5" s="6"/>
      <c r="H5" s="6"/>
      <c r="I5" s="6"/>
      <c r="J5" s="6"/>
      <c r="K5" s="6"/>
      <c r="L5" s="7"/>
      <c r="N5" s="8" t="s">
        <v>2</v>
      </c>
      <c r="O5" s="9"/>
      <c r="P5" s="9"/>
      <c r="Q5" s="10"/>
      <c r="S5" s="11" t="s">
        <v>3</v>
      </c>
      <c r="T5" s="12"/>
      <c r="U5" s="12"/>
      <c r="V5" s="13"/>
    </row>
    <row r="6" spans="1:22" ht="32" customHeight="1" x14ac:dyDescent="0.3">
      <c r="A6" s="14" t="s">
        <v>4</v>
      </c>
      <c r="B6" s="15">
        <v>6.0221399999999997E+23</v>
      </c>
      <c r="D6" s="16" t="s">
        <v>5</v>
      </c>
      <c r="E6" s="17" t="s">
        <v>6</v>
      </c>
      <c r="F6" s="17" t="s">
        <v>7</v>
      </c>
      <c r="G6" s="17" t="s">
        <v>8</v>
      </c>
      <c r="H6" s="17" t="s">
        <v>9</v>
      </c>
      <c r="I6" s="17" t="s">
        <v>10</v>
      </c>
      <c r="J6" s="18" t="s">
        <v>11</v>
      </c>
      <c r="K6" s="17" t="s">
        <v>12</v>
      </c>
      <c r="L6" s="19" t="s">
        <v>13</v>
      </c>
      <c r="N6" s="20" t="s">
        <v>14</v>
      </c>
      <c r="O6" s="21" t="s">
        <v>15</v>
      </c>
      <c r="P6" s="21" t="s">
        <v>16</v>
      </c>
      <c r="Q6" s="22" t="s">
        <v>17</v>
      </c>
      <c r="S6" s="23" t="s">
        <v>14</v>
      </c>
      <c r="T6" s="24" t="s">
        <v>18</v>
      </c>
      <c r="U6" s="24" t="s">
        <v>19</v>
      </c>
      <c r="V6" s="25" t="s">
        <v>20</v>
      </c>
    </row>
    <row r="7" spans="1:22" ht="22" x14ac:dyDescent="0.3">
      <c r="A7" s="26" t="s">
        <v>21</v>
      </c>
      <c r="B7" s="27">
        <v>8.3143999999999991</v>
      </c>
      <c r="D7" s="28" t="s">
        <v>6</v>
      </c>
      <c r="E7" s="314">
        <v>1</v>
      </c>
      <c r="F7" s="315">
        <v>27.210699999999999</v>
      </c>
      <c r="G7" s="315">
        <v>219474.63</v>
      </c>
      <c r="H7" s="315">
        <v>627.50300000000004</v>
      </c>
      <c r="I7" s="315">
        <v>2625.5</v>
      </c>
      <c r="J7" s="315">
        <v>315777</v>
      </c>
      <c r="K7" s="315">
        <v>4.3599999999999999E-18</v>
      </c>
      <c r="L7" s="316">
        <v>6579660000000000</v>
      </c>
      <c r="N7" s="29" t="s">
        <v>15</v>
      </c>
      <c r="O7" s="30">
        <v>1</v>
      </c>
      <c r="P7" s="30">
        <v>0.52917999956390005</v>
      </c>
      <c r="Q7" s="31">
        <v>5.2917999999999999E-11</v>
      </c>
      <c r="S7" s="32" t="s">
        <v>18</v>
      </c>
      <c r="T7" s="33">
        <v>1</v>
      </c>
      <c r="U7" s="34">
        <v>9.1093800000000005E-31</v>
      </c>
      <c r="V7" s="35">
        <f>U7*V8</f>
        <v>5.4875783132530122E-4</v>
      </c>
    </row>
    <row r="8" spans="1:22" ht="22" x14ac:dyDescent="0.3">
      <c r="A8" s="36" t="s">
        <v>22</v>
      </c>
      <c r="B8" s="37">
        <v>1.38065E-23</v>
      </c>
      <c r="D8" s="28" t="s">
        <v>7</v>
      </c>
      <c r="E8" s="317">
        <v>3.6750199999999997E-2</v>
      </c>
      <c r="F8" s="318">
        <v>1</v>
      </c>
      <c r="G8" s="318">
        <v>8065.73</v>
      </c>
      <c r="H8" s="318">
        <v>23.0609</v>
      </c>
      <c r="I8" s="318">
        <v>96.486900000000006</v>
      </c>
      <c r="J8" s="318">
        <v>11604.9</v>
      </c>
      <c r="K8" s="319">
        <v>1.5999999999999999E-19</v>
      </c>
      <c r="L8" s="320">
        <v>241804000000000</v>
      </c>
      <c r="N8" s="29" t="s">
        <v>16</v>
      </c>
      <c r="O8" s="38">
        <v>1.8897299999999999</v>
      </c>
      <c r="P8" s="30">
        <v>1</v>
      </c>
      <c r="Q8" s="31">
        <v>1E-10</v>
      </c>
      <c r="S8" s="32" t="s">
        <v>19</v>
      </c>
      <c r="T8" s="34">
        <v>1.098E+30</v>
      </c>
      <c r="U8" s="33">
        <v>1</v>
      </c>
      <c r="V8" s="35">
        <f>1/U9</f>
        <v>6.0240963855421691E+26</v>
      </c>
    </row>
    <row r="9" spans="1:22" ht="22" thickBot="1" x14ac:dyDescent="0.3">
      <c r="A9" s="26" t="s">
        <v>23</v>
      </c>
      <c r="B9" s="39">
        <v>1.6021760000000001E-16</v>
      </c>
      <c r="D9" s="28" t="s">
        <v>8</v>
      </c>
      <c r="E9" s="317">
        <v>4.5563300000000003E-6</v>
      </c>
      <c r="F9" s="318">
        <v>1.23981E-4</v>
      </c>
      <c r="G9" s="318">
        <v>1</v>
      </c>
      <c r="H9" s="318">
        <v>2.8590999999999998E-3</v>
      </c>
      <c r="I9" s="318">
        <v>1.1963E-2</v>
      </c>
      <c r="J9" s="318">
        <v>1.42879</v>
      </c>
      <c r="K9" s="318">
        <v>1.9863000000000001E-23</v>
      </c>
      <c r="L9" s="320">
        <v>29979300000</v>
      </c>
      <c r="N9" s="40" t="s">
        <v>17</v>
      </c>
      <c r="O9" s="41">
        <v>18900000000</v>
      </c>
      <c r="P9" s="41">
        <v>10000000000</v>
      </c>
      <c r="Q9" s="42">
        <v>1</v>
      </c>
      <c r="S9" s="43" t="s">
        <v>20</v>
      </c>
      <c r="T9" s="44">
        <f>U9*T8</f>
        <v>1822.6799999999998</v>
      </c>
      <c r="U9" s="44">
        <v>1.6599999999999999E-27</v>
      </c>
      <c r="V9" s="45">
        <v>1</v>
      </c>
    </row>
    <row r="10" spans="1:22" ht="21" x14ac:dyDescent="0.3">
      <c r="A10" s="46" t="s">
        <v>24</v>
      </c>
      <c r="B10" s="47">
        <v>9.1092999999999998E-31</v>
      </c>
      <c r="D10" s="28" t="s">
        <v>9</v>
      </c>
      <c r="E10" s="317">
        <v>1.59362E-3</v>
      </c>
      <c r="F10" s="318">
        <v>4.3363400000000003E-2</v>
      </c>
      <c r="G10" s="318">
        <v>349.75700000000001</v>
      </c>
      <c r="H10" s="318">
        <v>1</v>
      </c>
      <c r="I10" s="318">
        <v>4.1840000000000002</v>
      </c>
      <c r="J10" s="318">
        <v>503.22800000000001</v>
      </c>
      <c r="K10" s="318">
        <v>6.9500000000000005E-21</v>
      </c>
      <c r="L10" s="320">
        <v>10485400000000</v>
      </c>
    </row>
    <row r="11" spans="1:22" ht="22" x14ac:dyDescent="0.3">
      <c r="A11" s="26" t="s">
        <v>25</v>
      </c>
      <c r="B11" s="48">
        <v>8.8541799999999997E-12</v>
      </c>
      <c r="D11" s="28" t="s">
        <v>10</v>
      </c>
      <c r="E11" s="317">
        <v>3.8088E-4</v>
      </c>
      <c r="F11" s="318">
        <v>1.0364099999999999E-2</v>
      </c>
      <c r="G11" s="318">
        <v>83.593000000000004</v>
      </c>
      <c r="H11" s="318">
        <v>0.23900099999999999</v>
      </c>
      <c r="I11" s="318">
        <v>1</v>
      </c>
      <c r="J11" s="318">
        <v>120.274</v>
      </c>
      <c r="K11" s="318">
        <v>1.6599999999999999E-21</v>
      </c>
      <c r="L11" s="320">
        <v>2506070000000</v>
      </c>
    </row>
    <row r="12" spans="1:22" ht="22" x14ac:dyDescent="0.3">
      <c r="A12" s="46" t="s">
        <v>26</v>
      </c>
      <c r="B12" s="47">
        <v>5.2917700000000002E-12</v>
      </c>
      <c r="D12" s="49" t="s">
        <v>11</v>
      </c>
      <c r="E12" s="317">
        <v>3.1667800000000002E-6</v>
      </c>
      <c r="F12" s="318">
        <v>8.6170500000000004E-5</v>
      </c>
      <c r="G12" s="318">
        <v>0.69502799999999998</v>
      </c>
      <c r="H12" s="318">
        <v>1.9872000000000002E-3</v>
      </c>
      <c r="I12" s="318">
        <v>8.3140000000000002E-3</v>
      </c>
      <c r="J12" s="318">
        <v>1</v>
      </c>
      <c r="K12" s="318">
        <v>1.38054E-23</v>
      </c>
      <c r="L12" s="320">
        <v>20836400000</v>
      </c>
    </row>
    <row r="13" spans="1:22" ht="19" x14ac:dyDescent="0.25">
      <c r="A13" s="26" t="s">
        <v>27</v>
      </c>
      <c r="B13" s="50">
        <f>298.15</f>
        <v>298.14999999999998</v>
      </c>
      <c r="D13" s="28" t="s">
        <v>12</v>
      </c>
      <c r="E13" s="317">
        <v>2.294E+17</v>
      </c>
      <c r="F13" s="318">
        <v>6.24181E+18</v>
      </c>
      <c r="G13" s="318">
        <v>5.0344500000000003E+22</v>
      </c>
      <c r="H13" s="318">
        <v>1.44E+20</v>
      </c>
      <c r="I13" s="318">
        <v>6.02E+20</v>
      </c>
      <c r="J13" s="318">
        <v>7.2435399999999999E+22</v>
      </c>
      <c r="K13" s="318">
        <v>1</v>
      </c>
      <c r="L13" s="320">
        <v>1.5093E+33</v>
      </c>
    </row>
    <row r="14" spans="1:22" ht="20" thickBot="1" x14ac:dyDescent="0.3">
      <c r="A14" s="26" t="s">
        <v>28</v>
      </c>
      <c r="B14" s="51">
        <v>6.626068E-34</v>
      </c>
      <c r="D14" s="52" t="s">
        <v>13</v>
      </c>
      <c r="E14" s="321">
        <v>1.5198300000000001E-16</v>
      </c>
      <c r="F14" s="322">
        <v>4.13558E-15</v>
      </c>
      <c r="G14" s="322">
        <v>3.3356499999999997E-11</v>
      </c>
      <c r="H14" s="322">
        <v>9.5370000000000002E-14</v>
      </c>
      <c r="I14" s="322"/>
      <c r="J14" s="322">
        <v>4.7993E-11</v>
      </c>
      <c r="K14" s="322">
        <v>6.62561E-34</v>
      </c>
      <c r="L14" s="323">
        <v>1</v>
      </c>
    </row>
    <row r="15" spans="1:22" ht="19" x14ac:dyDescent="0.25">
      <c r="A15" s="46" t="s">
        <v>29</v>
      </c>
      <c r="B15" s="53">
        <v>1</v>
      </c>
    </row>
    <row r="16" spans="1:22" ht="19" x14ac:dyDescent="0.25">
      <c r="A16" s="26" t="s">
        <v>30</v>
      </c>
      <c r="B16" s="50">
        <v>101325</v>
      </c>
    </row>
    <row r="17" spans="1:27" ht="21" x14ac:dyDescent="0.25">
      <c r="A17" s="14" t="s">
        <v>31</v>
      </c>
      <c r="B17" s="54">
        <v>299792459</v>
      </c>
    </row>
    <row r="18" spans="1:27" ht="34" thickBot="1" x14ac:dyDescent="0.5">
      <c r="A18" s="471" t="s">
        <v>137</v>
      </c>
      <c r="B18" s="471"/>
      <c r="C18" s="471"/>
      <c r="D18" s="471"/>
      <c r="E18" s="471"/>
      <c r="F18" s="471"/>
      <c r="G18" s="471"/>
      <c r="H18" s="471"/>
      <c r="I18" s="471"/>
      <c r="J18" s="471"/>
      <c r="K18" s="471"/>
      <c r="L18" s="471"/>
      <c r="M18" s="471"/>
      <c r="N18" s="471"/>
      <c r="O18" s="471"/>
      <c r="P18" s="471"/>
      <c r="Q18" s="471"/>
      <c r="R18" s="471"/>
      <c r="S18" s="471"/>
      <c r="T18" s="471"/>
      <c r="U18" s="471"/>
      <c r="V18" s="471"/>
    </row>
    <row r="19" spans="1:27" ht="17" thickTop="1" x14ac:dyDescent="0.2"/>
    <row r="20" spans="1:27" ht="17" thickBot="1" x14ac:dyDescent="0.25"/>
    <row r="21" spans="1:27" ht="20" thickBot="1" x14ac:dyDescent="0.3">
      <c r="A21" s="55" t="s">
        <v>33</v>
      </c>
      <c r="B21" s="56"/>
      <c r="C21" s="57" t="s">
        <v>34</v>
      </c>
      <c r="D21" s="58"/>
      <c r="E21" s="58"/>
      <c r="F21" s="59"/>
      <c r="G21" s="56"/>
      <c r="H21" s="55" t="s">
        <v>35</v>
      </c>
      <c r="I21" s="56"/>
      <c r="J21" s="56"/>
      <c r="M21" s="56"/>
      <c r="N21" s="56"/>
      <c r="O21" s="60" t="s">
        <v>36</v>
      </c>
      <c r="P21" s="58"/>
      <c r="Q21" s="58"/>
      <c r="R21" s="59"/>
      <c r="S21" s="56"/>
      <c r="T21" s="56"/>
      <c r="U21" s="56"/>
      <c r="V21" s="56"/>
      <c r="W21" s="56"/>
      <c r="X21" s="56"/>
      <c r="Y21" s="56"/>
      <c r="Z21" s="56"/>
      <c r="AA21" s="56"/>
    </row>
    <row r="22" spans="1:27" ht="20" thickBot="1" x14ac:dyDescent="0.3">
      <c r="A22" s="61">
        <v>300</v>
      </c>
      <c r="B22" s="56"/>
      <c r="C22" s="62"/>
      <c r="D22" s="63" t="s">
        <v>37</v>
      </c>
      <c r="E22" s="64" t="s">
        <v>38</v>
      </c>
      <c r="F22" s="65" t="s">
        <v>39</v>
      </c>
      <c r="G22" s="56"/>
      <c r="H22" s="66" t="s">
        <v>40</v>
      </c>
      <c r="I22" s="67" t="s">
        <v>9</v>
      </c>
      <c r="J22" s="67" t="s">
        <v>10</v>
      </c>
      <c r="K22" s="68" t="s">
        <v>7</v>
      </c>
      <c r="L22" s="69" t="s">
        <v>12</v>
      </c>
      <c r="M22" s="56"/>
      <c r="N22" s="56"/>
      <c r="O22" s="70"/>
      <c r="P22" s="71" t="s">
        <v>41</v>
      </c>
      <c r="Q22" s="72" t="s">
        <v>42</v>
      </c>
      <c r="R22" s="73" t="s">
        <v>43</v>
      </c>
      <c r="S22" s="56"/>
      <c r="T22" s="56"/>
      <c r="U22" s="56"/>
      <c r="V22" s="56"/>
      <c r="W22" s="56"/>
      <c r="X22" s="56"/>
      <c r="Y22" s="56"/>
      <c r="Z22" s="56"/>
      <c r="AA22" s="56"/>
    </row>
    <row r="23" spans="1:27" ht="22" thickBot="1" x14ac:dyDescent="0.3">
      <c r="A23" s="56"/>
      <c r="B23" s="56"/>
      <c r="C23" s="74" t="s">
        <v>44</v>
      </c>
      <c r="D23" s="75">
        <v>12.086589999999999</v>
      </c>
      <c r="E23" s="76">
        <v>31.166509999999999</v>
      </c>
      <c r="F23" s="77">
        <v>31.16675</v>
      </c>
      <c r="G23" s="56"/>
      <c r="H23" s="78">
        <v>4.3012000000000002E-2</v>
      </c>
      <c r="I23" s="79">
        <f>H23*$H$7</f>
        <v>26.990159036000001</v>
      </c>
      <c r="J23" s="79">
        <f>H23*$I$7</f>
        <v>112.92800600000001</v>
      </c>
      <c r="K23" s="80">
        <f>H23*$F$7</f>
        <v>1.1703866284</v>
      </c>
      <c r="L23" s="81">
        <f>H23*$K$7</f>
        <v>1.8753231999999999E-19</v>
      </c>
      <c r="M23" s="56"/>
      <c r="N23" s="56"/>
      <c r="O23" s="82" t="s">
        <v>45</v>
      </c>
      <c r="P23" s="83">
        <v>29.07</v>
      </c>
      <c r="Q23" s="84">
        <v>9.2159999999999993</v>
      </c>
      <c r="R23" s="85">
        <v>54.274999999999999</v>
      </c>
      <c r="S23" s="56"/>
      <c r="T23" s="56"/>
      <c r="U23" s="56"/>
      <c r="V23" s="56"/>
      <c r="W23" s="56"/>
      <c r="X23" s="56"/>
      <c r="Y23" s="56"/>
      <c r="Z23" s="56"/>
      <c r="AA23" s="56"/>
    </row>
    <row r="24" spans="1:27" ht="22" thickBot="1" x14ac:dyDescent="0.3">
      <c r="A24" s="55" t="s">
        <v>46</v>
      </c>
      <c r="B24" s="56"/>
      <c r="C24" s="86" t="s">
        <v>47</v>
      </c>
      <c r="D24" s="246">
        <f>D23*$U$9</f>
        <v>2.0063739399999997E-26</v>
      </c>
      <c r="E24" s="223">
        <f t="shared" ref="E24:F24" si="0">E23*$U$9</f>
        <v>5.17364066E-26</v>
      </c>
      <c r="F24" s="324">
        <f t="shared" si="0"/>
        <v>5.1736804999999998E-26</v>
      </c>
      <c r="G24" s="56"/>
      <c r="M24" s="56"/>
      <c r="N24" s="56"/>
      <c r="O24" s="88" t="s">
        <v>48</v>
      </c>
      <c r="P24" s="83">
        <v>0</v>
      </c>
      <c r="Q24" s="84">
        <v>0</v>
      </c>
      <c r="R24" s="85">
        <v>1.377</v>
      </c>
      <c r="S24" s="56"/>
      <c r="T24" s="56"/>
      <c r="U24" s="56"/>
      <c r="V24" s="56"/>
      <c r="W24" s="56"/>
      <c r="X24" s="56"/>
      <c r="Y24" s="56"/>
      <c r="Z24" s="56"/>
      <c r="AA24" s="56"/>
    </row>
    <row r="25" spans="1:27" ht="22" thickBot="1" x14ac:dyDescent="0.3">
      <c r="A25" s="61">
        <v>1</v>
      </c>
      <c r="B25" s="56"/>
      <c r="C25" s="89" t="s">
        <v>49</v>
      </c>
      <c r="D25" s="90">
        <f>D24*($Q$8)^2</f>
        <v>2.0063739399999998E-46</v>
      </c>
      <c r="E25" s="91">
        <f>E24*($Q$8)^2</f>
        <v>5.1736406600000005E-46</v>
      </c>
      <c r="F25" s="92">
        <f t="shared" ref="F25" si="1">F24*($Q$8)^2</f>
        <v>5.1736805E-46</v>
      </c>
      <c r="G25" s="56"/>
      <c r="M25" s="56"/>
      <c r="N25" s="56"/>
      <c r="O25" s="88" t="s">
        <v>50</v>
      </c>
      <c r="P25" s="83">
        <v>0.89400000000000002</v>
      </c>
      <c r="Q25" s="84">
        <v>2.9809999999999999</v>
      </c>
      <c r="R25" s="85">
        <v>34.473999999999997</v>
      </c>
      <c r="S25" s="56"/>
      <c r="T25" s="56"/>
      <c r="U25" s="56"/>
      <c r="V25" s="56"/>
      <c r="W25" s="56"/>
      <c r="X25" s="56"/>
      <c r="Y25" s="56"/>
      <c r="Z25" s="56"/>
      <c r="AA25" s="56"/>
    </row>
    <row r="26" spans="1:27" ht="20" thickBot="1" x14ac:dyDescent="0.3">
      <c r="A26" s="56"/>
      <c r="B26" s="56"/>
      <c r="C26" s="56"/>
      <c r="D26" s="56"/>
      <c r="E26" s="56"/>
      <c r="F26" s="56"/>
      <c r="G26" s="56"/>
      <c r="H26" s="55" t="s">
        <v>51</v>
      </c>
      <c r="I26" s="56"/>
      <c r="J26" s="56"/>
      <c r="K26" s="56"/>
      <c r="M26" s="56"/>
      <c r="N26" s="56"/>
      <c r="O26" s="88" t="s">
        <v>52</v>
      </c>
      <c r="P26" s="83">
        <v>0.89400000000000002</v>
      </c>
      <c r="Q26" s="84">
        <v>2.9809999999999999</v>
      </c>
      <c r="R26" s="85">
        <v>17.132000000000001</v>
      </c>
      <c r="S26" s="56"/>
      <c r="T26" s="56"/>
      <c r="U26" s="56"/>
      <c r="V26" s="56"/>
      <c r="W26" s="56"/>
      <c r="X26" s="56"/>
      <c r="Y26" s="56"/>
      <c r="Z26" s="56"/>
      <c r="AA26" s="56"/>
    </row>
    <row r="27" spans="1:27" ht="20" thickBot="1" x14ac:dyDescent="0.3">
      <c r="A27" s="55" t="s">
        <v>53</v>
      </c>
      <c r="B27" s="56"/>
      <c r="C27" s="55" t="s">
        <v>54</v>
      </c>
      <c r="D27" s="56"/>
      <c r="E27" s="56"/>
      <c r="F27" s="56"/>
      <c r="G27" s="56"/>
      <c r="H27" s="66" t="s">
        <v>40</v>
      </c>
      <c r="I27" s="67" t="s">
        <v>9</v>
      </c>
      <c r="J27" s="67" t="s">
        <v>10</v>
      </c>
      <c r="K27" s="68" t="s">
        <v>7</v>
      </c>
      <c r="L27" s="69" t="s">
        <v>12</v>
      </c>
      <c r="M27" s="56"/>
      <c r="N27" s="56"/>
      <c r="O27" s="386" t="s">
        <v>55</v>
      </c>
      <c r="P27" s="387">
        <v>27.280999999999999</v>
      </c>
      <c r="Q27" s="388">
        <v>3.2549999999999999</v>
      </c>
      <c r="R27" s="389">
        <v>1.2909999999999999</v>
      </c>
      <c r="S27" s="56"/>
      <c r="T27" s="56"/>
      <c r="U27" s="56"/>
      <c r="V27" s="56"/>
      <c r="W27" s="56"/>
      <c r="X27" s="56"/>
      <c r="Y27" s="56"/>
      <c r="Z27" s="56"/>
      <c r="AA27" s="56"/>
    </row>
    <row r="28" spans="1:27" ht="20" thickBot="1" x14ac:dyDescent="0.3">
      <c r="A28" s="61">
        <v>17.03913</v>
      </c>
      <c r="B28" s="56"/>
      <c r="C28" s="97" t="s">
        <v>37</v>
      </c>
      <c r="D28" s="98" t="s">
        <v>38</v>
      </c>
      <c r="E28" s="99" t="s">
        <v>39</v>
      </c>
      <c r="F28" s="56"/>
      <c r="G28" s="56"/>
      <c r="H28" s="100">
        <v>4.6325999999999999E-2</v>
      </c>
      <c r="I28" s="79">
        <f>H28*$H$7</f>
        <v>29.069703978</v>
      </c>
      <c r="J28" s="79">
        <f>H28*$I$7</f>
        <v>121.628913</v>
      </c>
      <c r="K28" s="101">
        <f>H28*$F$7</f>
        <v>1.2605628882</v>
      </c>
      <c r="L28" s="81">
        <f>H28*$K$7</f>
        <v>2.0198135999999998E-19</v>
      </c>
      <c r="M28" s="56"/>
      <c r="N28" s="56"/>
      <c r="O28" s="195" t="s">
        <v>162</v>
      </c>
      <c r="P28" s="392">
        <v>0.91</v>
      </c>
      <c r="Q28" s="393">
        <v>1.1419999999999999</v>
      </c>
      <c r="R28" s="394">
        <v>0.54600000000000004</v>
      </c>
      <c r="S28" s="56"/>
      <c r="T28" s="56"/>
      <c r="U28" s="56"/>
      <c r="V28" s="56"/>
      <c r="W28" s="56"/>
      <c r="X28" s="56"/>
      <c r="Y28" s="56"/>
      <c r="Z28" s="56"/>
      <c r="AA28" s="56"/>
    </row>
    <row r="29" spans="1:27" ht="20" thickBot="1" x14ac:dyDescent="0.3">
      <c r="A29" s="56"/>
      <c r="B29" s="56"/>
      <c r="C29" s="100">
        <v>7.1661099999999998</v>
      </c>
      <c r="D29" s="102">
        <v>2.7790699999999999</v>
      </c>
      <c r="E29" s="103">
        <v>2.7790400000000002</v>
      </c>
      <c r="F29" s="56"/>
      <c r="G29" s="56"/>
      <c r="L29" s="56"/>
      <c r="M29" s="56"/>
      <c r="N29" s="56"/>
      <c r="O29" s="205" t="s">
        <v>163</v>
      </c>
      <c r="P29" s="395">
        <v>0.91</v>
      </c>
      <c r="Q29" s="396">
        <v>1.141</v>
      </c>
      <c r="R29" s="397">
        <v>0.54600000000000004</v>
      </c>
      <c r="S29" s="56"/>
      <c r="T29" s="56"/>
      <c r="U29" s="56"/>
      <c r="V29" s="56"/>
      <c r="W29" s="56"/>
      <c r="X29" s="56"/>
      <c r="Y29" s="56"/>
      <c r="Z29" s="56"/>
      <c r="AA29" s="56"/>
    </row>
    <row r="30" spans="1:27" ht="20" thickBot="1" x14ac:dyDescent="0.3">
      <c r="A30" s="55" t="s">
        <v>56</v>
      </c>
      <c r="B30" s="56"/>
      <c r="F30" s="56"/>
      <c r="G30" s="56"/>
      <c r="M30" s="56"/>
      <c r="O30" s="390" t="s">
        <v>57</v>
      </c>
      <c r="P30" s="391"/>
      <c r="Q30" s="391"/>
      <c r="R30" s="339"/>
      <c r="S30" s="56"/>
      <c r="T30" s="56"/>
      <c r="U30" s="56"/>
      <c r="V30" s="56"/>
      <c r="W30" s="56"/>
      <c r="X30" s="56"/>
      <c r="Y30" s="56"/>
      <c r="Z30" s="56"/>
      <c r="AA30" s="56"/>
    </row>
    <row r="31" spans="1:27" ht="20" thickBot="1" x14ac:dyDescent="0.3">
      <c r="A31" s="61">
        <v>1</v>
      </c>
      <c r="B31" s="56"/>
      <c r="C31" s="55" t="s">
        <v>58</v>
      </c>
      <c r="D31" s="56"/>
      <c r="E31" s="56"/>
      <c r="F31" s="56"/>
      <c r="G31" s="56"/>
      <c r="H31" s="55" t="s">
        <v>59</v>
      </c>
      <c r="I31" s="56"/>
      <c r="J31" s="56"/>
      <c r="K31" s="56"/>
      <c r="L31" s="56"/>
      <c r="M31" s="56"/>
      <c r="N31" s="56"/>
      <c r="O31" s="107"/>
      <c r="P31" s="108" t="s">
        <v>60</v>
      </c>
      <c r="Q31" s="109" t="s">
        <v>61</v>
      </c>
      <c r="R31" s="110" t="s">
        <v>62</v>
      </c>
      <c r="S31" s="56"/>
      <c r="T31" s="56"/>
      <c r="U31" s="56"/>
      <c r="V31" s="56"/>
      <c r="W31" s="56"/>
      <c r="X31" s="56"/>
      <c r="Y31" s="56"/>
      <c r="Z31" s="56"/>
      <c r="AA31" s="56"/>
    </row>
    <row r="32" spans="1:27" ht="20" thickBot="1" x14ac:dyDescent="0.3">
      <c r="A32" s="56"/>
      <c r="B32" s="56"/>
      <c r="C32" s="111" t="s">
        <v>37</v>
      </c>
      <c r="D32" s="111" t="s">
        <v>38</v>
      </c>
      <c r="E32" s="111" t="s">
        <v>39</v>
      </c>
      <c r="F32" s="56"/>
      <c r="G32" s="56"/>
      <c r="H32" s="66" t="s">
        <v>40</v>
      </c>
      <c r="I32" s="67" t="s">
        <v>9</v>
      </c>
      <c r="J32" s="67" t="s">
        <v>10</v>
      </c>
      <c r="K32" s="68" t="s">
        <v>7</v>
      </c>
      <c r="L32" s="69" t="s">
        <v>12</v>
      </c>
      <c r="M32" s="56"/>
      <c r="N32" s="56"/>
      <c r="O32" s="82" t="s">
        <v>48</v>
      </c>
      <c r="P32" s="112">
        <v>2</v>
      </c>
      <c r="Q32" s="113">
        <v>0.30103000000000002</v>
      </c>
      <c r="R32" s="113">
        <v>0.69314699999999996</v>
      </c>
      <c r="S32" s="56"/>
      <c r="T32" s="56"/>
      <c r="U32" s="56"/>
      <c r="V32" s="56"/>
      <c r="W32" s="56"/>
      <c r="X32" s="56"/>
      <c r="Y32" s="56"/>
      <c r="Z32" s="56"/>
      <c r="AA32" s="56"/>
    </row>
    <row r="33" spans="1:27" ht="20" thickBot="1" x14ac:dyDescent="0.3">
      <c r="A33" s="56"/>
      <c r="B33" s="56"/>
      <c r="C33" s="114">
        <v>149.31769</v>
      </c>
      <c r="D33" s="115">
        <v>57.90643</v>
      </c>
      <c r="E33" s="116">
        <v>57.905970000000003</v>
      </c>
      <c r="F33" s="56"/>
      <c r="G33" s="56"/>
      <c r="H33" s="100">
        <v>4.7275999999999999E-2</v>
      </c>
      <c r="I33" s="79">
        <f>H33*$H$7</f>
        <v>29.665831828000002</v>
      </c>
      <c r="J33" s="79">
        <f>H33*$I$7</f>
        <v>124.123138</v>
      </c>
      <c r="K33" s="101">
        <f>H33*$F$7</f>
        <v>1.2864130532</v>
      </c>
      <c r="L33" s="81">
        <f>H33*$K$7</f>
        <v>2.0612335999999998E-19</v>
      </c>
      <c r="M33" s="56"/>
      <c r="N33" s="56"/>
      <c r="O33" s="88" t="s">
        <v>50</v>
      </c>
      <c r="P33" s="83">
        <v>2807650</v>
      </c>
      <c r="Q33" s="84">
        <v>6.4483420000000002</v>
      </c>
      <c r="R33" s="84">
        <v>14.847856999999999</v>
      </c>
      <c r="S33" s="56"/>
      <c r="T33" s="56"/>
      <c r="U33" s="56"/>
      <c r="V33" s="56"/>
      <c r="W33" s="56"/>
      <c r="X33" s="56"/>
      <c r="Y33" s="56"/>
      <c r="Z33" s="56"/>
      <c r="AA33" s="56"/>
    </row>
    <row r="34" spans="1:27" ht="19" x14ac:dyDescent="0.25">
      <c r="A34" s="56"/>
      <c r="B34" s="56"/>
      <c r="E34" s="56"/>
      <c r="F34" s="56"/>
      <c r="G34" s="56"/>
      <c r="M34" s="56"/>
      <c r="N34" s="56"/>
      <c r="O34" s="88" t="s">
        <v>52</v>
      </c>
      <c r="P34" s="83">
        <v>1237.99</v>
      </c>
      <c r="Q34" s="84">
        <v>3.0927180000000001</v>
      </c>
      <c r="R34" s="84">
        <v>7.1212460000000002</v>
      </c>
      <c r="S34" s="56"/>
      <c r="T34" s="56"/>
      <c r="U34" s="56"/>
      <c r="V34" s="56"/>
      <c r="W34" s="56"/>
      <c r="X34" s="56"/>
      <c r="Y34" s="56"/>
      <c r="Z34" s="56"/>
      <c r="AA34" s="56"/>
    </row>
    <row r="35" spans="1:27" ht="19" x14ac:dyDescent="0.25">
      <c r="A35" s="56"/>
      <c r="B35" s="56"/>
      <c r="E35" s="56"/>
      <c r="F35" s="56"/>
      <c r="H35" s="56"/>
      <c r="I35" s="56"/>
      <c r="J35" s="56"/>
      <c r="K35" s="56"/>
      <c r="L35" s="56"/>
      <c r="M35" s="56"/>
      <c r="N35" s="56"/>
      <c r="O35" s="88" t="s">
        <v>63</v>
      </c>
      <c r="P35" s="83">
        <v>1.7793E-10</v>
      </c>
      <c r="Q35" s="84">
        <v>-9.7497500000000006</v>
      </c>
      <c r="R35" s="84">
        <v>-22.449629000000002</v>
      </c>
      <c r="S35" s="56"/>
      <c r="T35" s="56"/>
      <c r="U35" s="56"/>
      <c r="V35" s="56"/>
      <c r="W35" s="56"/>
      <c r="X35" s="56"/>
      <c r="Y35" s="56"/>
      <c r="Z35" s="56"/>
      <c r="AA35" s="56"/>
    </row>
    <row r="36" spans="1:27" ht="20" thickBot="1" x14ac:dyDescent="0.3">
      <c r="A36" s="56"/>
      <c r="B36" s="56"/>
      <c r="C36" s="55" t="s">
        <v>64</v>
      </c>
      <c r="D36" s="56"/>
      <c r="E36" s="56"/>
      <c r="F36" s="56"/>
      <c r="H36" s="55" t="s">
        <v>65</v>
      </c>
      <c r="I36" s="56"/>
      <c r="J36" s="56"/>
      <c r="K36" s="56"/>
      <c r="L36" s="56"/>
      <c r="M36" s="56"/>
      <c r="N36" s="56"/>
      <c r="O36" s="88" t="s">
        <v>66</v>
      </c>
      <c r="P36" s="83">
        <v>8170980000</v>
      </c>
      <c r="Q36" s="84">
        <v>9.912274</v>
      </c>
      <c r="R36" s="84">
        <v>22.823854000000001</v>
      </c>
      <c r="S36" s="56"/>
      <c r="T36" s="56"/>
      <c r="U36" s="56"/>
      <c r="V36" s="56"/>
      <c r="W36" s="56"/>
      <c r="X36" s="56"/>
      <c r="Y36" s="56"/>
      <c r="Z36" s="56"/>
      <c r="AA36" s="56"/>
    </row>
    <row r="37" spans="1:27" ht="20" thickBot="1" x14ac:dyDescent="0.3">
      <c r="A37" s="56"/>
      <c r="B37" s="56"/>
      <c r="C37" s="117" t="s">
        <v>67</v>
      </c>
      <c r="D37" s="118">
        <v>112927.5</v>
      </c>
      <c r="E37" s="56"/>
      <c r="F37" s="56"/>
      <c r="H37" s="66" t="s">
        <v>40</v>
      </c>
      <c r="I37" s="67" t="s">
        <v>9</v>
      </c>
      <c r="J37" s="67" t="s">
        <v>10</v>
      </c>
      <c r="K37" s="69" t="s">
        <v>7</v>
      </c>
      <c r="L37" s="69" t="s">
        <v>12</v>
      </c>
      <c r="M37" s="56"/>
      <c r="N37" s="56"/>
      <c r="O37" s="88" t="s">
        <v>68</v>
      </c>
      <c r="P37" s="83">
        <v>2.5595299999999999E-20</v>
      </c>
      <c r="Q37" s="84">
        <v>-19.591840000000001</v>
      </c>
      <c r="R37" s="84">
        <v>-45.111879000000002</v>
      </c>
      <c r="S37" s="56"/>
      <c r="T37" s="56"/>
      <c r="U37" s="56"/>
      <c r="V37" s="56"/>
      <c r="W37" s="56"/>
      <c r="X37" s="56"/>
      <c r="Y37" s="56"/>
      <c r="Z37" s="56"/>
      <c r="AA37" s="56"/>
    </row>
    <row r="38" spans="1:27" ht="20" thickBot="1" x14ac:dyDescent="0.3">
      <c r="A38" s="56"/>
      <c r="B38" s="56"/>
      <c r="C38" s="119" t="s">
        <v>69</v>
      </c>
      <c r="D38" s="120">
        <v>26.99033</v>
      </c>
      <c r="E38" s="56"/>
      <c r="F38" s="56"/>
      <c r="H38" s="100">
        <v>2.1328E-2</v>
      </c>
      <c r="I38" s="79">
        <f>H38*$H$7</f>
        <v>13.383383984</v>
      </c>
      <c r="J38" s="79">
        <f>H38*$I$7</f>
        <v>55.996664000000003</v>
      </c>
      <c r="K38" s="101">
        <f>H38*$F$7</f>
        <v>0.58034980959999993</v>
      </c>
      <c r="L38" s="81">
        <f>H38*$K$7</f>
        <v>9.2990080000000002E-20</v>
      </c>
      <c r="M38" s="56"/>
      <c r="N38" s="56"/>
      <c r="O38" s="386" t="s">
        <v>70</v>
      </c>
      <c r="P38" s="387">
        <v>1.1754</v>
      </c>
      <c r="Q38" s="388">
        <v>7.0183999999999996E-2</v>
      </c>
      <c r="R38" s="388">
        <v>0.161604</v>
      </c>
      <c r="S38" s="56"/>
      <c r="T38" s="56"/>
      <c r="U38" s="56"/>
      <c r="V38" s="56"/>
      <c r="W38" s="56"/>
      <c r="X38" s="56"/>
      <c r="Y38" s="56"/>
      <c r="Z38" s="56"/>
      <c r="AA38" s="56"/>
    </row>
    <row r="39" spans="1:27" ht="19" x14ac:dyDescent="0.25">
      <c r="A39" s="56"/>
      <c r="B39" s="56"/>
      <c r="C39" s="56"/>
      <c r="D39" s="56"/>
      <c r="E39" s="56"/>
      <c r="F39" s="56"/>
      <c r="J39" s="56"/>
      <c r="K39" s="56"/>
      <c r="L39" s="56"/>
      <c r="M39" s="56"/>
      <c r="N39" s="56"/>
      <c r="O39" s="399" t="s">
        <v>164</v>
      </c>
      <c r="P39" s="400">
        <v>0.286055</v>
      </c>
      <c r="Q39" s="393">
        <v>-0.54354999999999998</v>
      </c>
      <c r="R39" s="394">
        <v>-1.2515689999999999</v>
      </c>
      <c r="S39" s="56"/>
      <c r="T39" s="56"/>
      <c r="U39" s="56"/>
      <c r="V39" s="56"/>
      <c r="W39" s="56"/>
      <c r="X39" s="56"/>
      <c r="Y39" s="56"/>
      <c r="Z39" s="56"/>
      <c r="AA39" s="56"/>
    </row>
    <row r="40" spans="1:27" ht="20" thickBot="1" x14ac:dyDescent="0.3">
      <c r="A40" s="56"/>
      <c r="B40" s="56"/>
      <c r="C40" s="56"/>
      <c r="D40" s="56"/>
      <c r="E40" s="56"/>
      <c r="F40" s="56"/>
      <c r="J40" s="56"/>
      <c r="K40" s="56"/>
      <c r="L40" s="56"/>
      <c r="M40" s="56"/>
      <c r="N40" s="56"/>
      <c r="O40" s="401" t="s">
        <v>165</v>
      </c>
      <c r="P40" s="402">
        <v>0.28598000000000001</v>
      </c>
      <c r="Q40" s="403">
        <v>-0.54366499999999995</v>
      </c>
      <c r="R40" s="404">
        <v>-1.2518339999999999</v>
      </c>
      <c r="S40" s="56"/>
      <c r="T40" s="56"/>
      <c r="U40" s="56"/>
      <c r="V40" s="56"/>
      <c r="W40" s="56"/>
      <c r="X40" s="56"/>
      <c r="Y40" s="56"/>
      <c r="Z40" s="56"/>
      <c r="AA40" s="56"/>
    </row>
    <row r="41" spans="1:27" ht="64" customHeight="1" thickBot="1" x14ac:dyDescent="0.3">
      <c r="A41" s="56"/>
      <c r="B41" s="56"/>
      <c r="D41" s="348" t="s">
        <v>71</v>
      </c>
      <c r="E41" s="124" t="s">
        <v>72</v>
      </c>
      <c r="F41" s="124" t="s">
        <v>73</v>
      </c>
      <c r="G41" s="349" t="s">
        <v>74</v>
      </c>
      <c r="I41" s="56"/>
      <c r="J41" s="56"/>
      <c r="K41" s="56"/>
      <c r="L41" s="56"/>
      <c r="M41" s="56"/>
      <c r="N41" s="56"/>
      <c r="O41" s="405" t="s">
        <v>166</v>
      </c>
      <c r="P41" s="402">
        <v>1.0760400000000001</v>
      </c>
      <c r="Q41" s="403">
        <v>3.1829999999999997E-2</v>
      </c>
      <c r="R41" s="404">
        <v>7.3291999999999996E-2</v>
      </c>
      <c r="S41" s="56"/>
      <c r="T41" s="56"/>
      <c r="U41" s="56"/>
      <c r="V41" s="56"/>
      <c r="W41" s="56"/>
      <c r="X41" s="56"/>
      <c r="Y41" s="56"/>
      <c r="Z41" s="56"/>
      <c r="AA41" s="56"/>
    </row>
    <row r="42" spans="1:27" ht="20" thickBot="1" x14ac:dyDescent="0.3">
      <c r="A42" s="56"/>
      <c r="B42" s="56"/>
      <c r="C42" s="195">
        <v>1</v>
      </c>
      <c r="D42" s="350" t="s">
        <v>134</v>
      </c>
      <c r="E42" s="345">
        <v>-1140.7194999999999</v>
      </c>
      <c r="F42" s="353">
        <f>E42*$L$9</f>
        <v>-34197972106349.996</v>
      </c>
      <c r="G42" s="345">
        <v>1.163</v>
      </c>
      <c r="H42" s="131"/>
      <c r="K42" s="56"/>
      <c r="L42" s="56"/>
      <c r="M42" s="56"/>
      <c r="N42" s="56"/>
      <c r="O42" s="406" t="s">
        <v>167</v>
      </c>
      <c r="P42" s="407">
        <v>1.0760099999999999</v>
      </c>
      <c r="Q42" s="396">
        <v>3.1815000000000003E-2</v>
      </c>
      <c r="R42" s="397">
        <v>7.3257000000000003E-2</v>
      </c>
      <c r="S42" s="56"/>
      <c r="T42" s="56"/>
      <c r="U42" s="56"/>
      <c r="V42" s="56"/>
      <c r="W42" s="56"/>
      <c r="X42" s="56"/>
      <c r="Y42" s="56"/>
      <c r="Z42" s="56"/>
      <c r="AA42" s="56"/>
    </row>
    <row r="43" spans="1:27" ht="19" x14ac:dyDescent="0.25">
      <c r="A43" s="56"/>
      <c r="B43" s="56"/>
      <c r="C43" s="202">
        <f>C42+1</f>
        <v>2</v>
      </c>
      <c r="D43" s="351">
        <v>794.92</v>
      </c>
      <c r="E43" s="346">
        <v>552.49559999999997</v>
      </c>
      <c r="F43" s="354">
        <f t="shared" ref="F43:F53" si="2">E43*$L$9</f>
        <v>16563431341080</v>
      </c>
      <c r="G43" s="346">
        <v>1.0457000000000001</v>
      </c>
      <c r="H43" s="131"/>
      <c r="K43" s="56"/>
      <c r="L43" s="56"/>
      <c r="M43" s="56"/>
      <c r="N43" s="56"/>
      <c r="O43" s="56"/>
      <c r="P43" s="56"/>
      <c r="Q43" s="56"/>
      <c r="R43" s="56"/>
      <c r="S43" s="56"/>
      <c r="T43" s="56"/>
      <c r="U43" s="56"/>
      <c r="V43" s="56"/>
      <c r="W43" s="56"/>
      <c r="X43" s="56"/>
      <c r="Y43" s="56"/>
      <c r="Z43" s="56"/>
      <c r="AA43" s="56"/>
    </row>
    <row r="44" spans="1:27" ht="20" thickBot="1" x14ac:dyDescent="0.3">
      <c r="A44" s="56"/>
      <c r="B44" s="56"/>
      <c r="C44" s="202">
        <f t="shared" ref="C44:C53" si="3">C43+1</f>
        <v>3</v>
      </c>
      <c r="D44" s="351">
        <v>795.05</v>
      </c>
      <c r="E44" s="346">
        <v>552.59130000000005</v>
      </c>
      <c r="F44" s="354">
        <f t="shared" si="2"/>
        <v>16566300360090.002</v>
      </c>
      <c r="G44" s="346">
        <v>1.0457000000000001</v>
      </c>
      <c r="H44" s="131"/>
      <c r="J44" s="137" t="s">
        <v>75</v>
      </c>
      <c r="M44" s="56"/>
      <c r="N44" s="56"/>
      <c r="O44" s="56"/>
      <c r="P44" s="56"/>
      <c r="Q44" s="56"/>
      <c r="R44" s="56"/>
      <c r="S44" s="56"/>
      <c r="T44" s="56"/>
      <c r="U44" s="56"/>
      <c r="V44" s="56"/>
      <c r="W44" s="56"/>
      <c r="X44" s="56"/>
      <c r="Y44" s="56"/>
      <c r="Z44" s="56"/>
      <c r="AA44" s="56"/>
    </row>
    <row r="45" spans="1:27" ht="20" thickBot="1" x14ac:dyDescent="0.3">
      <c r="A45" s="56"/>
      <c r="B45" s="56"/>
      <c r="C45" s="202">
        <f t="shared" si="3"/>
        <v>4</v>
      </c>
      <c r="D45" s="351">
        <v>1561.93</v>
      </c>
      <c r="E45" s="346">
        <v>1085.6002000000001</v>
      </c>
      <c r="F45" s="354">
        <f t="shared" si="2"/>
        <v>32545534075860.004</v>
      </c>
      <c r="G45" s="346">
        <v>1.0785</v>
      </c>
      <c r="H45" s="131"/>
      <c r="J45" s="138">
        <v>1</v>
      </c>
      <c r="K45" s="139">
        <f>J45+1</f>
        <v>2</v>
      </c>
      <c r="L45" s="140">
        <f>K45+1</f>
        <v>3</v>
      </c>
      <c r="M45" s="140">
        <f t="shared" ref="M45:N45" si="4">L45+1</f>
        <v>4</v>
      </c>
      <c r="N45" s="140">
        <f t="shared" si="4"/>
        <v>5</v>
      </c>
      <c r="O45" s="56"/>
      <c r="P45" s="56"/>
      <c r="Q45" s="56"/>
      <c r="R45" s="56"/>
      <c r="S45" s="56"/>
      <c r="T45" s="56"/>
      <c r="U45" s="56"/>
      <c r="V45" s="56"/>
      <c r="W45" s="56"/>
      <c r="X45" s="56"/>
      <c r="Y45" s="56"/>
      <c r="Z45" s="56"/>
      <c r="AA45" s="56"/>
    </row>
    <row r="46" spans="1:27" ht="20" thickBot="1" x14ac:dyDescent="0.3">
      <c r="A46" s="56"/>
      <c r="B46" s="56"/>
      <c r="C46" s="202">
        <f t="shared" si="3"/>
        <v>5</v>
      </c>
      <c r="D46" s="351">
        <v>1676.23</v>
      </c>
      <c r="E46" s="346">
        <v>1165.0386000000001</v>
      </c>
      <c r="F46" s="354">
        <f t="shared" si="2"/>
        <v>34927041700980.004</v>
      </c>
      <c r="G46" s="346">
        <v>1.0489999999999999</v>
      </c>
      <c r="H46" s="131"/>
      <c r="J46" s="141">
        <v>-41.009557727900003</v>
      </c>
      <c r="K46" s="142">
        <v>-41.009480150900004</v>
      </c>
      <c r="L46" s="143">
        <v>-41.009478674100002</v>
      </c>
      <c r="M46" s="120">
        <v>-41.009478704899998</v>
      </c>
      <c r="N46" s="120">
        <v>-41.009478704899998</v>
      </c>
      <c r="O46" s="56"/>
      <c r="P46" s="56"/>
      <c r="Q46" s="56"/>
      <c r="R46" s="56"/>
      <c r="S46" s="56"/>
      <c r="T46" s="56"/>
      <c r="U46" s="56"/>
      <c r="V46" s="56"/>
      <c r="W46" s="56"/>
      <c r="X46" s="56"/>
      <c r="Y46" s="56"/>
      <c r="Z46" s="56"/>
      <c r="AA46" s="56"/>
    </row>
    <row r="47" spans="1:27" ht="19" x14ac:dyDescent="0.25">
      <c r="A47" s="56"/>
      <c r="B47" s="56"/>
      <c r="C47" s="202">
        <f t="shared" si="3"/>
        <v>6</v>
      </c>
      <c r="D47" s="351">
        <v>1676.3</v>
      </c>
      <c r="E47" s="346">
        <v>1165.0862</v>
      </c>
      <c r="F47" s="354">
        <f t="shared" si="2"/>
        <v>34928468715660</v>
      </c>
      <c r="G47" s="346">
        <v>1.0490999999999999</v>
      </c>
      <c r="H47" s="131"/>
      <c r="K47" s="56"/>
      <c r="L47" s="56"/>
      <c r="M47" s="56"/>
      <c r="N47" s="56"/>
      <c r="O47" s="56"/>
      <c r="P47" s="56"/>
      <c r="Q47" s="56"/>
      <c r="R47" s="56"/>
      <c r="S47" s="56"/>
      <c r="T47" s="56"/>
      <c r="U47" s="56"/>
      <c r="V47" s="56"/>
      <c r="W47" s="56"/>
      <c r="X47" s="56"/>
      <c r="Y47" s="56"/>
      <c r="Z47" s="56"/>
      <c r="AA47" s="56"/>
    </row>
    <row r="48" spans="1:27" ht="19" x14ac:dyDescent="0.25">
      <c r="A48" s="56"/>
      <c r="B48" s="56"/>
      <c r="C48" s="202">
        <f t="shared" si="3"/>
        <v>7</v>
      </c>
      <c r="D48" s="351">
        <v>2081.2800000000002</v>
      </c>
      <c r="E48" s="346">
        <v>1446.5668000000001</v>
      </c>
      <c r="F48" s="354">
        <f t="shared" si="2"/>
        <v>43367060067240</v>
      </c>
      <c r="G48" s="346">
        <v>1.0751999999999999</v>
      </c>
      <c r="H48" s="131"/>
      <c r="O48" s="56"/>
      <c r="P48" s="56"/>
      <c r="Q48" s="56"/>
      <c r="R48" s="56"/>
      <c r="S48" s="56"/>
      <c r="T48" s="56"/>
      <c r="U48" s="56"/>
      <c r="V48" s="56"/>
      <c r="W48" s="56"/>
      <c r="X48" s="56"/>
      <c r="Y48" s="56"/>
      <c r="Z48" s="56"/>
      <c r="AA48" s="56"/>
    </row>
    <row r="49" spans="1:27" ht="19" x14ac:dyDescent="0.25">
      <c r="A49" s="56"/>
      <c r="B49" s="56"/>
      <c r="C49" s="202">
        <f t="shared" si="3"/>
        <v>8</v>
      </c>
      <c r="D49" s="351">
        <v>2081.7199999999998</v>
      </c>
      <c r="E49" s="346">
        <v>1446.8696</v>
      </c>
      <c r="F49" s="354">
        <f t="shared" si="2"/>
        <v>43376137799280</v>
      </c>
      <c r="G49" s="346">
        <v>1.0751999999999999</v>
      </c>
      <c r="H49" s="131"/>
      <c r="K49" s="56"/>
      <c r="L49" s="56"/>
      <c r="M49" s="56"/>
      <c r="N49" s="56"/>
      <c r="O49" s="56"/>
      <c r="P49" s="56"/>
      <c r="Q49" s="56"/>
      <c r="R49" s="56"/>
      <c r="S49" s="56"/>
      <c r="T49" s="56"/>
      <c r="U49" s="56"/>
      <c r="V49" s="56"/>
      <c r="W49" s="56"/>
      <c r="X49" s="56"/>
      <c r="Y49" s="56"/>
      <c r="Z49" s="56"/>
      <c r="AA49" s="56"/>
    </row>
    <row r="50" spans="1:27" ht="19" x14ac:dyDescent="0.25">
      <c r="A50" s="56"/>
      <c r="B50" s="56"/>
      <c r="C50" s="202">
        <f t="shared" si="3"/>
        <v>9</v>
      </c>
      <c r="D50" s="351">
        <v>2721.86</v>
      </c>
      <c r="E50" s="346">
        <v>1891.7905000000001</v>
      </c>
      <c r="F50" s="354">
        <f t="shared" si="2"/>
        <v>56714554936650</v>
      </c>
      <c r="G50" s="346">
        <v>1.0751999999999999</v>
      </c>
      <c r="H50" s="131"/>
      <c r="K50" s="56"/>
      <c r="L50" s="56"/>
      <c r="M50" s="56"/>
      <c r="N50" s="56"/>
      <c r="O50" s="56"/>
      <c r="P50" s="56"/>
      <c r="Q50" s="56"/>
      <c r="R50" s="56"/>
      <c r="S50" s="56"/>
      <c r="T50" s="56"/>
      <c r="U50" s="56"/>
      <c r="V50" s="56"/>
      <c r="W50" s="56"/>
      <c r="X50" s="56"/>
      <c r="Y50" s="56"/>
      <c r="Z50" s="56"/>
      <c r="AA50" s="56"/>
    </row>
    <row r="51" spans="1:27" ht="19" x14ac:dyDescent="0.25">
      <c r="A51" s="56"/>
      <c r="B51" s="56"/>
      <c r="C51" s="202">
        <f t="shared" si="3"/>
        <v>10</v>
      </c>
      <c r="D51" s="351">
        <v>4449.4399999999996</v>
      </c>
      <c r="E51" s="346">
        <v>3092.5176000000001</v>
      </c>
      <c r="F51" s="354">
        <f t="shared" si="2"/>
        <v>92711512885680</v>
      </c>
      <c r="G51" s="346">
        <v>1.0173000000000001</v>
      </c>
      <c r="H51" s="56"/>
      <c r="K51" s="56"/>
      <c r="L51" s="56"/>
      <c r="M51" s="56"/>
      <c r="N51" s="56"/>
      <c r="O51" s="56"/>
      <c r="P51" s="56"/>
      <c r="Q51" s="56"/>
      <c r="R51" s="56"/>
      <c r="S51" s="56"/>
      <c r="T51" s="56"/>
      <c r="U51" s="56"/>
      <c r="V51" s="56"/>
      <c r="W51" s="56"/>
      <c r="X51" s="56"/>
      <c r="Y51" s="56"/>
      <c r="Z51" s="56"/>
      <c r="AA51" s="56"/>
    </row>
    <row r="52" spans="1:27" ht="19" x14ac:dyDescent="0.25">
      <c r="A52" s="56"/>
      <c r="B52" s="56"/>
      <c r="C52" s="202">
        <f t="shared" si="3"/>
        <v>11</v>
      </c>
      <c r="D52" s="351">
        <v>4662.58</v>
      </c>
      <c r="E52" s="346">
        <v>3240.6569</v>
      </c>
      <c r="F52" s="354">
        <f t="shared" si="2"/>
        <v>97152625402170</v>
      </c>
      <c r="G52" s="346">
        <v>1.1123000000000001</v>
      </c>
      <c r="H52" s="56"/>
      <c r="I52" s="56"/>
      <c r="J52" s="56"/>
      <c r="K52" s="56"/>
      <c r="L52" s="56"/>
      <c r="M52" s="56"/>
      <c r="N52" s="56"/>
      <c r="O52" s="56"/>
      <c r="P52" s="56"/>
      <c r="Q52" s="56"/>
      <c r="R52" s="56"/>
      <c r="S52" s="56"/>
      <c r="T52" s="56"/>
      <c r="U52" s="56"/>
      <c r="V52" s="56"/>
      <c r="W52" s="56"/>
      <c r="X52" s="56"/>
      <c r="Y52" s="56"/>
      <c r="Z52" s="56"/>
      <c r="AA52" s="56"/>
    </row>
    <row r="53" spans="1:27" ht="20" thickBot="1" x14ac:dyDescent="0.3">
      <c r="C53" s="205">
        <f t="shared" si="3"/>
        <v>12</v>
      </c>
      <c r="D53" s="352">
        <v>4662.78</v>
      </c>
      <c r="E53" s="347">
        <v>3240.7968000000001</v>
      </c>
      <c r="F53" s="355">
        <f t="shared" si="2"/>
        <v>97156819506240</v>
      </c>
      <c r="G53" s="347">
        <v>1.1123000000000001</v>
      </c>
      <c r="W53" s="56"/>
      <c r="X53" s="56"/>
      <c r="Y53" s="56"/>
      <c r="Z53" s="56"/>
      <c r="AA53" s="56"/>
    </row>
    <row r="54" spans="1:27" ht="34" thickBot="1" x14ac:dyDescent="0.5">
      <c r="A54" s="471" t="s">
        <v>138</v>
      </c>
      <c r="B54" s="471"/>
      <c r="C54" s="471"/>
      <c r="D54" s="471"/>
      <c r="E54" s="471"/>
      <c r="F54" s="471"/>
      <c r="G54" s="471"/>
      <c r="H54" s="471"/>
      <c r="I54" s="471"/>
      <c r="J54" s="471"/>
      <c r="K54" s="471"/>
      <c r="L54" s="471"/>
      <c r="M54" s="471"/>
      <c r="N54" s="471"/>
      <c r="O54" s="471"/>
      <c r="P54" s="471"/>
      <c r="Q54" s="471"/>
      <c r="R54" s="471"/>
      <c r="S54" s="471"/>
      <c r="T54" s="471"/>
      <c r="U54" s="471"/>
      <c r="V54" s="471"/>
      <c r="W54" s="56"/>
      <c r="X54" s="56"/>
      <c r="Y54" s="56"/>
      <c r="Z54" s="56"/>
      <c r="AA54" s="56"/>
    </row>
    <row r="55" spans="1:27" ht="20" thickTop="1" x14ac:dyDescent="0.25">
      <c r="A55" s="56"/>
      <c r="B55" s="56"/>
      <c r="C55" s="56"/>
      <c r="D55" s="56"/>
      <c r="E55" s="56"/>
      <c r="F55" s="56" t="s">
        <v>77</v>
      </c>
      <c r="G55" s="56"/>
      <c r="H55" s="56"/>
      <c r="I55" s="56"/>
      <c r="J55" s="56"/>
      <c r="K55" s="56"/>
      <c r="L55" s="56"/>
      <c r="M55" s="56"/>
      <c r="N55" s="56"/>
      <c r="O55" s="56"/>
      <c r="Q55" s="56"/>
      <c r="R55" s="56"/>
      <c r="S55" s="56"/>
      <c r="T55" s="56"/>
      <c r="U55" s="56"/>
      <c r="V55" s="56"/>
      <c r="W55" s="56"/>
      <c r="X55" s="56"/>
      <c r="Y55" s="56"/>
      <c r="Z55" s="56"/>
      <c r="AA55" s="56"/>
    </row>
    <row r="56" spans="1:27" ht="27" x14ac:dyDescent="0.35">
      <c r="B56" s="56"/>
      <c r="C56" s="149" t="s">
        <v>78</v>
      </c>
      <c r="D56" s="150"/>
      <c r="E56" s="56"/>
      <c r="F56" s="56"/>
      <c r="G56" s="56"/>
      <c r="H56" s="56"/>
      <c r="I56" s="56"/>
      <c r="J56" s="56"/>
      <c r="K56" s="56"/>
      <c r="L56" s="56"/>
      <c r="M56" s="56"/>
      <c r="N56" s="56"/>
      <c r="O56" s="56"/>
      <c r="Q56" s="56"/>
      <c r="R56" s="56"/>
      <c r="S56" s="56"/>
      <c r="T56" s="56"/>
      <c r="U56" s="56"/>
      <c r="V56" s="56"/>
      <c r="W56" s="56"/>
      <c r="X56" s="56"/>
      <c r="Y56" s="56"/>
      <c r="Z56" s="56"/>
      <c r="AA56" s="56"/>
    </row>
    <row r="57" spans="1:27" ht="19" x14ac:dyDescent="0.25">
      <c r="B57" s="56"/>
      <c r="C57" s="56"/>
      <c r="D57" s="56"/>
      <c r="E57" s="56"/>
      <c r="F57" s="56"/>
      <c r="G57" s="56"/>
      <c r="H57" s="56"/>
      <c r="I57" s="56"/>
      <c r="J57" s="56"/>
      <c r="K57" s="56"/>
      <c r="L57" s="56"/>
      <c r="M57" s="56"/>
      <c r="N57" s="56"/>
      <c r="O57" s="56"/>
      <c r="Q57" s="56"/>
      <c r="R57" s="56"/>
      <c r="S57" s="56"/>
      <c r="T57" s="56"/>
      <c r="U57" s="56"/>
      <c r="V57" s="56"/>
      <c r="W57" s="56"/>
      <c r="X57" s="56"/>
      <c r="Y57" s="56"/>
      <c r="Z57" s="56"/>
      <c r="AA57" s="56"/>
    </row>
    <row r="58" spans="1:27" ht="19" x14ac:dyDescent="0.25">
      <c r="B58" s="56"/>
      <c r="C58" s="56"/>
      <c r="D58" s="56"/>
      <c r="E58" s="56"/>
      <c r="F58" s="56"/>
      <c r="G58" s="56"/>
      <c r="H58" s="56"/>
      <c r="I58" s="56"/>
      <c r="J58" s="56"/>
      <c r="K58" s="56"/>
      <c r="L58" s="56"/>
      <c r="M58" s="56"/>
      <c r="N58" s="56"/>
      <c r="O58" s="56"/>
      <c r="Q58" s="56"/>
      <c r="R58" s="56"/>
      <c r="S58" s="56"/>
      <c r="T58" s="56"/>
      <c r="U58" s="56"/>
      <c r="V58" s="56"/>
      <c r="W58" s="56"/>
      <c r="X58" s="56"/>
      <c r="Y58" s="56"/>
      <c r="Z58" s="56"/>
      <c r="AA58" s="56"/>
    </row>
    <row r="59" spans="1:27" ht="19" x14ac:dyDescent="0.25">
      <c r="B59" s="56"/>
      <c r="D59" s="56"/>
      <c r="E59" s="56"/>
      <c r="F59" s="56"/>
      <c r="G59" s="56"/>
      <c r="H59" s="56"/>
      <c r="I59" s="56"/>
      <c r="J59" s="56"/>
      <c r="K59" s="56"/>
      <c r="L59" s="56"/>
      <c r="M59" s="56"/>
      <c r="N59" s="56"/>
      <c r="O59" s="56"/>
      <c r="Q59" s="56"/>
      <c r="R59" s="56"/>
      <c r="S59" s="56"/>
      <c r="T59" s="56"/>
      <c r="U59" s="56"/>
      <c r="V59" s="56"/>
      <c r="W59" s="56"/>
      <c r="X59" s="56"/>
      <c r="Y59" s="56"/>
      <c r="Z59" s="56"/>
      <c r="AA59" s="56"/>
    </row>
    <row r="60" spans="1:27" ht="19" x14ac:dyDescent="0.25">
      <c r="B60" s="56"/>
      <c r="C60" s="56"/>
      <c r="D60" s="56"/>
      <c r="E60" s="56"/>
      <c r="F60" s="56"/>
      <c r="G60" s="56"/>
      <c r="H60" s="56"/>
      <c r="I60" s="56"/>
      <c r="J60" s="56"/>
      <c r="K60" s="56"/>
      <c r="L60" s="56"/>
      <c r="M60" s="56"/>
      <c r="N60" s="56"/>
      <c r="O60" s="56"/>
      <c r="Q60" s="56"/>
      <c r="R60" s="56"/>
      <c r="S60" s="56"/>
      <c r="T60" s="56"/>
      <c r="U60" s="56"/>
      <c r="V60" s="56"/>
      <c r="W60" s="56"/>
      <c r="X60" s="56"/>
      <c r="Y60" s="56"/>
      <c r="Z60" s="56"/>
      <c r="AA60" s="56"/>
    </row>
    <row r="61" spans="1:27" ht="19" x14ac:dyDescent="0.25">
      <c r="B61" s="56"/>
      <c r="C61" s="56"/>
      <c r="D61" s="56"/>
      <c r="E61" s="56"/>
      <c r="F61" s="56"/>
      <c r="G61" s="56"/>
      <c r="H61" s="56"/>
      <c r="I61" s="56"/>
      <c r="J61" s="56"/>
      <c r="K61" s="56"/>
      <c r="L61" s="56"/>
      <c r="M61" s="56"/>
      <c r="N61" s="56"/>
      <c r="O61" s="56"/>
      <c r="Q61" s="56"/>
      <c r="R61" s="56"/>
      <c r="S61" s="56"/>
      <c r="T61" s="56"/>
      <c r="U61" s="56"/>
      <c r="V61" s="56"/>
      <c r="W61" s="56"/>
      <c r="X61" s="56"/>
      <c r="Y61" s="56"/>
      <c r="Z61" s="56"/>
      <c r="AA61" s="56"/>
    </row>
    <row r="62" spans="1:27" ht="19" x14ac:dyDescent="0.25">
      <c r="B62" s="56"/>
      <c r="C62" s="56"/>
      <c r="D62" s="56"/>
      <c r="E62" s="56"/>
      <c r="F62" s="56"/>
      <c r="G62" s="56"/>
      <c r="H62" s="56"/>
      <c r="I62" s="56"/>
      <c r="J62" s="56"/>
      <c r="K62" s="56"/>
      <c r="L62" s="56"/>
      <c r="M62" s="56"/>
      <c r="N62" s="56"/>
      <c r="O62" s="56"/>
      <c r="Q62" s="56"/>
      <c r="R62" s="56"/>
      <c r="S62" s="56"/>
      <c r="T62" s="56"/>
      <c r="U62" s="56"/>
      <c r="V62" s="56"/>
      <c r="W62" s="56"/>
      <c r="X62" s="56"/>
      <c r="Y62" s="56"/>
      <c r="Z62" s="56"/>
      <c r="AA62" s="56"/>
    </row>
    <row r="63" spans="1:27" ht="20" thickBot="1" x14ac:dyDescent="0.3">
      <c r="B63" s="56"/>
      <c r="C63" s="56"/>
      <c r="D63" s="56"/>
      <c r="E63" s="56"/>
      <c r="F63" s="56"/>
      <c r="G63" s="56"/>
      <c r="H63" s="56"/>
      <c r="I63" s="56"/>
      <c r="J63" s="56"/>
      <c r="K63" s="56"/>
      <c r="L63" s="56"/>
      <c r="M63" s="56"/>
      <c r="N63" s="56"/>
      <c r="O63" s="56"/>
      <c r="Q63" s="56"/>
      <c r="R63" s="56"/>
      <c r="S63" s="56"/>
      <c r="T63" s="56"/>
      <c r="U63" s="56"/>
      <c r="V63" s="56"/>
      <c r="W63" s="56"/>
      <c r="X63" s="56"/>
      <c r="Y63" s="56"/>
      <c r="Z63" s="56"/>
      <c r="AA63" s="56"/>
    </row>
    <row r="64" spans="1:27" ht="30" customHeight="1" thickBot="1" x14ac:dyDescent="0.35">
      <c r="B64" s="56"/>
      <c r="C64" s="181" t="s">
        <v>79</v>
      </c>
      <c r="D64" s="302" t="s">
        <v>80</v>
      </c>
      <c r="E64" s="181" t="s">
        <v>81</v>
      </c>
      <c r="F64" s="56"/>
      <c r="G64" s="56"/>
      <c r="H64" s="153" t="s">
        <v>169</v>
      </c>
      <c r="I64" s="154"/>
      <c r="J64" s="154"/>
      <c r="K64" s="154"/>
      <c r="L64" s="154"/>
      <c r="M64" s="154"/>
      <c r="N64" s="154"/>
      <c r="O64" s="56"/>
      <c r="Q64" s="56"/>
      <c r="R64" s="56"/>
      <c r="S64" s="56"/>
      <c r="T64" s="56"/>
      <c r="U64" s="56"/>
      <c r="V64" s="56"/>
      <c r="W64" s="56"/>
      <c r="X64" s="56"/>
      <c r="Y64" s="56"/>
      <c r="Z64" s="56"/>
      <c r="AA64" s="56"/>
    </row>
    <row r="65" spans="2:27" ht="20" thickBot="1" x14ac:dyDescent="0.3">
      <c r="B65" s="56"/>
      <c r="C65" s="97">
        <v>298.14999999999998</v>
      </c>
      <c r="D65" s="303">
        <f t="shared" ref="D65:D83" si="5">C65*$B$8/$B$16</f>
        <v>4.0625788058228471E-26</v>
      </c>
      <c r="E65" s="240">
        <f xml:space="preserve"> (2*PI()*$A$28*$U$9*$B$8*C65/($B$14^2))^(3/2)*D65</f>
        <v>2763215.8317357707</v>
      </c>
      <c r="F65" s="158"/>
      <c r="G65" s="56"/>
      <c r="H65" s="56"/>
      <c r="I65" s="56"/>
      <c r="J65" s="56"/>
      <c r="K65" s="56"/>
      <c r="L65" s="56"/>
      <c r="M65" s="56"/>
      <c r="N65" s="56"/>
      <c r="O65" s="56"/>
      <c r="Q65" s="56"/>
      <c r="R65" s="56"/>
      <c r="S65" s="56"/>
      <c r="T65" s="56"/>
      <c r="U65" s="56"/>
      <c r="V65" s="56"/>
      <c r="W65" s="56"/>
      <c r="X65" s="56"/>
      <c r="Y65" s="56"/>
      <c r="Z65" s="56"/>
      <c r="AA65" s="56"/>
    </row>
    <row r="66" spans="2:27" ht="20" thickBot="1" x14ac:dyDescent="0.3">
      <c r="B66" s="56"/>
      <c r="C66" s="155">
        <v>300</v>
      </c>
      <c r="D66" s="156">
        <f t="shared" si="5"/>
        <v>4.0877868245743891E-26</v>
      </c>
      <c r="E66" s="157">
        <f xml:space="preserve"> (2*PI()*$A$28*$U$9*$B$8*C66/($B$14^2))^(3/2)*D66</f>
        <v>2806279.4183435072</v>
      </c>
      <c r="F66" s="56"/>
      <c r="G66" s="56"/>
      <c r="L66" s="151" t="s">
        <v>170</v>
      </c>
      <c r="M66" s="56"/>
      <c r="N66" s="56"/>
      <c r="O66" s="56"/>
      <c r="Q66" s="56"/>
      <c r="R66" s="56"/>
      <c r="S66" s="56"/>
      <c r="T66" s="56"/>
      <c r="U66" s="56"/>
      <c r="V66" s="56"/>
      <c r="W66" s="56"/>
      <c r="X66" s="56"/>
      <c r="Y66" s="56"/>
      <c r="Z66" s="56"/>
      <c r="AA66" s="56"/>
    </row>
    <row r="67" spans="2:27" ht="19" x14ac:dyDescent="0.25">
      <c r="B67" s="56"/>
      <c r="C67" s="159">
        <f>C66+100</f>
        <v>400</v>
      </c>
      <c r="D67" s="160">
        <f t="shared" si="5"/>
        <v>5.4503824327658529E-26</v>
      </c>
      <c r="E67" s="161">
        <f t="shared" ref="E67:E83" si="6" xml:space="preserve"> (2*PI()*$A$28*$U$9*$B$8*C67/($B$14^2))^(3/2)*D67</f>
        <v>5760733.0759179452</v>
      </c>
      <c r="F67" s="56"/>
      <c r="G67" s="56"/>
      <c r="K67" s="162" t="s">
        <v>84</v>
      </c>
      <c r="L67" s="129">
        <f>$E$66</f>
        <v>2806279.4183435072</v>
      </c>
      <c r="M67" s="56"/>
      <c r="N67" s="56"/>
      <c r="O67" s="56"/>
      <c r="Q67" s="56"/>
      <c r="R67" s="56"/>
      <c r="S67" s="56"/>
      <c r="T67" s="56"/>
      <c r="U67" s="56"/>
      <c r="V67" s="56"/>
      <c r="W67" s="56"/>
      <c r="X67" s="56"/>
      <c r="Y67" s="56"/>
      <c r="Z67" s="56"/>
      <c r="AA67" s="56"/>
    </row>
    <row r="68" spans="2:27" ht="20" thickBot="1" x14ac:dyDescent="0.3">
      <c r="B68" s="56"/>
      <c r="C68" s="159">
        <f t="shared" ref="C68:C83" si="7">C67+100</f>
        <v>500</v>
      </c>
      <c r="D68" s="160">
        <f t="shared" si="5"/>
        <v>6.812978040957315E-26</v>
      </c>
      <c r="E68" s="161">
        <f t="shared" si="6"/>
        <v>10063586.529674899</v>
      </c>
      <c r="F68" s="56"/>
      <c r="G68" s="56"/>
      <c r="K68" s="163" t="s">
        <v>85</v>
      </c>
      <c r="L68" s="147">
        <f>P33</f>
        <v>2807650</v>
      </c>
      <c r="M68" s="56"/>
      <c r="N68" s="56"/>
      <c r="O68" s="56"/>
      <c r="Q68" s="56"/>
      <c r="R68" s="56"/>
      <c r="S68" s="56"/>
      <c r="T68" s="56"/>
      <c r="U68" s="56"/>
      <c r="V68" s="56"/>
      <c r="W68" s="56"/>
      <c r="X68" s="56"/>
      <c r="Y68" s="56"/>
      <c r="Z68" s="56"/>
      <c r="AA68" s="56"/>
    </row>
    <row r="69" spans="2:27" ht="22" x14ac:dyDescent="0.3">
      <c r="B69" s="56"/>
      <c r="C69" s="159">
        <f t="shared" si="7"/>
        <v>600</v>
      </c>
      <c r="D69" s="160">
        <f t="shared" si="5"/>
        <v>8.1755736491487783E-26</v>
      </c>
      <c r="E69" s="161">
        <f t="shared" si="6"/>
        <v>15874713.65291952</v>
      </c>
      <c r="F69" s="56"/>
      <c r="G69" s="56"/>
      <c r="H69" s="56"/>
      <c r="I69" s="56"/>
      <c r="K69" s="164" t="s">
        <v>86</v>
      </c>
      <c r="L69" s="165">
        <f>ABS(L67-L68)/L67</f>
        <v>4.8839814294109345E-4</v>
      </c>
      <c r="M69" s="56"/>
      <c r="N69" s="56"/>
      <c r="O69" s="56"/>
      <c r="Q69" s="56"/>
      <c r="R69" s="56"/>
      <c r="S69" s="56"/>
      <c r="T69" s="56"/>
      <c r="U69" s="56"/>
      <c r="V69" s="56"/>
      <c r="W69" s="56"/>
      <c r="X69" s="56"/>
      <c r="Y69" s="56"/>
      <c r="Z69" s="56"/>
      <c r="AA69" s="56"/>
    </row>
    <row r="70" spans="2:27" ht="19" x14ac:dyDescent="0.25">
      <c r="B70" s="56"/>
      <c r="C70" s="159">
        <f t="shared" si="7"/>
        <v>700</v>
      </c>
      <c r="D70" s="160">
        <f t="shared" si="5"/>
        <v>9.5381692573402415E-26</v>
      </c>
      <c r="E70" s="161">
        <f t="shared" si="6"/>
        <v>23338496.478963908</v>
      </c>
      <c r="F70" s="56"/>
      <c r="G70" s="56"/>
      <c r="Q70" s="56"/>
      <c r="R70" s="56"/>
      <c r="S70" s="56"/>
      <c r="T70" s="56"/>
      <c r="U70" s="56"/>
      <c r="V70" s="56"/>
      <c r="W70" s="56"/>
      <c r="X70" s="56"/>
      <c r="Y70" s="56"/>
      <c r="Z70" s="56"/>
      <c r="AA70" s="56"/>
    </row>
    <row r="71" spans="2:27" ht="19" x14ac:dyDescent="0.25">
      <c r="B71" s="56"/>
      <c r="C71" s="159">
        <f t="shared" si="7"/>
        <v>800</v>
      </c>
      <c r="D71" s="160">
        <f t="shared" si="5"/>
        <v>1.0900764865531706E-25</v>
      </c>
      <c r="E71" s="161">
        <f t="shared" si="6"/>
        <v>32587627.380697835</v>
      </c>
      <c r="F71" s="56"/>
      <c r="G71" s="56"/>
      <c r="Q71" s="56"/>
      <c r="R71" s="56"/>
      <c r="S71" s="56"/>
      <c r="T71" s="56"/>
      <c r="U71" s="56"/>
      <c r="V71" s="56"/>
      <c r="W71" s="56"/>
      <c r="X71" s="56"/>
      <c r="Y71" s="56"/>
      <c r="Z71" s="56"/>
      <c r="AA71" s="56"/>
    </row>
    <row r="72" spans="2:27" ht="19" x14ac:dyDescent="0.25">
      <c r="B72" s="56"/>
      <c r="C72" s="159">
        <f t="shared" si="7"/>
        <v>900</v>
      </c>
      <c r="D72" s="160">
        <f t="shared" si="5"/>
        <v>1.2263360473723168E-25</v>
      </c>
      <c r="E72" s="161">
        <f t="shared" si="6"/>
        <v>43745566.795251966</v>
      </c>
      <c r="F72" s="56"/>
      <c r="G72" s="56"/>
      <c r="Q72" s="56"/>
      <c r="R72" s="56"/>
      <c r="S72" s="56"/>
      <c r="T72" s="56"/>
      <c r="U72" s="56"/>
      <c r="V72" s="56"/>
      <c r="W72" s="56"/>
      <c r="X72" s="56"/>
      <c r="Y72" s="56"/>
      <c r="Z72" s="56"/>
      <c r="AA72" s="56"/>
    </row>
    <row r="73" spans="2:27" ht="19" x14ac:dyDescent="0.25">
      <c r="C73" s="159">
        <f t="shared" si="7"/>
        <v>1000</v>
      </c>
      <c r="D73" s="160">
        <f t="shared" si="5"/>
        <v>1.362595608191463E-25</v>
      </c>
      <c r="E73" s="161">
        <f t="shared" si="6"/>
        <v>56928242.225525893</v>
      </c>
    </row>
    <row r="74" spans="2:27" ht="19" x14ac:dyDescent="0.25">
      <c r="C74" s="159">
        <f t="shared" si="7"/>
        <v>1100</v>
      </c>
      <c r="D74" s="160">
        <f t="shared" si="5"/>
        <v>1.4988551690106094E-25</v>
      </c>
      <c r="E74" s="161">
        <f t="shared" si="6"/>
        <v>72245281.429855764</v>
      </c>
    </row>
    <row r="75" spans="2:27" ht="19" x14ac:dyDescent="0.25">
      <c r="C75" s="159">
        <f t="shared" si="7"/>
        <v>1200</v>
      </c>
      <c r="D75" s="160">
        <f t="shared" si="5"/>
        <v>1.6351147298297557E-25</v>
      </c>
      <c r="E75" s="161">
        <f t="shared" si="6"/>
        <v>89800941.386991456</v>
      </c>
    </row>
    <row r="76" spans="2:27" ht="19" x14ac:dyDescent="0.25">
      <c r="C76" s="159">
        <f t="shared" si="7"/>
        <v>1300</v>
      </c>
      <c r="D76" s="160">
        <f t="shared" si="5"/>
        <v>1.7713742906489019E-25</v>
      </c>
      <c r="E76" s="161">
        <f t="shared" si="6"/>
        <v>109694828.89758618</v>
      </c>
    </row>
    <row r="77" spans="2:27" ht="19" x14ac:dyDescent="0.25">
      <c r="C77" s="159">
        <f t="shared" si="7"/>
        <v>1400</v>
      </c>
      <c r="D77" s="160">
        <f t="shared" si="5"/>
        <v>1.9076338514680483E-25</v>
      </c>
      <c r="E77" s="161">
        <f t="shared" si="6"/>
        <v>132022472.98379029</v>
      </c>
    </row>
    <row r="78" spans="2:27" ht="19" x14ac:dyDescent="0.25">
      <c r="C78" s="159">
        <f t="shared" si="7"/>
        <v>1500</v>
      </c>
      <c r="D78" s="160">
        <f t="shared" si="5"/>
        <v>2.043893412287195E-25</v>
      </c>
      <c r="E78" s="161">
        <f t="shared" si="6"/>
        <v>156875788.58186588</v>
      </c>
    </row>
    <row r="79" spans="2:27" ht="19" x14ac:dyDescent="0.25">
      <c r="C79" s="159">
        <f t="shared" si="7"/>
        <v>1600</v>
      </c>
      <c r="D79" s="160">
        <f t="shared" si="5"/>
        <v>2.1801529731063412E-25</v>
      </c>
      <c r="E79" s="161">
        <f t="shared" si="6"/>
        <v>184343458.42937529</v>
      </c>
    </row>
    <row r="80" spans="2:27" ht="19" x14ac:dyDescent="0.25">
      <c r="C80" s="159">
        <f t="shared" si="7"/>
        <v>1700</v>
      </c>
      <c r="D80" s="160">
        <f t="shared" si="5"/>
        <v>2.3164125339254876E-25</v>
      </c>
      <c r="E80" s="161">
        <f t="shared" si="6"/>
        <v>214511252.04427201</v>
      </c>
    </row>
    <row r="81" spans="3:34" ht="19" x14ac:dyDescent="0.25">
      <c r="C81" s="159">
        <f t="shared" si="7"/>
        <v>1800</v>
      </c>
      <c r="D81" s="160">
        <f t="shared" si="5"/>
        <v>2.4526720947446336E-25</v>
      </c>
      <c r="E81" s="161">
        <f t="shared" si="6"/>
        <v>247462295.42217454</v>
      </c>
    </row>
    <row r="82" spans="3:34" ht="19" x14ac:dyDescent="0.25">
      <c r="C82" s="159">
        <f t="shared" si="7"/>
        <v>1900</v>
      </c>
      <c r="D82" s="160">
        <f t="shared" si="5"/>
        <v>2.58893165556378E-25</v>
      </c>
      <c r="E82" s="161">
        <f t="shared" si="6"/>
        <v>283277301.50088918</v>
      </c>
    </row>
    <row r="83" spans="3:34" ht="20" thickBot="1" x14ac:dyDescent="0.3">
      <c r="C83" s="166">
        <f t="shared" si="7"/>
        <v>2000</v>
      </c>
      <c r="D83" s="167">
        <f t="shared" si="5"/>
        <v>2.725191216382926E-25</v>
      </c>
      <c r="E83" s="168">
        <f t="shared" si="6"/>
        <v>322034768.94959861</v>
      </c>
    </row>
    <row r="92" spans="3:34" ht="22" customHeight="1" x14ac:dyDescent="0.25">
      <c r="F92" s="56" t="s">
        <v>77</v>
      </c>
      <c r="AG92" s="56" t="s">
        <v>77</v>
      </c>
    </row>
    <row r="93" spans="3:34" ht="27" x14ac:dyDescent="0.35">
      <c r="C93" s="149" t="s">
        <v>87</v>
      </c>
      <c r="D93" s="169"/>
      <c r="E93" s="56"/>
      <c r="F93" s="56"/>
      <c r="G93" s="56"/>
      <c r="AC93" s="472" t="s">
        <v>88</v>
      </c>
      <c r="AD93" s="472"/>
      <c r="AE93" s="472"/>
      <c r="AF93" s="56"/>
      <c r="AG93" s="56"/>
      <c r="AH93" s="56"/>
    </row>
    <row r="94" spans="3:34" ht="19" x14ac:dyDescent="0.25">
      <c r="E94" s="56"/>
      <c r="G94" s="56"/>
      <c r="AF94" s="56"/>
      <c r="AH94" s="56"/>
    </row>
    <row r="95" spans="3:34" ht="20" thickBot="1" x14ac:dyDescent="0.3">
      <c r="E95" s="56"/>
      <c r="F95" s="56"/>
      <c r="G95" s="56"/>
    </row>
    <row r="96" spans="3:34" ht="20" thickBot="1" x14ac:dyDescent="0.3">
      <c r="C96" s="170" t="s">
        <v>89</v>
      </c>
      <c r="E96" s="56"/>
      <c r="F96" s="56"/>
      <c r="G96" s="56"/>
    </row>
    <row r="97" spans="3:42" ht="22" thickBot="1" x14ac:dyDescent="0.3">
      <c r="C97" s="171" t="s">
        <v>90</v>
      </c>
      <c r="D97" s="345" cm="1">
        <f t="array" ref="D97">INDEX($E:$E,(COLUMN(D97)-4)*1+42)</f>
        <v>-1140.7194999999999</v>
      </c>
      <c r="E97" s="345" cm="1">
        <f t="array" ref="E97">INDEX($E:$E,(COLUMN(E97)-4)*1+42)</f>
        <v>552.49559999999997</v>
      </c>
      <c r="F97" s="345" cm="1">
        <f t="array" ref="F97">INDEX($E:$E,(COLUMN(F97)-4)*1+42)</f>
        <v>552.59130000000005</v>
      </c>
      <c r="G97" s="345" cm="1">
        <f t="array" ref="G97">INDEX($E:$E,(COLUMN(G97)-4)*1+42)</f>
        <v>1085.6002000000001</v>
      </c>
      <c r="H97" s="345" cm="1">
        <f t="array" ref="H97">INDEX($E:$E,(COLUMN(H97)-4)*1+42)</f>
        <v>1165.0386000000001</v>
      </c>
      <c r="I97" s="345" cm="1">
        <f t="array" ref="I97">INDEX($E:$E,(COLUMN(I97)-4)*1+42)</f>
        <v>1165.0862</v>
      </c>
      <c r="J97" s="345" cm="1">
        <f t="array" ref="J97">INDEX($E:$E,(COLUMN(J97)-4)*1+42)</f>
        <v>1446.5668000000001</v>
      </c>
      <c r="K97" s="345" cm="1">
        <f t="array" ref="K97">INDEX($E:$E,(COLUMN(K97)-4)*1+42)</f>
        <v>1446.8696</v>
      </c>
      <c r="L97" s="345" cm="1">
        <f t="array" ref="L97">INDEX($E:$E,(COLUMN(L97)-4)*1+42)</f>
        <v>1891.7905000000001</v>
      </c>
      <c r="M97" s="345" cm="1">
        <f t="array" ref="M97">INDEX($E:$E,(COLUMN(M97)-4)*1+42)</f>
        <v>3092.5176000000001</v>
      </c>
      <c r="N97" s="345" cm="1">
        <f t="array" ref="N97">INDEX($E:$E,(COLUMN(N97)-4)*1+42)</f>
        <v>3240.6569</v>
      </c>
      <c r="O97" s="345" cm="1">
        <f t="array" ref="O97">INDEX($E:$E,(COLUMN(O97)-4)*1+42)</f>
        <v>3240.7968000000001</v>
      </c>
      <c r="S97" s="185" t="s">
        <v>158</v>
      </c>
      <c r="T97" s="373" cm="1">
        <f t="array" ref="T97">SUM(($B$14*$E$98:$O$98)/2)*$H$13</f>
        <v>27.003004906476988</v>
      </c>
    </row>
    <row r="98" spans="3:42" ht="20" thickBot="1" x14ac:dyDescent="0.3">
      <c r="C98" s="173" t="s">
        <v>91</v>
      </c>
      <c r="D98" s="268">
        <f>D97*$L$9</f>
        <v>-34197972106349.996</v>
      </c>
      <c r="E98" s="268">
        <f t="shared" ref="E98:O98" si="8">E97*$L$9</f>
        <v>16563431341080</v>
      </c>
      <c r="F98" s="268">
        <f t="shared" si="8"/>
        <v>16566300360090.002</v>
      </c>
      <c r="G98" s="268">
        <f t="shared" si="8"/>
        <v>32545534075860.004</v>
      </c>
      <c r="H98" s="268">
        <f t="shared" si="8"/>
        <v>34927041700980.004</v>
      </c>
      <c r="I98" s="268">
        <f t="shared" si="8"/>
        <v>34928468715660</v>
      </c>
      <c r="J98" s="268">
        <f t="shared" si="8"/>
        <v>43367060067240</v>
      </c>
      <c r="K98" s="268">
        <f t="shared" si="8"/>
        <v>43376137799280</v>
      </c>
      <c r="L98" s="268">
        <f t="shared" si="8"/>
        <v>56714554936650</v>
      </c>
      <c r="M98" s="268">
        <f t="shared" si="8"/>
        <v>92711512885680</v>
      </c>
      <c r="N98" s="268">
        <f t="shared" si="8"/>
        <v>97152625402170</v>
      </c>
      <c r="O98" s="268">
        <f t="shared" si="8"/>
        <v>97156819506240</v>
      </c>
    </row>
    <row r="99" spans="3:42" ht="17" thickBot="1" x14ac:dyDescent="0.25"/>
    <row r="100" spans="3:42" ht="30" customHeight="1" thickBot="1" x14ac:dyDescent="0.5">
      <c r="C100" s="473" t="s">
        <v>92</v>
      </c>
      <c r="D100" s="480"/>
      <c r="E100" s="480"/>
      <c r="F100" s="480"/>
      <c r="G100" s="480"/>
      <c r="H100" s="480"/>
      <c r="I100" s="480"/>
      <c r="J100" s="480"/>
      <c r="K100" s="480"/>
      <c r="L100" s="480"/>
      <c r="M100" s="480"/>
      <c r="N100" s="480"/>
      <c r="O100" s="483"/>
      <c r="P100" s="175" t="s">
        <v>93</v>
      </c>
    </row>
    <row r="101" spans="3:42" ht="38" customHeight="1" thickBot="1" x14ac:dyDescent="0.35">
      <c r="C101" s="356" t="s">
        <v>94</v>
      </c>
      <c r="D101" s="357">
        <v>1</v>
      </c>
      <c r="E101" s="358">
        <f t="shared" ref="E101:I101" si="9">D101+1</f>
        <v>2</v>
      </c>
      <c r="F101" s="358">
        <f t="shared" si="9"/>
        <v>3</v>
      </c>
      <c r="G101" s="358">
        <f t="shared" si="9"/>
        <v>4</v>
      </c>
      <c r="H101" s="358">
        <f t="shared" si="9"/>
        <v>5</v>
      </c>
      <c r="I101" s="359">
        <f t="shared" si="9"/>
        <v>6</v>
      </c>
      <c r="J101" s="359">
        <f t="shared" ref="J101" si="10">I101+1</f>
        <v>7</v>
      </c>
      <c r="K101" s="359">
        <f t="shared" ref="K101" si="11">J101+1</f>
        <v>8</v>
      </c>
      <c r="L101" s="359">
        <f t="shared" ref="L101" si="12">K101+1</f>
        <v>9</v>
      </c>
      <c r="M101" s="359">
        <f t="shared" ref="M101" si="13">L101+1</f>
        <v>10</v>
      </c>
      <c r="N101" s="359">
        <f t="shared" ref="N101" si="14">M101+1</f>
        <v>11</v>
      </c>
      <c r="O101" s="359">
        <f t="shared" ref="O101" si="15">N101+1</f>
        <v>12</v>
      </c>
      <c r="P101" s="283"/>
      <c r="Q101" s="56"/>
      <c r="R101" s="153" t="s">
        <v>169</v>
      </c>
      <c r="S101" s="154"/>
      <c r="T101" s="154"/>
      <c r="U101" s="154"/>
      <c r="V101" s="154"/>
      <c r="AC101" s="181" t="s">
        <v>79</v>
      </c>
      <c r="AD101" s="182" t="s">
        <v>95</v>
      </c>
      <c r="AE101" s="183" t="s">
        <v>96</v>
      </c>
      <c r="AF101" s="183" t="s">
        <v>97</v>
      </c>
      <c r="AG101" s="183" t="s">
        <v>98</v>
      </c>
      <c r="AH101" s="184" t="s">
        <v>99</v>
      </c>
      <c r="AJ101" s="463" t="s">
        <v>169</v>
      </c>
      <c r="AK101" s="463"/>
      <c r="AL101" s="463"/>
      <c r="AM101" s="463"/>
      <c r="AN101" s="463"/>
      <c r="AO101" s="463"/>
      <c r="AP101" s="463"/>
    </row>
    <row r="102" spans="3:42" ht="20" thickBot="1" x14ac:dyDescent="0.3">
      <c r="C102" s="185">
        <v>298.14999999999998</v>
      </c>
      <c r="D102" s="408" t="s">
        <v>134</v>
      </c>
      <c r="E102" s="307">
        <f t="shared" ref="E102:O110" si="16">1/(1-EXP(-($B$14*E$98)/($B$8*$C102)))</f>
        <v>1.074711804926554</v>
      </c>
      <c r="F102" s="307">
        <f t="shared" si="16"/>
        <v>1.0746747337054461</v>
      </c>
      <c r="G102" s="307">
        <f t="shared" si="16"/>
        <v>1.0053351215361426</v>
      </c>
      <c r="H102" s="307">
        <f t="shared" si="16"/>
        <v>1.0036301341171019</v>
      </c>
      <c r="I102" s="360">
        <f t="shared" si="16"/>
        <v>1.0036292973356575</v>
      </c>
      <c r="J102" s="360">
        <f t="shared" si="16"/>
        <v>1.0009305399602628</v>
      </c>
      <c r="K102" s="360">
        <f t="shared" si="16"/>
        <v>1.0009291799695144</v>
      </c>
      <c r="L102" s="360">
        <f t="shared" si="16"/>
        <v>1.0001084657073069</v>
      </c>
      <c r="M102" s="360">
        <f t="shared" si="16"/>
        <v>1.0000003302171629</v>
      </c>
      <c r="N102" s="360">
        <f t="shared" si="16"/>
        <v>1.0000001615600254</v>
      </c>
      <c r="O102" s="360">
        <f t="shared" si="16"/>
        <v>1.0000001614509908</v>
      </c>
      <c r="P102" s="309">
        <f xml:space="preserve"> PRODUCT(E102:O102)</f>
        <v>1.1718758753907468</v>
      </c>
      <c r="AC102" s="185">
        <v>298.14999999999998</v>
      </c>
      <c r="AD102" s="190">
        <f>$E65</f>
        <v>2763215.8317357707</v>
      </c>
      <c r="AE102" s="191" cm="1">
        <f t="array" ref="AE102">PRODUCT(EXP(-($B$14*$E$98:$O$98)/(2*$B$8*$AC102))/(1-EXP(-($B$14*$E$98:$O$98)/($B$8*$AC102))))</f>
        <v>1.9267165394584934E-20</v>
      </c>
      <c r="AF102" s="192">
        <f>$E137</f>
        <v>1226.5585376093843</v>
      </c>
      <c r="AG102" s="193">
        <f>$D175</f>
        <v>2</v>
      </c>
      <c r="AH102" s="194">
        <f>PRODUCT(AD102:AG102)</f>
        <v>1.3060232532123731E-10</v>
      </c>
    </row>
    <row r="103" spans="3:42" ht="22" thickBot="1" x14ac:dyDescent="0.3">
      <c r="C103" s="195">
        <v>300</v>
      </c>
      <c r="D103" s="409" t="s">
        <v>134</v>
      </c>
      <c r="E103" s="187">
        <f t="shared" si="16"/>
        <v>1.076044506215968</v>
      </c>
      <c r="F103" s="187">
        <f t="shared" si="16"/>
        <v>1.0760069598657467</v>
      </c>
      <c r="G103" s="187">
        <f t="shared" si="16"/>
        <v>1.0055112561007733</v>
      </c>
      <c r="H103" s="187">
        <f t="shared" si="16"/>
        <v>1.003758678147292</v>
      </c>
      <c r="I103" s="188">
        <f t="shared" si="16"/>
        <v>1.0037578169671912</v>
      </c>
      <c r="J103" s="188">
        <f t="shared" si="16"/>
        <v>1.0009715118368656</v>
      </c>
      <c r="K103" s="188">
        <f t="shared" si="16"/>
        <v>1.0009701006572562</v>
      </c>
      <c r="L103" s="188">
        <f t="shared" si="16"/>
        <v>1.0001147478351913</v>
      </c>
      <c r="M103" s="188">
        <f t="shared" si="16"/>
        <v>1.0000003620487552</v>
      </c>
      <c r="N103" s="188">
        <f t="shared" si="16"/>
        <v>1.0000001779163503</v>
      </c>
      <c r="O103" s="188">
        <f t="shared" si="16"/>
        <v>1.0000001777970173</v>
      </c>
      <c r="P103" s="198">
        <f t="shared" ref="P103:P120" si="17" xml:space="preserve"> PRODUCT(E103:O103)</f>
        <v>1.1753940039091979</v>
      </c>
      <c r="T103" s="151" t="s">
        <v>156</v>
      </c>
      <c r="U103" s="213" t="s">
        <v>155</v>
      </c>
      <c r="V103" s="377" t="s">
        <v>157</v>
      </c>
      <c r="AC103" s="195">
        <v>300</v>
      </c>
      <c r="AD103" s="199">
        <f t="shared" ref="AD103:AD120" si="18">$E66</f>
        <v>2806279.4183435072</v>
      </c>
      <c r="AE103" s="56" cm="1">
        <f t="array" ref="AE103">PRODUCT(EXP(-($B$14*$E$98:$O$98)/(2*$B$8*$AC103))/(1-EXP(-($B$14*$E$98:$O$98)/($B$8*$AC103))))</f>
        <v>2.5593012527952635E-20</v>
      </c>
      <c r="AF103" s="158">
        <f t="shared" ref="AF103:AF120" si="19">$E138</f>
        <v>1237.9922938548289</v>
      </c>
      <c r="AG103" s="200">
        <f t="shared" ref="AG103:AG120" si="20">$D176</f>
        <v>2</v>
      </c>
      <c r="AH103" s="201">
        <f t="shared" ref="AH103:AH120" si="21">PRODUCT(AD103:AG103)</f>
        <v>1.7782804638471929E-10</v>
      </c>
    </row>
    <row r="104" spans="3:42" ht="20" thickBot="1" x14ac:dyDescent="0.3">
      <c r="C104" s="202">
        <f>C103+100</f>
        <v>400</v>
      </c>
      <c r="D104" s="410" t="s">
        <v>134</v>
      </c>
      <c r="E104" s="196">
        <f t="shared" si="16"/>
        <v>1.1588365272571846</v>
      </c>
      <c r="F104" s="196">
        <f t="shared" si="16"/>
        <v>1.158773181169384</v>
      </c>
      <c r="G104" s="196">
        <f t="shared" si="16"/>
        <v>1.0205582208571997</v>
      </c>
      <c r="H104" s="196">
        <f t="shared" si="16"/>
        <v>1.0153701735512819</v>
      </c>
      <c r="I104" s="197">
        <f t="shared" si="16"/>
        <v>1.0153675017411468</v>
      </c>
      <c r="J104" s="197">
        <f t="shared" si="16"/>
        <v>1.0055292278014978</v>
      </c>
      <c r="K104" s="197">
        <f t="shared" si="16"/>
        <v>1.0055231756506908</v>
      </c>
      <c r="L104" s="197">
        <f t="shared" si="16"/>
        <v>1.0011098204518181</v>
      </c>
      <c r="M104" s="197">
        <f t="shared" si="16"/>
        <v>1.0000147598378435</v>
      </c>
      <c r="N104" s="197">
        <f t="shared" si="16"/>
        <v>1.000008662945856</v>
      </c>
      <c r="O104" s="197">
        <f t="shared" si="16"/>
        <v>1.0000086585876113</v>
      </c>
      <c r="P104" s="198">
        <f t="shared" si="17"/>
        <v>1.430172739012731</v>
      </c>
      <c r="S104" s="162" t="s">
        <v>84</v>
      </c>
      <c r="T104" s="129">
        <f>P103</f>
        <v>1.1753940039091979</v>
      </c>
      <c r="U104" s="375">
        <f>P124</f>
        <v>2.5593012527952635E-20</v>
      </c>
      <c r="V104" s="378">
        <f>T97</f>
        <v>27.003004906476988</v>
      </c>
      <c r="AC104" s="202">
        <f>AC103+100</f>
        <v>400</v>
      </c>
      <c r="AD104" s="199">
        <f t="shared" si="18"/>
        <v>5760733.0759179452</v>
      </c>
      <c r="AE104" s="56" cm="1">
        <f t="array" ref="AE104">PRODUCT(EXP(-($B$14*$E$98:$O$98)/(2*$B$8*$AC104))/(1-EXP(-($B$14*$E$98:$O$98)/($B$8*$AC104))))</f>
        <v>2.5635509261762676E-15</v>
      </c>
      <c r="AF104" s="158">
        <f t="shared" si="19"/>
        <v>1906.0138242980477</v>
      </c>
      <c r="AG104" s="200">
        <f t="shared" si="20"/>
        <v>2</v>
      </c>
      <c r="AH104" s="201">
        <f t="shared" si="21"/>
        <v>5.6295767430400731E-5</v>
      </c>
    </row>
    <row r="105" spans="3:42" ht="23" thickBot="1" x14ac:dyDescent="0.35">
      <c r="C105" s="202">
        <f t="shared" ref="C105:C120" si="22">C104+100</f>
        <v>500</v>
      </c>
      <c r="D105" s="410" t="s">
        <v>134</v>
      </c>
      <c r="E105" s="196">
        <f t="shared" si="16"/>
        <v>1.2562164740151487</v>
      </c>
      <c r="F105" s="196">
        <f t="shared" si="16"/>
        <v>1.256127857062187</v>
      </c>
      <c r="G105" s="196">
        <f t="shared" si="16"/>
        <v>1.0460101991124275</v>
      </c>
      <c r="H105" s="196">
        <f t="shared" si="16"/>
        <v>1.0362673056046585</v>
      </c>
      <c r="I105" s="197">
        <f t="shared" si="16"/>
        <v>1.0362621582283891</v>
      </c>
      <c r="J105" s="197">
        <f t="shared" si="16"/>
        <v>1.0158135667523267</v>
      </c>
      <c r="K105" s="197">
        <f t="shared" si="16"/>
        <v>1.0157995764107637</v>
      </c>
      <c r="L105" s="197">
        <f t="shared" si="16"/>
        <v>1.0043420864273371</v>
      </c>
      <c r="M105" s="197">
        <f t="shared" si="16"/>
        <v>1.0001365587219464</v>
      </c>
      <c r="N105" s="197">
        <f t="shared" si="16"/>
        <v>1.0000891596161372</v>
      </c>
      <c r="O105" s="197">
        <f t="shared" si="16"/>
        <v>1.0000891237271692</v>
      </c>
      <c r="P105" s="198">
        <f t="shared" si="17"/>
        <v>1.8374524569914585</v>
      </c>
      <c r="S105" s="163" t="s">
        <v>85</v>
      </c>
      <c r="T105" s="147">
        <f>P38</f>
        <v>1.1754</v>
      </c>
      <c r="U105" s="376">
        <f>P37</f>
        <v>2.5595299999999999E-20</v>
      </c>
      <c r="V105" s="365">
        <f>D38</f>
        <v>26.99033</v>
      </c>
      <c r="AC105" s="202">
        <f t="shared" ref="AC105:AC120" si="23">AC104+100</f>
        <v>500</v>
      </c>
      <c r="AD105" s="199">
        <f t="shared" si="18"/>
        <v>10063586.529674899</v>
      </c>
      <c r="AE105" s="56" cm="1">
        <f t="array" ref="AE105">PRODUCT(EXP(-($B$14*$E$98:$O$98)/(2*$B$8*$AC105))/(1-EXP(-($B$14*$E$98:$O$98)/($B$8*$AC105))))</f>
        <v>2.9307506758318115E-12</v>
      </c>
      <c r="AF105" s="158">
        <f t="shared" si="19"/>
        <v>2663.735298240485</v>
      </c>
      <c r="AG105" s="200">
        <f t="shared" si="20"/>
        <v>2</v>
      </c>
      <c r="AH105" s="201">
        <f t="shared" si="21"/>
        <v>0.15712768803239771</v>
      </c>
      <c r="AM105" s="151" t="s">
        <v>170</v>
      </c>
      <c r="AN105" s="203" t="s">
        <v>171</v>
      </c>
      <c r="AO105" s="218" t="s">
        <v>168</v>
      </c>
    </row>
    <row r="106" spans="3:42" ht="23" thickBot="1" x14ac:dyDescent="0.35">
      <c r="C106" s="202">
        <f t="shared" si="22"/>
        <v>600</v>
      </c>
      <c r="D106" s="410" t="s">
        <v>134</v>
      </c>
      <c r="E106" s="196">
        <f t="shared" si="16"/>
        <v>1.3620991743156139</v>
      </c>
      <c r="F106" s="196">
        <f t="shared" si="16"/>
        <v>1.3619860112205269</v>
      </c>
      <c r="G106" s="196">
        <f t="shared" si="16"/>
        <v>1.0799533815713795</v>
      </c>
      <c r="H106" s="196">
        <f t="shared" si="16"/>
        <v>1.0651818481135755</v>
      </c>
      <c r="I106" s="197">
        <f t="shared" si="16"/>
        <v>1.065173923613169</v>
      </c>
      <c r="J106" s="197">
        <f t="shared" si="16"/>
        <v>1.0321557333617764</v>
      </c>
      <c r="K106" s="197">
        <f t="shared" si="16"/>
        <v>1.0321316435032304</v>
      </c>
      <c r="L106" s="197">
        <f t="shared" si="16"/>
        <v>1.0108274040070726</v>
      </c>
      <c r="M106" s="197">
        <f t="shared" si="16"/>
        <v>1.0006020670316074</v>
      </c>
      <c r="N106" s="197">
        <f t="shared" si="16"/>
        <v>1.0004219792699718</v>
      </c>
      <c r="O106" s="197">
        <f t="shared" si="16"/>
        <v>1.0004218376704854</v>
      </c>
      <c r="P106" s="198">
        <f t="shared" si="17"/>
        <v>2.4514090295212454</v>
      </c>
      <c r="S106" s="164" t="s">
        <v>86</v>
      </c>
      <c r="T106" s="165">
        <f>ABS(T104-T105)/T104</f>
        <v>5.1013454060119486E-6</v>
      </c>
      <c r="U106" s="165">
        <f t="shared" ref="U106:V106" si="24">ABS(U104-U105)/U104</f>
        <v>8.9378772618732457E-5</v>
      </c>
      <c r="V106" s="165">
        <f t="shared" si="24"/>
        <v>4.693887410266695E-4</v>
      </c>
      <c r="AC106" s="202">
        <f t="shared" si="23"/>
        <v>600</v>
      </c>
      <c r="AD106" s="199">
        <f t="shared" si="18"/>
        <v>15874713.65291952</v>
      </c>
      <c r="AE106" s="56" cm="1">
        <f t="array" ref="AE106">PRODUCT(EXP(-($B$14*$E$98:$O$98)/(2*$B$8*$AC106))/(1-EXP(-($B$14*$E$98:$O$98)/($B$8*$AC106))))</f>
        <v>3.6173018511866629E-10</v>
      </c>
      <c r="AF106" s="158">
        <f t="shared" si="19"/>
        <v>3501.5709841657513</v>
      </c>
      <c r="AG106" s="200">
        <f t="shared" si="20"/>
        <v>2</v>
      </c>
      <c r="AH106" s="201">
        <f t="shared" si="21"/>
        <v>40.214584081669287</v>
      </c>
      <c r="AL106" s="162" t="s">
        <v>84</v>
      </c>
      <c r="AM106" s="129">
        <f>AH103</f>
        <v>1.7782804638471929E-10</v>
      </c>
      <c r="AN106" s="204">
        <f>D138*AD102*AE102*AG102</f>
        <v>8.8913078908284666E-10</v>
      </c>
      <c r="AO106" s="379">
        <f>AD103*AF103*AG103*T104</f>
        <v>8166995550.8049994</v>
      </c>
    </row>
    <row r="107" spans="3:42" ht="20" thickBot="1" x14ac:dyDescent="0.3">
      <c r="C107" s="202">
        <f t="shared" si="22"/>
        <v>700</v>
      </c>
      <c r="D107" s="410" t="s">
        <v>134</v>
      </c>
      <c r="E107" s="196">
        <f t="shared" si="16"/>
        <v>1.4732531234205546</v>
      </c>
      <c r="F107" s="196">
        <f t="shared" si="16"/>
        <v>1.4731160051264112</v>
      </c>
      <c r="G107" s="196">
        <f t="shared" si="16"/>
        <v>1.1203031887740009</v>
      </c>
      <c r="H107" s="196">
        <f t="shared" si="16"/>
        <v>1.1003613248721023</v>
      </c>
      <c r="I107" s="197">
        <f t="shared" si="16"/>
        <v>1.1003505210136282</v>
      </c>
      <c r="J107" s="197">
        <f t="shared" si="16"/>
        <v>1.0538916596786512</v>
      </c>
      <c r="K107" s="197">
        <f t="shared" si="16"/>
        <v>1.0538563235119784</v>
      </c>
      <c r="L107" s="197">
        <f t="shared" si="16"/>
        <v>1.0209066155731026</v>
      </c>
      <c r="M107" s="197">
        <f t="shared" si="16"/>
        <v>1.0017387053227893</v>
      </c>
      <c r="N107" s="197">
        <f t="shared" si="16"/>
        <v>1.001281715455894</v>
      </c>
      <c r="O107" s="197">
        <f t="shared" si="16"/>
        <v>1.0012813464793477</v>
      </c>
      <c r="P107" s="198">
        <f t="shared" si="17"/>
        <v>3.3523281090225856</v>
      </c>
      <c r="AC107" s="202">
        <f t="shared" si="23"/>
        <v>700</v>
      </c>
      <c r="AD107" s="199">
        <f t="shared" si="18"/>
        <v>23338496.478963908</v>
      </c>
      <c r="AE107" s="56" cm="1">
        <f t="array" ref="AE107">PRODUCT(EXP(-($B$14*$E$98:$O$98)/(2*$B$8*$AC107))/(1-EXP(-($B$14*$E$98:$O$98)/($B$8*$AC107))))</f>
        <v>1.2553027845345142E-8</v>
      </c>
      <c r="AF107" s="158">
        <f t="shared" si="19"/>
        <v>4412.483752725816</v>
      </c>
      <c r="AG107" s="200">
        <f t="shared" si="20"/>
        <v>2</v>
      </c>
      <c r="AH107" s="201">
        <f t="shared" si="21"/>
        <v>2585.4401063020323</v>
      </c>
      <c r="AL107" s="163" t="s">
        <v>85</v>
      </c>
      <c r="AM107" s="147">
        <f>$P35</f>
        <v>1.7793E-10</v>
      </c>
      <c r="AN107" s="147">
        <f>$P35</f>
        <v>1.7793E-10</v>
      </c>
    </row>
    <row r="108" spans="3:42" ht="22" x14ac:dyDescent="0.3">
      <c r="C108" s="202">
        <f t="shared" si="22"/>
        <v>800</v>
      </c>
      <c r="D108" s="410" t="s">
        <v>134</v>
      </c>
      <c r="E108" s="196">
        <f t="shared" si="16"/>
        <v>1.5878651622552544</v>
      </c>
      <c r="F108" s="196">
        <f t="shared" si="16"/>
        <v>1.5877045325859367</v>
      </c>
      <c r="G108" s="196">
        <f t="shared" si="16"/>
        <v>1.1654059384851043</v>
      </c>
      <c r="H108" s="196">
        <f t="shared" si="16"/>
        <v>1.1402958145793689</v>
      </c>
      <c r="I108" s="197">
        <f t="shared" si="16"/>
        <v>1.1402821199846134</v>
      </c>
      <c r="J108" s="197">
        <f t="shared" si="16"/>
        <v>1.0800932952977034</v>
      </c>
      <c r="K108" s="197">
        <f t="shared" si="16"/>
        <v>1.0800461997436461</v>
      </c>
      <c r="L108" s="197">
        <f t="shared" si="16"/>
        <v>1.0344422694055511</v>
      </c>
      <c r="M108" s="197">
        <f t="shared" si="16"/>
        <v>1.0038566416288763</v>
      </c>
      <c r="N108" s="197">
        <f t="shared" si="16"/>
        <v>1.0029519639672415</v>
      </c>
      <c r="O108" s="197">
        <f t="shared" si="16"/>
        <v>1.0029512191362564</v>
      </c>
      <c r="P108" s="198">
        <f t="shared" si="17"/>
        <v>4.6551306967421882</v>
      </c>
      <c r="AC108" s="202">
        <f t="shared" si="23"/>
        <v>800</v>
      </c>
      <c r="AD108" s="199">
        <f t="shared" si="18"/>
        <v>32587627.380697835</v>
      </c>
      <c r="AE108" s="56" cm="1">
        <f t="array" ref="AE108">PRODUCT(EXP(-($B$14*$E$98:$O$98)/(2*$B$8*$AC108))/(1-EXP(-($B$14*$E$98:$O$98)/($B$8*$AC108))))</f>
        <v>1.9708728440906013E-7</v>
      </c>
      <c r="AF108" s="158">
        <f t="shared" si="19"/>
        <v>5391.0212007858127</v>
      </c>
      <c r="AG108" s="200">
        <f t="shared" si="20"/>
        <v>2</v>
      </c>
      <c r="AH108" s="201">
        <f t="shared" si="21"/>
        <v>69248.820849483353</v>
      </c>
      <c r="AL108" s="164" t="s">
        <v>86</v>
      </c>
      <c r="AM108" s="165">
        <f>ABS(AM106-AM107)/AM106</f>
        <v>5.7332697149548332E-4</v>
      </c>
      <c r="AN108" s="165">
        <f>ABS(AN106-AN107)/AN106</f>
        <v>0.7998832093267878</v>
      </c>
    </row>
    <row r="109" spans="3:42" ht="19" x14ac:dyDescent="0.25">
      <c r="C109" s="202">
        <f t="shared" si="22"/>
        <v>900</v>
      </c>
      <c r="D109" s="410" t="s">
        <v>134</v>
      </c>
      <c r="E109" s="196">
        <f t="shared" si="16"/>
        <v>1.704855551612988</v>
      </c>
      <c r="F109" s="196">
        <f t="shared" si="16"/>
        <v>1.7046717408773433</v>
      </c>
      <c r="G109" s="196">
        <f t="shared" si="16"/>
        <v>1.2140555208801953</v>
      </c>
      <c r="H109" s="196">
        <f t="shared" si="16"/>
        <v>1.183834123854856</v>
      </c>
      <c r="I109" s="197">
        <f t="shared" si="16"/>
        <v>1.1838175641494035</v>
      </c>
      <c r="J109" s="197">
        <f t="shared" si="16"/>
        <v>1.1098892206081814</v>
      </c>
      <c r="K109" s="197">
        <f t="shared" si="16"/>
        <v>1.1098301986435135</v>
      </c>
      <c r="L109" s="197">
        <f t="shared" si="16"/>
        <v>1.0510737912168893</v>
      </c>
      <c r="M109" s="197">
        <f t="shared" si="16"/>
        <v>1.0071784174642959</v>
      </c>
      <c r="N109" s="197">
        <f t="shared" si="16"/>
        <v>1.0056561568550817</v>
      </c>
      <c r="O109" s="197">
        <f t="shared" si="16"/>
        <v>1.0056548848441826</v>
      </c>
      <c r="P109" s="198">
        <f t="shared" si="17"/>
        <v>6.5210391126241305</v>
      </c>
      <c r="AC109" s="202">
        <f t="shared" si="23"/>
        <v>900</v>
      </c>
      <c r="AD109" s="199">
        <f t="shared" si="18"/>
        <v>43745566.795251966</v>
      </c>
      <c r="AE109" s="56" cm="1">
        <f t="array" ref="AE109">PRODUCT(EXP(-($B$14*$E$98:$O$98)/(2*$B$8*$AC109))/(1-EXP(-($B$14*$E$98:$O$98)/($B$8*$AC109))))</f>
        <v>1.8209420203101277E-6</v>
      </c>
      <c r="AF109" s="158">
        <f t="shared" si="19"/>
        <v>6432.7966570059098</v>
      </c>
      <c r="AG109" s="200">
        <f t="shared" si="20"/>
        <v>2</v>
      </c>
      <c r="AH109" s="201">
        <f t="shared" si="21"/>
        <v>1024849.2434226637</v>
      </c>
    </row>
    <row r="110" spans="3:42" ht="19" x14ac:dyDescent="0.25">
      <c r="C110" s="202">
        <f t="shared" si="22"/>
        <v>1000</v>
      </c>
      <c r="D110" s="410" t="s">
        <v>134</v>
      </c>
      <c r="E110" s="196">
        <f t="shared" si="16"/>
        <v>1.8235464975216644</v>
      </c>
      <c r="F110" s="196">
        <f t="shared" si="16"/>
        <v>1.8233397541742404</v>
      </c>
      <c r="G110" s="196">
        <f t="shared" ref="E110:O120" si="25">1/(1-EXP(-($B$14*G$98)/($B$8*$C110)))</f>
        <v>1.2653891806370778</v>
      </c>
      <c r="H110" s="196">
        <f t="shared" si="25"/>
        <v>1.2301296873616157</v>
      </c>
      <c r="I110" s="197">
        <f t="shared" si="25"/>
        <v>1.2301103007208301</v>
      </c>
      <c r="J110" s="197">
        <f t="shared" si="25"/>
        <v>1.1425559655214714</v>
      </c>
      <c r="K110" s="197">
        <f t="shared" si="25"/>
        <v>1.1424850255575509</v>
      </c>
      <c r="L110" s="197">
        <f t="shared" si="25"/>
        <v>1.0703795011396018</v>
      </c>
      <c r="M110" s="197">
        <f t="shared" si="25"/>
        <v>1.0118231908386359</v>
      </c>
      <c r="N110" s="197">
        <f t="shared" si="25"/>
        <v>1.0095320175296234</v>
      </c>
      <c r="O110" s="197">
        <f t="shared" si="25"/>
        <v>1.0095300807871248</v>
      </c>
      <c r="P110" s="198">
        <f t="shared" si="17"/>
        <v>9.1730399895215378</v>
      </c>
      <c r="AC110" s="202">
        <f t="shared" si="23"/>
        <v>1000</v>
      </c>
      <c r="AD110" s="199">
        <f t="shared" si="18"/>
        <v>56928242.225525893</v>
      </c>
      <c r="AE110" s="56" cm="1">
        <f t="array" ref="AE110">PRODUCT(EXP(-($B$14*$E$98:$O$98)/(2*$B$8*$AC110))/(1-EXP(-($B$14*$E$98:$O$98)/($B$8*$AC110))))</f>
        <v>1.1584963459669817E-5</v>
      </c>
      <c r="AF110" s="158">
        <f t="shared" si="19"/>
        <v>7534.181170687265</v>
      </c>
      <c r="AG110" s="200">
        <f t="shared" si="20"/>
        <v>2</v>
      </c>
      <c r="AH110" s="201">
        <f t="shared" si="21"/>
        <v>9937759.8476394899</v>
      </c>
    </row>
    <row r="111" spans="3:42" ht="19" x14ac:dyDescent="0.25">
      <c r="C111" s="202">
        <f t="shared" si="22"/>
        <v>1100</v>
      </c>
      <c r="D111" s="410" t="s">
        <v>134</v>
      </c>
      <c r="E111" s="196">
        <f t="shared" si="25"/>
        <v>1.9434930426309163</v>
      </c>
      <c r="F111" s="196">
        <f t="shared" si="25"/>
        <v>1.9432635565975651</v>
      </c>
      <c r="G111" s="196">
        <f t="shared" si="25"/>
        <v>1.3187874901175882</v>
      </c>
      <c r="H111" s="196">
        <f t="shared" si="25"/>
        <v>1.2785632380569358</v>
      </c>
      <c r="I111" s="197">
        <f t="shared" si="25"/>
        <v>1.2785410646202071</v>
      </c>
      <c r="J111" s="197">
        <f t="shared" si="25"/>
        <v>1.1775204450300067</v>
      </c>
      <c r="K111" s="197">
        <f t="shared" si="25"/>
        <v>1.1774376780188514</v>
      </c>
      <c r="L111" s="197">
        <f t="shared" si="25"/>
        <v>1.0919551539862027</v>
      </c>
      <c r="M111" s="197">
        <f t="shared" si="25"/>
        <v>1.0178226456845227</v>
      </c>
      <c r="N111" s="197">
        <f t="shared" si="25"/>
        <v>1.0146372866261626</v>
      </c>
      <c r="O111" s="197">
        <f t="shared" si="25"/>
        <v>1.0146345692528462</v>
      </c>
      <c r="P111" s="198">
        <f t="shared" si="17"/>
        <v>12.916063757509262</v>
      </c>
      <c r="AC111" s="202">
        <f t="shared" si="23"/>
        <v>1100</v>
      </c>
      <c r="AD111" s="199">
        <f t="shared" si="18"/>
        <v>72245281.429855764</v>
      </c>
      <c r="AE111" s="56" cm="1">
        <f t="array" ref="AE111">PRODUCT(EXP(-($B$14*$E$98:$O$98)/(2*$B$8*$AC111))/(1-EXP(-($B$14*$E$98:$O$98)/($B$8*$AC111))))</f>
        <v>5.6072461045040159E-5</v>
      </c>
      <c r="AF111" s="158">
        <f t="shared" si="19"/>
        <v>8692.1074630871244</v>
      </c>
      <c r="AG111" s="200">
        <f t="shared" si="20"/>
        <v>2</v>
      </c>
      <c r="AH111" s="201">
        <f t="shared" si="21"/>
        <v>70422945.806727871</v>
      </c>
    </row>
    <row r="112" spans="3:42" ht="19" x14ac:dyDescent="0.25">
      <c r="C112" s="202">
        <f t="shared" si="22"/>
        <v>1200</v>
      </c>
      <c r="D112" s="410" t="s">
        <v>134</v>
      </c>
      <c r="E112" s="196">
        <f t="shared" si="25"/>
        <v>2.0643918386341746</v>
      </c>
      <c r="F112" s="196">
        <f t="shared" si="25"/>
        <v>2.0641397575894214</v>
      </c>
      <c r="G112" s="196">
        <f t="shared" si="25"/>
        <v>1.373800152518549</v>
      </c>
      <c r="H112" s="196">
        <f t="shared" si="25"/>
        <v>1.3286785680876136</v>
      </c>
      <c r="I112" s="197">
        <f t="shared" si="25"/>
        <v>1.3286536456646088</v>
      </c>
      <c r="J112" s="197">
        <f t="shared" si="25"/>
        <v>1.2143362058329223</v>
      </c>
      <c r="K112" s="197">
        <f t="shared" si="25"/>
        <v>1.214241736626728</v>
      </c>
      <c r="L112" s="197">
        <f t="shared" si="25"/>
        <v>1.1154440216383306</v>
      </c>
      <c r="M112" s="197">
        <f t="shared" si="25"/>
        <v>1.0251465066527898</v>
      </c>
      <c r="N112" s="197">
        <f t="shared" si="25"/>
        <v>1.0209684470071787</v>
      </c>
      <c r="O112" s="197">
        <f t="shared" si="25"/>
        <v>1.0209648563752862</v>
      </c>
      <c r="P112" s="198">
        <f t="shared" si="17"/>
        <v>18.162993862180112</v>
      </c>
      <c r="AC112" s="202">
        <f t="shared" si="23"/>
        <v>1200</v>
      </c>
      <c r="AD112" s="199">
        <f t="shared" si="18"/>
        <v>89800941.386991456</v>
      </c>
      <c r="AE112" s="56" cm="1">
        <f t="array" ref="AE112">PRODUCT(EXP(-($B$14*$E$98:$O$98)/(2*$B$8*$AC112))/(1-EXP(-($B$14*$E$98:$O$98)/($B$8*$AC112))))</f>
        <v>2.2063373691300696E-4</v>
      </c>
      <c r="AF112" s="158">
        <f t="shared" si="19"/>
        <v>9903.9383508386345</v>
      </c>
      <c r="AG112" s="200">
        <f t="shared" si="20"/>
        <v>2</v>
      </c>
      <c r="AH112" s="201">
        <f t="shared" si="21"/>
        <v>392455784.0891369</v>
      </c>
    </row>
    <row r="113" spans="2:34" ht="19" x14ac:dyDescent="0.25">
      <c r="C113" s="202">
        <f t="shared" si="22"/>
        <v>1300</v>
      </c>
      <c r="D113" s="410" t="s">
        <v>134</v>
      </c>
      <c r="E113" s="196">
        <f t="shared" si="25"/>
        <v>2.1860293532804538</v>
      </c>
      <c r="F113" s="196">
        <f t="shared" si="25"/>
        <v>2.1857547939274098</v>
      </c>
      <c r="G113" s="196">
        <f t="shared" si="25"/>
        <v>1.4300947163155533</v>
      </c>
      <c r="H113" s="196">
        <f t="shared" si="25"/>
        <v>1.3801355323411013</v>
      </c>
      <c r="I113" s="197">
        <f t="shared" si="25"/>
        <v>1.3801078949243948</v>
      </c>
      <c r="J113" s="197">
        <f t="shared" si="25"/>
        <v>1.2526564386303705</v>
      </c>
      <c r="K113" s="197">
        <f t="shared" si="25"/>
        <v>1.2525504012209268</v>
      </c>
      <c r="L113" s="197">
        <f t="shared" si="25"/>
        <v>1.1405434479446022</v>
      </c>
      <c r="M113" s="197">
        <f t="shared" si="25"/>
        <v>1.0337261763389478</v>
      </c>
      <c r="N113" s="197">
        <f t="shared" si="25"/>
        <v>1.028480900701032</v>
      </c>
      <c r="O113" s="197">
        <f t="shared" si="25"/>
        <v>1.0284763656460598</v>
      </c>
      <c r="P113" s="198">
        <f t="shared" si="17"/>
        <v>25.467838584219269</v>
      </c>
      <c r="AC113" s="202">
        <f t="shared" si="23"/>
        <v>1300</v>
      </c>
      <c r="AD113" s="199">
        <f t="shared" si="18"/>
        <v>109694828.89758618</v>
      </c>
      <c r="AE113" s="56" cm="1">
        <f t="array" ref="AE113">PRODUCT(EXP(-($B$14*$E$98:$O$98)/(2*$B$8*$AC113))/(1-EXP(-($B$14*$E$98:$O$98)/($B$8*$AC113))))</f>
        <v>7.389127345539166E-4</v>
      </c>
      <c r="AF113" s="158">
        <f t="shared" si="19"/>
        <v>11167.374684780951</v>
      </c>
      <c r="AG113" s="200">
        <f t="shared" si="20"/>
        <v>2</v>
      </c>
      <c r="AH113" s="201">
        <f t="shared" si="21"/>
        <v>1810341010.3961608</v>
      </c>
    </row>
    <row r="114" spans="2:34" ht="19" x14ac:dyDescent="0.25">
      <c r="C114" s="202">
        <f t="shared" si="22"/>
        <v>1400</v>
      </c>
      <c r="D114" s="410" t="s">
        <v>134</v>
      </c>
      <c r="E114" s="196">
        <f t="shared" si="25"/>
        <v>2.3082511127881129</v>
      </c>
      <c r="F114" s="196">
        <f t="shared" si="25"/>
        <v>2.3079541687444771</v>
      </c>
      <c r="G114" s="196">
        <f t="shared" si="25"/>
        <v>1.4874217609045779</v>
      </c>
      <c r="H114" s="196">
        <f t="shared" si="25"/>
        <v>1.4326770187569768</v>
      </c>
      <c r="I114" s="197">
        <f t="shared" si="25"/>
        <v>1.4326466962569417</v>
      </c>
      <c r="J114" s="197">
        <f t="shared" si="25"/>
        <v>1.2922107119207469</v>
      </c>
      <c r="K114" s="197">
        <f t="shared" si="25"/>
        <v>1.2920932373062208</v>
      </c>
      <c r="L114" s="197">
        <f t="shared" si="25"/>
        <v>1.1670014551391328</v>
      </c>
      <c r="M114" s="197">
        <f t="shared" si="25"/>
        <v>1.0434727252464528</v>
      </c>
      <c r="N114" s="197">
        <f t="shared" si="25"/>
        <v>1.0371057053286574</v>
      </c>
      <c r="O114" s="197">
        <f t="shared" si="25"/>
        <v>1.0371001729278473</v>
      </c>
      <c r="P114" s="198">
        <f t="shared" si="17"/>
        <v>35.567650817850662</v>
      </c>
      <c r="AC114" s="202">
        <f t="shared" si="23"/>
        <v>1400</v>
      </c>
      <c r="AD114" s="199">
        <f t="shared" si="18"/>
        <v>132022472.98379029</v>
      </c>
      <c r="AE114" s="56" cm="1">
        <f t="array" ref="AE114">PRODUCT(EXP(-($B$14*$E$98:$O$98)/(2*$B$8*$AC114))/(1-EXP(-($B$14*$E$98:$O$98)/($B$8*$AC114))))</f>
        <v>2.1764874562073618E-3</v>
      </c>
      <c r="AF114" s="158">
        <f t="shared" si="19"/>
        <v>12480.38873371157</v>
      </c>
      <c r="AG114" s="200">
        <f t="shared" si="20"/>
        <v>2</v>
      </c>
      <c r="AH114" s="201">
        <f t="shared" si="21"/>
        <v>7172361000.9879398</v>
      </c>
    </row>
    <row r="115" spans="2:34" ht="19" x14ac:dyDescent="0.25">
      <c r="C115" s="202">
        <f t="shared" si="22"/>
        <v>1500</v>
      </c>
      <c r="D115" s="410" t="s">
        <v>134</v>
      </c>
      <c r="E115" s="196">
        <f t="shared" si="25"/>
        <v>2.4309427054231225</v>
      </c>
      <c r="F115" s="196">
        <f t="shared" si="25"/>
        <v>2.4306234528145296</v>
      </c>
      <c r="G115" s="196">
        <f t="shared" si="25"/>
        <v>1.5455912208188418</v>
      </c>
      <c r="H115" s="196">
        <f t="shared" si="25"/>
        <v>1.4861059520824107</v>
      </c>
      <c r="I115" s="197">
        <f t="shared" si="25"/>
        <v>1.4860729705650102</v>
      </c>
      <c r="J115" s="197">
        <f t="shared" si="25"/>
        <v>1.332786664117436</v>
      </c>
      <c r="K115" s="197">
        <f t="shared" si="25"/>
        <v>1.3326578747801674</v>
      </c>
      <c r="L115" s="197">
        <f t="shared" si="25"/>
        <v>1.1946099609882028</v>
      </c>
      <c r="M115" s="197">
        <f t="shared" si="25"/>
        <v>1.054289159935843</v>
      </c>
      <c r="N115" s="197">
        <f t="shared" si="25"/>
        <v>1.0467617776817757</v>
      </c>
      <c r="O115" s="197">
        <f t="shared" si="25"/>
        <v>1.0467552097710646</v>
      </c>
      <c r="P115" s="198">
        <f t="shared" si="17"/>
        <v>49.435066939535218</v>
      </c>
      <c r="AC115" s="202">
        <f t="shared" si="23"/>
        <v>1500</v>
      </c>
      <c r="AD115" s="199">
        <f t="shared" si="18"/>
        <v>156875788.58186588</v>
      </c>
      <c r="AE115" s="56" cm="1">
        <f t="array" ref="AE115">PRODUCT(EXP(-($B$14*$E$98:$O$98)/(2*$B$8*$AC115))/(1-EXP(-($B$14*$E$98:$O$98)/($B$8*$AC115))))</f>
        <v>5.775940546229737E-3</v>
      </c>
      <c r="AF115" s="158">
        <f t="shared" si="19"/>
        <v>13841.174623401472</v>
      </c>
      <c r="AG115" s="200">
        <f t="shared" si="20"/>
        <v>2</v>
      </c>
      <c r="AH115" s="201">
        <f t="shared" si="21"/>
        <v>25083121375.621994</v>
      </c>
    </row>
    <row r="116" spans="2:34" ht="19" x14ac:dyDescent="0.25">
      <c r="C116" s="202">
        <f t="shared" si="22"/>
        <v>1600</v>
      </c>
      <c r="D116" s="410" t="s">
        <v>134</v>
      </c>
      <c r="E116" s="196">
        <f t="shared" si="25"/>
        <v>2.5540176405156223</v>
      </c>
      <c r="F116" s="196">
        <f t="shared" si="25"/>
        <v>2.553676142007244</v>
      </c>
      <c r="G116" s="196">
        <f t="shared" si="25"/>
        <v>1.604456121233321</v>
      </c>
      <c r="H116" s="196">
        <f t="shared" si="25"/>
        <v>1.5402692264055269</v>
      </c>
      <c r="I116" s="197">
        <f t="shared" si="25"/>
        <v>1.5402336085078976</v>
      </c>
      <c r="J116" s="197">
        <f t="shared" si="25"/>
        <v>1.374216111905576</v>
      </c>
      <c r="K116" s="197">
        <f t="shared" si="25"/>
        <v>1.3740761197127638</v>
      </c>
      <c r="L116" s="197">
        <f t="shared" si="25"/>
        <v>1.223197505961668</v>
      </c>
      <c r="M116" s="197">
        <f t="shared" si="25"/>
        <v>1.0660781436481135</v>
      </c>
      <c r="N116" s="197">
        <f t="shared" si="25"/>
        <v>1.0573640771269541</v>
      </c>
      <c r="O116" s="197">
        <f t="shared" si="25"/>
        <v>1.0573564471079013</v>
      </c>
      <c r="P116" s="198">
        <f t="shared" si="17"/>
        <v>68.343657093744397</v>
      </c>
      <c r="AC116" s="202">
        <f t="shared" si="23"/>
        <v>1600</v>
      </c>
      <c r="AD116" s="199">
        <f t="shared" si="18"/>
        <v>184343458.42937529</v>
      </c>
      <c r="AE116" s="56" cm="1">
        <f t="array" ref="AE116">PRODUCT(EXP(-($B$14*$E$98:$O$98)/(2*$B$8*$AC116))/(1-EXP(-($B$14*$E$98:$O$98)/($B$8*$AC116))))</f>
        <v>1.4062468990500208E-2</v>
      </c>
      <c r="AF116" s="158">
        <f t="shared" si="19"/>
        <v>15248.110594384389</v>
      </c>
      <c r="AG116" s="200">
        <f t="shared" si="20"/>
        <v>2</v>
      </c>
      <c r="AH116" s="201">
        <f t="shared" si="21"/>
        <v>79056091213.141846</v>
      </c>
    </row>
    <row r="117" spans="2:34" ht="19" x14ac:dyDescent="0.25">
      <c r="C117" s="202">
        <f t="shared" si="22"/>
        <v>1700</v>
      </c>
      <c r="D117" s="410" t="s">
        <v>134</v>
      </c>
      <c r="E117" s="196">
        <f t="shared" si="25"/>
        <v>2.6774093528379588</v>
      </c>
      <c r="F117" s="196">
        <f t="shared" si="25"/>
        <v>2.6770456605876509</v>
      </c>
      <c r="G117" s="196">
        <f t="shared" si="25"/>
        <v>1.6639012524145493</v>
      </c>
      <c r="H117" s="196">
        <f t="shared" si="25"/>
        <v>1.5950463734424787</v>
      </c>
      <c r="I117" s="197">
        <f t="shared" si="25"/>
        <v>1.5950081388224162</v>
      </c>
      <c r="J117" s="197">
        <f t="shared" si="25"/>
        <v>1.4163646521925184</v>
      </c>
      <c r="K117" s="197">
        <f t="shared" si="25"/>
        <v>1.4162135580315038</v>
      </c>
      <c r="L117" s="197">
        <f t="shared" si="25"/>
        <v>1.2526226312867659</v>
      </c>
      <c r="M117" s="197">
        <f t="shared" si="25"/>
        <v>1.0787464893885594</v>
      </c>
      <c r="N117" s="197">
        <f t="shared" si="25"/>
        <v>1.06882872521716</v>
      </c>
      <c r="O117" s="197">
        <f t="shared" si="25"/>
        <v>1.068820015357328</v>
      </c>
      <c r="P117" s="198">
        <f t="shared" si="17"/>
        <v>93.948638966636594</v>
      </c>
      <c r="AC117" s="202">
        <f t="shared" si="23"/>
        <v>1700</v>
      </c>
      <c r="AD117" s="199">
        <f t="shared" si="18"/>
        <v>214511252.04427201</v>
      </c>
      <c r="AE117" s="56" cm="1">
        <f t="array" ref="AE117">PRODUCT(EXP(-($B$14*$E$98:$O$98)/(2*$B$8*$AC117))/(1-EXP(-($B$14*$E$98:$O$98)/($B$8*$AC117))))</f>
        <v>3.1850395896036575E-2</v>
      </c>
      <c r="AF117" s="158">
        <f t="shared" si="19"/>
        <v>16699.729683120167</v>
      </c>
      <c r="AG117" s="200">
        <f t="shared" si="20"/>
        <v>2</v>
      </c>
      <c r="AH117" s="201">
        <f t="shared" si="21"/>
        <v>228194067524.0369</v>
      </c>
    </row>
    <row r="118" spans="2:34" ht="19" x14ac:dyDescent="0.25">
      <c r="C118" s="202">
        <f t="shared" si="22"/>
        <v>1800</v>
      </c>
      <c r="D118" s="410" t="s">
        <v>134</v>
      </c>
      <c r="E118" s="196">
        <f t="shared" si="25"/>
        <v>2.8010657961612853</v>
      </c>
      <c r="F118" s="196">
        <f t="shared" si="25"/>
        <v>2.8006799540164824</v>
      </c>
      <c r="G118" s="196">
        <f t="shared" si="25"/>
        <v>1.7238351663148543</v>
      </c>
      <c r="H118" s="196">
        <f t="shared" si="25"/>
        <v>1.6503414752956866</v>
      </c>
      <c r="I118" s="197">
        <f t="shared" si="25"/>
        <v>1.6503006410549041</v>
      </c>
      <c r="J118" s="197">
        <f t="shared" si="25"/>
        <v>1.4591239001777443</v>
      </c>
      <c r="K118" s="197">
        <f t="shared" si="25"/>
        <v>1.4589617944316731</v>
      </c>
      <c r="L118" s="197">
        <f t="shared" si="25"/>
        <v>1.2827682524501172</v>
      </c>
      <c r="M118" s="197">
        <f t="shared" si="25"/>
        <v>1.092207513317349</v>
      </c>
      <c r="N118" s="197">
        <f t="shared" si="25"/>
        <v>1.0810759749763887</v>
      </c>
      <c r="O118" s="197">
        <f t="shared" si="25"/>
        <v>1.081066174229683</v>
      </c>
      <c r="P118" s="198">
        <f t="shared" si="17"/>
        <v>128.38590886733368</v>
      </c>
      <c r="AC118" s="202">
        <f t="shared" si="23"/>
        <v>1800</v>
      </c>
      <c r="AD118" s="199">
        <f t="shared" si="18"/>
        <v>247462295.42217454</v>
      </c>
      <c r="AE118" s="56" cm="1">
        <f t="array" ref="AE118">PRODUCT(EXP(-($B$14*$E$98:$O$98)/(2*$B$8*$AC118))/(1-EXP(-($B$14*$E$98:$O$98)/($B$8*$AC118))))</f>
        <v>6.7843308090341101E-2</v>
      </c>
      <c r="AF118" s="158">
        <f t="shared" si="19"/>
        <v>18194.696552652149</v>
      </c>
      <c r="AG118" s="200">
        <f t="shared" si="20"/>
        <v>2</v>
      </c>
      <c r="AH118" s="201">
        <f t="shared" si="21"/>
        <v>610929175709.48596</v>
      </c>
    </row>
    <row r="119" spans="2:34" ht="19" x14ac:dyDescent="0.25">
      <c r="C119" s="202">
        <f t="shared" si="22"/>
        <v>1900</v>
      </c>
      <c r="D119" s="410" t="s">
        <v>134</v>
      </c>
      <c r="E119" s="196">
        <f t="shared" si="25"/>
        <v>2.924945701106219</v>
      </c>
      <c r="F119" s="196">
        <f t="shared" si="25"/>
        <v>2.9245377462621232</v>
      </c>
      <c r="G119" s="196">
        <f t="shared" si="25"/>
        <v>1.7841844363552049</v>
      </c>
      <c r="H119" s="196">
        <f t="shared" si="25"/>
        <v>1.7060773184039515</v>
      </c>
      <c r="I119" s="197">
        <f t="shared" si="25"/>
        <v>1.7060338994634945</v>
      </c>
      <c r="J119" s="197">
        <f t="shared" si="25"/>
        <v>1.5024056784346924</v>
      </c>
      <c r="K119" s="197">
        <f t="shared" si="25"/>
        <v>1.5022326418267054</v>
      </c>
      <c r="L119" s="197">
        <f t="shared" si="25"/>
        <v>1.3135370367653196</v>
      </c>
      <c r="M119" s="197">
        <f t="shared" si="25"/>
        <v>1.1063820394646258</v>
      </c>
      <c r="N119" s="197">
        <f t="shared" si="25"/>
        <v>1.0940317510861675</v>
      </c>
      <c r="O119" s="197">
        <f t="shared" si="25"/>
        <v>1.0940208533820397</v>
      </c>
      <c r="P119" s="198">
        <f t="shared" si="17"/>
        <v>174.3927912517438</v>
      </c>
      <c r="AC119" s="202">
        <f t="shared" si="23"/>
        <v>1900</v>
      </c>
      <c r="AD119" s="199">
        <f t="shared" si="18"/>
        <v>283277301.50088918</v>
      </c>
      <c r="AE119" s="56" cm="1">
        <f t="array" ref="AE119">PRODUCT(EXP(-($B$14*$E$98:$O$98)/(2*$B$8*$AC119))/(1-EXP(-($B$14*$E$98:$O$98)/($B$8*$AC119))))</f>
        <v>0.13708578201687482</v>
      </c>
      <c r="AF119" s="158">
        <f t="shared" si="19"/>
        <v>19731.788907128372</v>
      </c>
      <c r="AG119" s="200">
        <f t="shared" si="20"/>
        <v>2</v>
      </c>
      <c r="AH119" s="201">
        <f t="shared" si="21"/>
        <v>1532500577637.1252</v>
      </c>
    </row>
    <row r="120" spans="2:34" ht="20" thickBot="1" x14ac:dyDescent="0.3">
      <c r="C120" s="205">
        <f t="shared" si="22"/>
        <v>2000</v>
      </c>
      <c r="D120" s="410" t="s">
        <v>134</v>
      </c>
      <c r="E120" s="196">
        <f t="shared" si="25"/>
        <v>3.0490159304745492</v>
      </c>
      <c r="F120" s="196">
        <f t="shared" si="25"/>
        <v>3.0485858947427142</v>
      </c>
      <c r="G120" s="196">
        <f t="shared" si="25"/>
        <v>1.8448894807545992</v>
      </c>
      <c r="H120" s="196">
        <f t="shared" si="25"/>
        <v>1.7621911127316292</v>
      </c>
      <c r="I120" s="197">
        <f t="shared" si="25"/>
        <v>1.7621451221551614</v>
      </c>
      <c r="J120" s="197">
        <f t="shared" si="25"/>
        <v>1.5461376410559664</v>
      </c>
      <c r="K120" s="197">
        <f t="shared" si="25"/>
        <v>1.5459537456161039</v>
      </c>
      <c r="L120" s="197">
        <f t="shared" si="25"/>
        <v>1.3448476692762017</v>
      </c>
      <c r="M120" s="197">
        <f t="shared" si="25"/>
        <v>1.1211985933761472</v>
      </c>
      <c r="N120" s="197">
        <f t="shared" si="25"/>
        <v>1.1076282809029474</v>
      </c>
      <c r="O120" s="197">
        <f t="shared" si="25"/>
        <v>1.1076162838277872</v>
      </c>
      <c r="P120" s="206">
        <f t="shared" si="17"/>
        <v>235.45440432742566</v>
      </c>
      <c r="AC120" s="205">
        <f t="shared" si="23"/>
        <v>2000</v>
      </c>
      <c r="AD120" s="207">
        <f t="shared" si="18"/>
        <v>322034768.94959861</v>
      </c>
      <c r="AE120" s="208" cm="1">
        <f t="array" ref="AE120">PRODUCT(EXP(-($B$14*$E$98:$O$98)/(2*$B$8*$AC120))/(1-EXP(-($B$14*$E$98:$O$98)/($B$8*$AC120))))</f>
        <v>0.26460467280293681</v>
      </c>
      <c r="AF120" s="209">
        <f t="shared" si="19"/>
        <v>21309.882385923851</v>
      </c>
      <c r="AG120" s="210">
        <f t="shared" si="20"/>
        <v>2</v>
      </c>
      <c r="AH120" s="211">
        <f t="shared" si="21"/>
        <v>3631711332757.2109</v>
      </c>
    </row>
    <row r="122" spans="2:34" ht="17" thickBot="1" x14ac:dyDescent="0.25"/>
    <row r="123" spans="2:34" ht="32" thickBot="1" x14ac:dyDescent="0.5">
      <c r="C123" s="366" t="s">
        <v>92</v>
      </c>
      <c r="D123" s="177">
        <v>1</v>
      </c>
      <c r="E123" s="178">
        <f t="shared" ref="E123:L123" si="26">D123+1</f>
        <v>2</v>
      </c>
      <c r="F123" s="178">
        <f t="shared" si="26"/>
        <v>3</v>
      </c>
      <c r="G123" s="178">
        <f t="shared" si="26"/>
        <v>4</v>
      </c>
      <c r="H123" s="178">
        <f t="shared" si="26"/>
        <v>5</v>
      </c>
      <c r="I123" s="178">
        <f t="shared" si="26"/>
        <v>6</v>
      </c>
      <c r="J123" s="178">
        <f t="shared" si="26"/>
        <v>7</v>
      </c>
      <c r="K123" s="178">
        <f t="shared" si="26"/>
        <v>8</v>
      </c>
      <c r="L123" s="179">
        <f t="shared" si="26"/>
        <v>9</v>
      </c>
      <c r="M123" s="179">
        <f t="shared" ref="M123" si="27">L123+1</f>
        <v>10</v>
      </c>
      <c r="N123" s="179">
        <f t="shared" ref="N123" si="28">M123+1</f>
        <v>11</v>
      </c>
      <c r="O123" s="179">
        <f t="shared" ref="O123" si="29">N123+1</f>
        <v>12</v>
      </c>
      <c r="P123" s="175" t="s">
        <v>93</v>
      </c>
    </row>
    <row r="124" spans="2:34" ht="20" thickBot="1" x14ac:dyDescent="0.3">
      <c r="C124" s="185">
        <v>300</v>
      </c>
      <c r="D124" s="411" t="s">
        <v>134</v>
      </c>
      <c r="E124" s="368">
        <f t="shared" ref="E124:O124" si="30">EXP(-($B$14*E$98)/(2*$B$8*$C124))/(1-EXP(-($B$14*E$98)/($B$8*$C124)))</f>
        <v>0.28605466809964564</v>
      </c>
      <c r="F124" s="368">
        <f t="shared" si="30"/>
        <v>0.28597905135478008</v>
      </c>
      <c r="G124" s="368">
        <f t="shared" si="30"/>
        <v>7.4442125470606413E-2</v>
      </c>
      <c r="H124" s="368">
        <f t="shared" si="30"/>
        <v>6.1423169966283456E-2</v>
      </c>
      <c r="I124" s="368">
        <f t="shared" si="30"/>
        <v>6.1416106645977707E-2</v>
      </c>
      <c r="J124" s="368">
        <f t="shared" si="30"/>
        <v>3.1184221524910811E-2</v>
      </c>
      <c r="K124" s="368">
        <f t="shared" si="30"/>
        <v>3.1161542845974027E-2</v>
      </c>
      <c r="L124" s="368">
        <f t="shared" si="30"/>
        <v>1.0712656171881243E-2</v>
      </c>
      <c r="M124" s="368">
        <f t="shared" si="30"/>
        <v>6.0170498285201332E-4</v>
      </c>
      <c r="N124" s="368">
        <f t="shared" si="30"/>
        <v>4.2180135362153193E-4</v>
      </c>
      <c r="O124" s="368">
        <f t="shared" si="30"/>
        <v>4.2165987346826637E-4</v>
      </c>
      <c r="P124" s="309">
        <f xml:space="preserve"> PRODUCT(E124:O124)</f>
        <v>2.5593012527952635E-20</v>
      </c>
    </row>
    <row r="127" spans="2:34" ht="19" x14ac:dyDescent="0.25">
      <c r="B127" s="56"/>
      <c r="C127" s="56"/>
      <c r="D127" s="56"/>
      <c r="E127" s="56"/>
      <c r="F127" s="56" t="s">
        <v>77</v>
      </c>
      <c r="G127" s="56"/>
      <c r="H127" s="56"/>
      <c r="I127" s="56"/>
      <c r="J127" s="56"/>
      <c r="K127" s="56"/>
      <c r="L127" s="56"/>
      <c r="M127" s="56"/>
      <c r="N127" s="56"/>
      <c r="O127" s="56"/>
    </row>
    <row r="128" spans="2:34" ht="27" x14ac:dyDescent="0.35">
      <c r="B128" s="56"/>
      <c r="C128" s="149" t="s">
        <v>100</v>
      </c>
      <c r="D128" s="150"/>
      <c r="E128" s="56"/>
      <c r="F128" s="56"/>
      <c r="G128" s="56"/>
      <c r="H128" s="56"/>
      <c r="I128" s="56"/>
      <c r="J128" s="56"/>
      <c r="K128" s="56"/>
      <c r="L128" s="56"/>
      <c r="M128" s="56"/>
      <c r="N128" s="56"/>
      <c r="O128" s="56"/>
    </row>
    <row r="129" spans="2:15" ht="20" thickBot="1" x14ac:dyDescent="0.3">
      <c r="B129" s="56"/>
      <c r="C129" s="56"/>
      <c r="D129" s="56"/>
      <c r="E129" s="56"/>
      <c r="F129" s="56"/>
      <c r="G129" s="56"/>
      <c r="H129" s="56"/>
      <c r="I129" s="56"/>
      <c r="J129" s="56"/>
      <c r="K129" s="56"/>
      <c r="L129" s="56"/>
      <c r="M129" s="56"/>
      <c r="N129" s="56"/>
      <c r="O129" s="56"/>
    </row>
    <row r="130" spans="2:15" ht="20" thickBot="1" x14ac:dyDescent="0.3">
      <c r="B130" s="56"/>
      <c r="C130" s="57" t="s">
        <v>34</v>
      </c>
      <c r="D130" s="58"/>
      <c r="E130" s="58"/>
      <c r="F130" s="59"/>
      <c r="G130" s="56"/>
      <c r="H130" s="56"/>
      <c r="I130" s="56"/>
      <c r="J130" s="56"/>
      <c r="K130" s="56"/>
      <c r="L130" s="56"/>
      <c r="M130" s="56"/>
      <c r="N130" s="56"/>
      <c r="O130" s="56"/>
    </row>
    <row r="131" spans="2:15" ht="20" thickBot="1" x14ac:dyDescent="0.3">
      <c r="B131" s="56"/>
      <c r="C131" s="62"/>
      <c r="D131" s="63" t="s">
        <v>37</v>
      </c>
      <c r="E131" s="64" t="s">
        <v>38</v>
      </c>
      <c r="F131" s="65" t="s">
        <v>39</v>
      </c>
      <c r="G131" s="56"/>
      <c r="H131" s="56"/>
      <c r="I131" s="56"/>
      <c r="J131" s="56"/>
      <c r="K131" s="56"/>
      <c r="L131" s="56"/>
      <c r="M131" s="56"/>
      <c r="N131" s="56"/>
      <c r="O131" s="56"/>
    </row>
    <row r="132" spans="2:15" ht="22" thickBot="1" x14ac:dyDescent="0.3">
      <c r="B132" s="56"/>
      <c r="C132" s="212" t="s">
        <v>101</v>
      </c>
      <c r="D132" s="90">
        <f>D24*($Q$8)^2</f>
        <v>2.0063739399999998E-46</v>
      </c>
      <c r="E132" s="90">
        <f t="shared" ref="E132:F132" si="31">E24*($Q$8)^2</f>
        <v>5.1736406600000005E-46</v>
      </c>
      <c r="F132" s="90">
        <f t="shared" si="31"/>
        <v>5.1736805E-46</v>
      </c>
      <c r="G132" s="56"/>
      <c r="H132" s="56"/>
      <c r="I132" s="56"/>
      <c r="J132" s="56"/>
      <c r="K132" s="56"/>
      <c r="L132" s="56"/>
      <c r="M132" s="56"/>
      <c r="N132" s="56"/>
      <c r="O132" s="56"/>
    </row>
    <row r="133" spans="2:15" ht="19" x14ac:dyDescent="0.25">
      <c r="B133" s="56"/>
      <c r="C133" s="56"/>
      <c r="D133" s="56"/>
      <c r="E133" s="56"/>
      <c r="F133" s="56"/>
      <c r="G133" s="56"/>
      <c r="H133" s="56"/>
      <c r="I133" s="56"/>
      <c r="J133" s="56"/>
      <c r="K133" s="56"/>
      <c r="L133" s="56"/>
      <c r="M133" s="56"/>
      <c r="N133" s="56"/>
      <c r="O133" s="56"/>
    </row>
    <row r="134" spans="2:15" ht="19" x14ac:dyDescent="0.25">
      <c r="B134" s="56"/>
      <c r="C134" s="56"/>
      <c r="D134" s="56"/>
      <c r="E134" s="56"/>
      <c r="F134" s="56"/>
      <c r="G134" s="56"/>
      <c r="H134" s="56"/>
      <c r="I134" s="56"/>
      <c r="J134" s="56"/>
      <c r="K134" s="56"/>
      <c r="L134" s="56"/>
      <c r="M134" s="56"/>
      <c r="N134" s="56"/>
      <c r="O134" s="56"/>
    </row>
    <row r="135" spans="2:15" ht="20" thickBot="1" x14ac:dyDescent="0.3">
      <c r="B135" s="56"/>
      <c r="C135" s="56"/>
      <c r="D135" s="56"/>
      <c r="E135" s="56"/>
      <c r="F135" s="56"/>
      <c r="G135" s="56"/>
      <c r="H135" s="56"/>
      <c r="I135" s="56"/>
      <c r="J135" s="56"/>
      <c r="K135" s="56"/>
      <c r="L135" s="56"/>
      <c r="M135" s="56"/>
      <c r="N135" s="56"/>
      <c r="O135" s="56"/>
    </row>
    <row r="136" spans="2:15" ht="23" thickBot="1" x14ac:dyDescent="0.35">
      <c r="B136" s="56"/>
      <c r="C136" s="213" t="s">
        <v>79</v>
      </c>
      <c r="D136" s="151" t="s">
        <v>210</v>
      </c>
      <c r="E136" s="151" t="s">
        <v>211</v>
      </c>
      <c r="F136" s="56"/>
      <c r="G136" s="56"/>
      <c r="H136" s="153" t="s">
        <v>169</v>
      </c>
      <c r="I136" s="154"/>
      <c r="J136" s="154"/>
      <c r="K136" s="154"/>
      <c r="L136" s="154"/>
      <c r="M136" s="154"/>
      <c r="N136" s="154"/>
      <c r="O136" s="56"/>
    </row>
    <row r="137" spans="2:15" ht="20" thickBot="1" x14ac:dyDescent="0.3">
      <c r="B137" s="56"/>
      <c r="C137" s="155">
        <v>298.14999999999998</v>
      </c>
      <c r="D137" s="157">
        <f t="shared" ref="D137:D155" si="32">(8*PI()^2*(2*PI()*$B$8*C137)^(3/2)*SQRT($D$132*$E$132*$F$132))/($I$139*$B$14^3)</f>
        <v>8273.1968544735737</v>
      </c>
      <c r="E137" s="157">
        <f>(SQRT(PI())/$A$31)*((C137^1.5)/SQRT($C$29*$D$29*$E$29))</f>
        <v>1226.5585376093843</v>
      </c>
      <c r="F137" s="158"/>
      <c r="G137" s="56"/>
      <c r="H137" s="56"/>
      <c r="I137" s="56"/>
      <c r="J137" s="56"/>
      <c r="K137" s="56"/>
      <c r="L137" s="56"/>
      <c r="M137" s="56"/>
      <c r="N137" s="56"/>
      <c r="O137" s="56"/>
    </row>
    <row r="138" spans="2:15" ht="20" thickBot="1" x14ac:dyDescent="0.3">
      <c r="B138" s="56"/>
      <c r="C138" s="155">
        <v>300</v>
      </c>
      <c r="D138" s="157">
        <f t="shared" si="32"/>
        <v>8350.3180951679133</v>
      </c>
      <c r="E138" s="157">
        <f>(SQRT(PI())/$A$31)*((C138^1.5)/SQRT($C$29*$D$29*$E$29))</f>
        <v>1237.9922938548289</v>
      </c>
      <c r="F138" s="56"/>
      <c r="G138" s="56"/>
      <c r="L138" s="151" t="s">
        <v>194</v>
      </c>
      <c r="M138" s="151" t="s">
        <v>193</v>
      </c>
      <c r="N138" s="56"/>
      <c r="O138" s="56"/>
    </row>
    <row r="139" spans="2:15" ht="20" thickBot="1" x14ac:dyDescent="0.3">
      <c r="B139" s="56"/>
      <c r="C139" s="159">
        <f>C138+100</f>
        <v>400</v>
      </c>
      <c r="D139" s="161">
        <f t="shared" si="32"/>
        <v>12856.155733504644</v>
      </c>
      <c r="E139" s="161">
        <f t="shared" ref="E139:E155" si="33">(SQRT(PI())/$A$31)*((C139^1.5)/SQRT($C$29*$D$29*$E$29))</f>
        <v>1906.0138242980477</v>
      </c>
      <c r="F139" s="56"/>
      <c r="H139" s="97" t="s">
        <v>106</v>
      </c>
      <c r="I139" s="103">
        <v>1</v>
      </c>
      <c r="K139" s="162" t="s">
        <v>84</v>
      </c>
      <c r="L139" s="129">
        <f>$D$137</f>
        <v>8273.1968544735737</v>
      </c>
      <c r="M139" s="204">
        <f>$E$138</f>
        <v>1237.9922938548289</v>
      </c>
      <c r="N139" s="56"/>
      <c r="O139" s="56"/>
    </row>
    <row r="140" spans="2:15" ht="20" thickBot="1" x14ac:dyDescent="0.3">
      <c r="B140" s="56"/>
      <c r="C140" s="159">
        <f t="shared" ref="C140:C155" si="34">C139+100</f>
        <v>500</v>
      </c>
      <c r="D140" s="161">
        <f t="shared" si="32"/>
        <v>17967.023843399882</v>
      </c>
      <c r="E140" s="161">
        <f t="shared" si="33"/>
        <v>2663.735298240485</v>
      </c>
      <c r="F140" s="56"/>
      <c r="G140" s="56"/>
      <c r="K140" s="163" t="s">
        <v>85</v>
      </c>
      <c r="L140" s="147">
        <f>P34</f>
        <v>1237.99</v>
      </c>
      <c r="M140" s="147">
        <f>L140</f>
        <v>1237.99</v>
      </c>
      <c r="N140" s="56"/>
      <c r="O140" s="56"/>
    </row>
    <row r="141" spans="2:15" ht="22" x14ac:dyDescent="0.3">
      <c r="B141" s="56"/>
      <c r="C141" s="159">
        <f t="shared" si="34"/>
        <v>600</v>
      </c>
      <c r="D141" s="161">
        <f t="shared" si="32"/>
        <v>23618.266200631922</v>
      </c>
      <c r="E141" s="161">
        <f t="shared" si="33"/>
        <v>3501.5709841657513</v>
      </c>
      <c r="F141" s="56"/>
      <c r="G141" s="56"/>
      <c r="H141" s="56"/>
      <c r="I141" s="56"/>
      <c r="K141" s="164" t="s">
        <v>86</v>
      </c>
      <c r="L141" s="165">
        <f>ABS(L139-L140)/L139</f>
        <v>0.85036135102592414</v>
      </c>
      <c r="M141" s="165">
        <f>ABS(M139-M140)/M139</f>
        <v>1.8528829623864746E-6</v>
      </c>
      <c r="N141" s="56"/>
      <c r="O141" s="56"/>
    </row>
    <row r="142" spans="2:15" ht="19" x14ac:dyDescent="0.25">
      <c r="B142" s="56"/>
      <c r="C142" s="159">
        <f t="shared" si="34"/>
        <v>700</v>
      </c>
      <c r="D142" s="161">
        <f t="shared" si="32"/>
        <v>29762.417026273972</v>
      </c>
      <c r="E142" s="161">
        <f t="shared" si="33"/>
        <v>4412.483752725816</v>
      </c>
      <c r="F142" s="56"/>
      <c r="G142" s="56"/>
    </row>
    <row r="143" spans="2:15" ht="19" x14ac:dyDescent="0.25">
      <c r="B143" s="56"/>
      <c r="C143" s="159">
        <f t="shared" si="34"/>
        <v>800</v>
      </c>
      <c r="D143" s="161">
        <f t="shared" si="32"/>
        <v>36362.699596605366</v>
      </c>
      <c r="E143" s="161">
        <f t="shared" si="33"/>
        <v>5391.0212007858127</v>
      </c>
      <c r="F143" s="56"/>
      <c r="G143" s="56"/>
    </row>
    <row r="144" spans="2:15" ht="19" x14ac:dyDescent="0.25">
      <c r="B144" s="56"/>
      <c r="C144" s="159">
        <f t="shared" si="34"/>
        <v>900</v>
      </c>
      <c r="D144" s="161">
        <f t="shared" si="32"/>
        <v>43389.525600577617</v>
      </c>
      <c r="E144" s="161">
        <f t="shared" si="33"/>
        <v>6432.7966570059098</v>
      </c>
      <c r="F144" s="56"/>
      <c r="G144" s="56"/>
    </row>
    <row r="145" spans="3:5" ht="19" x14ac:dyDescent="0.25">
      <c r="C145" s="159">
        <f t="shared" si="34"/>
        <v>1000</v>
      </c>
      <c r="D145" s="161">
        <f t="shared" si="32"/>
        <v>50818.41758963318</v>
      </c>
      <c r="E145" s="161">
        <f t="shared" si="33"/>
        <v>7534.181170687265</v>
      </c>
    </row>
    <row r="146" spans="3:5" ht="19" x14ac:dyDescent="0.25">
      <c r="C146" s="159">
        <f t="shared" si="34"/>
        <v>1100</v>
      </c>
      <c r="D146" s="161">
        <f t="shared" si="32"/>
        <v>58628.686619814631</v>
      </c>
      <c r="E146" s="161">
        <f t="shared" si="33"/>
        <v>8692.1074630871244</v>
      </c>
    </row>
    <row r="147" spans="3:5" ht="19" x14ac:dyDescent="0.25">
      <c r="C147" s="159">
        <f t="shared" si="34"/>
        <v>1200</v>
      </c>
      <c r="D147" s="161">
        <f t="shared" si="32"/>
        <v>66802.54476134367</v>
      </c>
      <c r="E147" s="161">
        <f t="shared" si="33"/>
        <v>9903.9383508386345</v>
      </c>
    </row>
    <row r="148" spans="3:5" ht="19" x14ac:dyDescent="0.25">
      <c r="C148" s="159">
        <f t="shared" si="34"/>
        <v>1300</v>
      </c>
      <c r="D148" s="161">
        <f t="shared" si="32"/>
        <v>75324.484141563415</v>
      </c>
      <c r="E148" s="161">
        <f t="shared" si="33"/>
        <v>11167.374684780951</v>
      </c>
    </row>
    <row r="149" spans="3:5" ht="19" x14ac:dyDescent="0.25">
      <c r="C149" s="159">
        <f t="shared" si="34"/>
        <v>1400</v>
      </c>
      <c r="D149" s="161">
        <f t="shared" si="32"/>
        <v>84180.827615121379</v>
      </c>
      <c r="E149" s="161">
        <f t="shared" si="33"/>
        <v>12480.38873371157</v>
      </c>
    </row>
    <row r="150" spans="3:5" ht="19" x14ac:dyDescent="0.25">
      <c r="C150" s="159">
        <f t="shared" si="34"/>
        <v>1500</v>
      </c>
      <c r="D150" s="161">
        <f t="shared" si="32"/>
        <v>93359.394472709784</v>
      </c>
      <c r="E150" s="161">
        <f t="shared" si="33"/>
        <v>13841.174623401472</v>
      </c>
    </row>
    <row r="151" spans="3:5" ht="19" x14ac:dyDescent="0.25">
      <c r="C151" s="159">
        <f t="shared" si="34"/>
        <v>1600</v>
      </c>
      <c r="D151" s="161">
        <f t="shared" si="32"/>
        <v>102849.24586803628</v>
      </c>
      <c r="E151" s="161">
        <f t="shared" si="33"/>
        <v>15248.110594384389</v>
      </c>
    </row>
    <row r="152" spans="3:5" ht="19" x14ac:dyDescent="0.25">
      <c r="C152" s="159">
        <f t="shared" si="34"/>
        <v>1700</v>
      </c>
      <c r="D152" s="161">
        <f t="shared" si="32"/>
        <v>112640.48706083803</v>
      </c>
      <c r="E152" s="161">
        <f t="shared" si="33"/>
        <v>16699.729683120167</v>
      </c>
    </row>
    <row r="153" spans="3:5" ht="19" x14ac:dyDescent="0.25">
      <c r="C153" s="159">
        <f t="shared" si="34"/>
        <v>1800</v>
      </c>
      <c r="D153" s="161">
        <f t="shared" si="32"/>
        <v>122724.1111385433</v>
      </c>
      <c r="E153" s="161">
        <f t="shared" si="33"/>
        <v>18194.696552652149</v>
      </c>
    </row>
    <row r="154" spans="3:5" ht="19" x14ac:dyDescent="0.25">
      <c r="C154" s="159">
        <f t="shared" si="34"/>
        <v>1900</v>
      </c>
      <c r="D154" s="161">
        <f t="shared" si="32"/>
        <v>133091.87365632254</v>
      </c>
      <c r="E154" s="161">
        <f t="shared" si="33"/>
        <v>19731.788907128372</v>
      </c>
    </row>
    <row r="155" spans="3:5" ht="20" thickBot="1" x14ac:dyDescent="0.3">
      <c r="C155" s="166">
        <f t="shared" si="34"/>
        <v>2000</v>
      </c>
      <c r="D155" s="168">
        <f t="shared" si="32"/>
        <v>143736.1907471978</v>
      </c>
      <c r="E155" s="168">
        <f t="shared" si="33"/>
        <v>21309.882385923851</v>
      </c>
    </row>
    <row r="162" spans="2:16" ht="19" x14ac:dyDescent="0.25">
      <c r="B162" s="56"/>
      <c r="C162" s="56"/>
      <c r="D162" s="56"/>
      <c r="E162" s="56"/>
      <c r="F162" s="56"/>
      <c r="G162" s="56"/>
      <c r="H162" s="56"/>
      <c r="I162" s="56"/>
      <c r="J162" s="56"/>
      <c r="K162" s="56"/>
      <c r="L162" s="56"/>
      <c r="M162" s="56"/>
      <c r="N162" s="56"/>
      <c r="O162" s="56"/>
      <c r="P162" s="56"/>
    </row>
    <row r="163" spans="2:16" ht="19" x14ac:dyDescent="0.25">
      <c r="B163" s="56"/>
      <c r="C163" s="56"/>
      <c r="D163" s="56"/>
      <c r="E163" s="56"/>
      <c r="F163" s="56" t="s">
        <v>77</v>
      </c>
      <c r="G163" s="56"/>
      <c r="H163" s="56"/>
      <c r="I163" s="56"/>
      <c r="J163" s="56"/>
      <c r="K163" s="56"/>
      <c r="L163" s="56"/>
      <c r="M163" s="56"/>
      <c r="N163" s="56"/>
      <c r="O163" s="56"/>
    </row>
    <row r="164" spans="2:16" ht="27" x14ac:dyDescent="0.35">
      <c r="B164" s="56"/>
      <c r="C164" s="149" t="s">
        <v>107</v>
      </c>
      <c r="D164" s="150"/>
      <c r="E164" s="56"/>
      <c r="F164" s="56"/>
      <c r="G164" s="56"/>
      <c r="H164" s="56"/>
      <c r="I164" s="56"/>
      <c r="J164" s="56"/>
      <c r="K164" s="56"/>
      <c r="L164" s="56"/>
      <c r="M164" s="56"/>
      <c r="N164" s="56"/>
      <c r="O164" s="56"/>
    </row>
    <row r="165" spans="2:16" ht="19" x14ac:dyDescent="0.25">
      <c r="B165" s="56"/>
      <c r="C165" s="56"/>
      <c r="D165" s="56"/>
      <c r="E165" s="56"/>
      <c r="F165" s="56"/>
      <c r="G165" s="56"/>
      <c r="H165" s="56"/>
      <c r="I165" s="56"/>
      <c r="J165" s="56"/>
      <c r="K165" s="56"/>
      <c r="L165" s="56"/>
      <c r="M165" s="56"/>
      <c r="N165" s="56"/>
      <c r="O165" s="56"/>
    </row>
    <row r="166" spans="2:16" ht="20" thickBot="1" x14ac:dyDescent="0.3">
      <c r="B166" s="56"/>
      <c r="C166" s="137" t="s">
        <v>108</v>
      </c>
      <c r="F166" s="56"/>
      <c r="G166" s="56"/>
      <c r="H166" s="56"/>
      <c r="I166" s="56"/>
      <c r="J166" s="56"/>
      <c r="K166" s="56"/>
      <c r="L166" s="56"/>
      <c r="M166" s="56"/>
      <c r="N166" s="56"/>
      <c r="O166" s="56"/>
    </row>
    <row r="167" spans="2:16" ht="20" thickBot="1" x14ac:dyDescent="0.3">
      <c r="B167" s="56"/>
      <c r="C167" s="180"/>
      <c r="D167" s="138">
        <v>1</v>
      </c>
      <c r="E167" s="139">
        <f>D167+1</f>
        <v>2</v>
      </c>
      <c r="F167" s="139">
        <f t="shared" ref="F167:G167" si="35">E167+1</f>
        <v>3</v>
      </c>
      <c r="G167" s="139">
        <f t="shared" si="35"/>
        <v>4</v>
      </c>
      <c r="H167" s="140" t="s">
        <v>109</v>
      </c>
      <c r="I167" s="56"/>
      <c r="J167" s="56"/>
      <c r="K167" s="56"/>
      <c r="L167" s="56"/>
      <c r="M167" s="56"/>
      <c r="N167" s="56"/>
      <c r="O167" s="56"/>
    </row>
    <row r="168" spans="2:16" ht="20" thickBot="1" x14ac:dyDescent="0.3">
      <c r="B168" s="56"/>
      <c r="C168" s="214" t="s">
        <v>110</v>
      </c>
      <c r="D168" s="215">
        <f>J$46</f>
        <v>-41.009557727900003</v>
      </c>
      <c r="E168" s="215">
        <f t="shared" ref="E168:F168" si="36">K$46</f>
        <v>-41.009480150900004</v>
      </c>
      <c r="F168" s="215">
        <f t="shared" si="36"/>
        <v>-41.009478674100002</v>
      </c>
      <c r="G168" s="215">
        <f t="shared" ref="G168" si="37">M$46</f>
        <v>-41.009478704899998</v>
      </c>
      <c r="H168" s="215">
        <f t="shared" ref="H168" si="38">N$46</f>
        <v>-41.009478704899998</v>
      </c>
      <c r="I168" s="56"/>
      <c r="J168" s="56"/>
      <c r="K168" s="56"/>
      <c r="L168" s="56"/>
      <c r="M168" s="56"/>
      <c r="N168" s="56"/>
      <c r="O168" s="56"/>
    </row>
    <row r="169" spans="2:16" ht="20" thickBot="1" x14ac:dyDescent="0.3">
      <c r="B169" s="56"/>
      <c r="C169" s="216" t="s">
        <v>111</v>
      </c>
      <c r="D169" s="217">
        <f>D168*$K$7</f>
        <v>-1.7880167169364402E-16</v>
      </c>
      <c r="E169" s="217">
        <f t="shared" ref="E169:H169" si="39">E168*$K$7</f>
        <v>-1.78801333457924E-16</v>
      </c>
      <c r="F169" s="217">
        <f t="shared" si="39"/>
        <v>-1.78801327019076E-16</v>
      </c>
      <c r="G169" s="217">
        <f t="shared" si="39"/>
        <v>-1.7880132715336399E-16</v>
      </c>
      <c r="H169" s="217">
        <f t="shared" si="39"/>
        <v>-1.7880132715336399E-16</v>
      </c>
      <c r="I169" s="56"/>
      <c r="J169" s="56"/>
      <c r="K169" s="56"/>
      <c r="L169" s="56"/>
      <c r="M169" s="56"/>
      <c r="N169" s="56"/>
      <c r="O169" s="56"/>
    </row>
    <row r="170" spans="2:16" ht="20" thickBot="1" x14ac:dyDescent="0.3">
      <c r="B170" s="56"/>
      <c r="D170" s="56"/>
      <c r="E170" s="56"/>
      <c r="F170" s="56"/>
      <c r="G170" s="56"/>
      <c r="H170" s="56"/>
      <c r="I170" s="56"/>
      <c r="J170" s="56"/>
      <c r="K170" s="56"/>
      <c r="L170" s="56"/>
      <c r="M170" s="56"/>
      <c r="N170" s="56"/>
      <c r="O170" s="56"/>
    </row>
    <row r="171" spans="2:16" ht="22" thickBot="1" x14ac:dyDescent="0.35">
      <c r="B171" s="56"/>
      <c r="C171" s="218" t="s">
        <v>112</v>
      </c>
      <c r="D171" s="56"/>
      <c r="E171" s="56"/>
      <c r="F171" s="56"/>
      <c r="G171" s="56"/>
      <c r="H171" s="56"/>
      <c r="I171" s="56"/>
      <c r="J171" s="56"/>
      <c r="K171" s="56"/>
      <c r="L171" s="56"/>
      <c r="M171" s="56"/>
      <c r="N171" s="56"/>
      <c r="O171" s="56"/>
    </row>
    <row r="172" spans="2:16" ht="23" thickBot="1" x14ac:dyDescent="0.35">
      <c r="B172" s="56"/>
      <c r="C172" s="219">
        <f>H169+L23</f>
        <v>-1.7861379483336399E-16</v>
      </c>
      <c r="F172" s="56"/>
      <c r="G172" s="56"/>
      <c r="H172" s="153" t="s">
        <v>169</v>
      </c>
      <c r="I172" s="154"/>
      <c r="J172" s="154"/>
      <c r="K172" s="154"/>
      <c r="L172" s="154"/>
      <c r="M172" s="154"/>
      <c r="N172" s="56"/>
      <c r="O172" s="56"/>
    </row>
    <row r="173" spans="2:16" ht="20" thickBot="1" x14ac:dyDescent="0.3">
      <c r="B173" s="56"/>
      <c r="F173" s="158"/>
      <c r="G173" s="56"/>
      <c r="H173" s="56"/>
      <c r="I173" s="56"/>
      <c r="J173" s="56"/>
      <c r="K173" s="56"/>
      <c r="L173" s="56"/>
      <c r="M173" s="56"/>
      <c r="N173" s="56"/>
      <c r="O173" s="56"/>
    </row>
    <row r="174" spans="2:16" ht="22" thickBot="1" x14ac:dyDescent="0.3">
      <c r="B174" s="56"/>
      <c r="C174" s="213" t="s">
        <v>79</v>
      </c>
      <c r="D174" s="220" t="s">
        <v>113</v>
      </c>
      <c r="F174" s="56"/>
      <c r="G174" s="56"/>
      <c r="L174" s="151" t="s">
        <v>170</v>
      </c>
      <c r="M174" s="56"/>
      <c r="N174" s="56"/>
      <c r="O174" s="56"/>
    </row>
    <row r="175" spans="2:16" ht="20" thickBot="1" x14ac:dyDescent="0.3">
      <c r="B175" s="56"/>
      <c r="C175" s="155">
        <v>298.14999999999998</v>
      </c>
      <c r="D175" s="157">
        <f>2</f>
        <v>2</v>
      </c>
      <c r="F175" s="56"/>
      <c r="G175" s="56"/>
      <c r="K175" s="162" t="s">
        <v>84</v>
      </c>
      <c r="L175" s="129">
        <f>2</f>
        <v>2</v>
      </c>
      <c r="M175" s="56"/>
      <c r="N175" s="56"/>
      <c r="O175" s="56"/>
    </row>
    <row r="176" spans="2:16" ht="20" thickBot="1" x14ac:dyDescent="0.3">
      <c r="B176" s="56"/>
      <c r="C176" s="155">
        <v>300</v>
      </c>
      <c r="D176" s="157">
        <f>2</f>
        <v>2</v>
      </c>
      <c r="F176" s="56"/>
      <c r="G176" s="56"/>
      <c r="K176" s="163" t="s">
        <v>85</v>
      </c>
      <c r="L176" s="147">
        <f>P32</f>
        <v>2</v>
      </c>
      <c r="M176" s="56"/>
      <c r="N176" s="56"/>
      <c r="O176" s="56"/>
    </row>
    <row r="177" spans="2:15" ht="22" x14ac:dyDescent="0.3">
      <c r="B177" s="56"/>
      <c r="C177" s="159">
        <f>C176+100</f>
        <v>400</v>
      </c>
      <c r="D177" s="161">
        <f>2</f>
        <v>2</v>
      </c>
      <c r="F177" s="56"/>
      <c r="G177" s="56"/>
      <c r="H177" s="56"/>
      <c r="I177" s="56"/>
      <c r="K177" s="164" t="s">
        <v>86</v>
      </c>
      <c r="L177" s="165">
        <f>ABS(L175-L176)/L175</f>
        <v>0</v>
      </c>
      <c r="M177" s="56"/>
      <c r="N177" s="56"/>
      <c r="O177" s="56"/>
    </row>
    <row r="178" spans="2:15" ht="19" x14ac:dyDescent="0.25">
      <c r="B178" s="56"/>
      <c r="C178" s="159">
        <f t="shared" ref="C178:C193" si="40">C177+100</f>
        <v>500</v>
      </c>
      <c r="D178" s="161">
        <f>2</f>
        <v>2</v>
      </c>
      <c r="F178" s="56"/>
      <c r="G178" s="56"/>
    </row>
    <row r="179" spans="2:15" ht="19" x14ac:dyDescent="0.25">
      <c r="B179" s="56"/>
      <c r="C179" s="159">
        <f t="shared" si="40"/>
        <v>600</v>
      </c>
      <c r="D179" s="161">
        <f>2</f>
        <v>2</v>
      </c>
      <c r="F179" s="56"/>
      <c r="G179" s="56"/>
    </row>
    <row r="180" spans="2:15" ht="19" x14ac:dyDescent="0.25">
      <c r="B180" s="56"/>
      <c r="C180" s="159">
        <f t="shared" si="40"/>
        <v>700</v>
      </c>
      <c r="D180" s="161">
        <f>2</f>
        <v>2</v>
      </c>
      <c r="F180" s="56"/>
      <c r="G180" s="56"/>
    </row>
    <row r="181" spans="2:15" ht="19" x14ac:dyDescent="0.25">
      <c r="C181" s="159">
        <f t="shared" si="40"/>
        <v>800</v>
      </c>
      <c r="D181" s="161">
        <f>2</f>
        <v>2</v>
      </c>
    </row>
    <row r="182" spans="2:15" ht="19" x14ac:dyDescent="0.25">
      <c r="C182" s="159">
        <f t="shared" si="40"/>
        <v>900</v>
      </c>
      <c r="D182" s="161">
        <f>2</f>
        <v>2</v>
      </c>
    </row>
    <row r="183" spans="2:15" ht="19" x14ac:dyDescent="0.25">
      <c r="C183" s="159">
        <f t="shared" si="40"/>
        <v>1000</v>
      </c>
      <c r="D183" s="161">
        <f>2</f>
        <v>2</v>
      </c>
    </row>
    <row r="184" spans="2:15" ht="19" x14ac:dyDescent="0.25">
      <c r="C184" s="159">
        <f t="shared" si="40"/>
        <v>1100</v>
      </c>
      <c r="D184" s="161">
        <f>2</f>
        <v>2</v>
      </c>
    </row>
    <row r="185" spans="2:15" ht="19" x14ac:dyDescent="0.25">
      <c r="C185" s="159">
        <f t="shared" si="40"/>
        <v>1200</v>
      </c>
      <c r="D185" s="161">
        <f>2</f>
        <v>2</v>
      </c>
    </row>
    <row r="186" spans="2:15" ht="19" x14ac:dyDescent="0.25">
      <c r="C186" s="159">
        <f t="shared" si="40"/>
        <v>1300</v>
      </c>
      <c r="D186" s="161">
        <f>2</f>
        <v>2</v>
      </c>
    </row>
    <row r="187" spans="2:15" ht="19" x14ac:dyDescent="0.25">
      <c r="C187" s="159">
        <f t="shared" si="40"/>
        <v>1400</v>
      </c>
      <c r="D187" s="161">
        <f>2</f>
        <v>2</v>
      </c>
    </row>
    <row r="188" spans="2:15" ht="19" x14ac:dyDescent="0.25">
      <c r="C188" s="159">
        <f t="shared" si="40"/>
        <v>1500</v>
      </c>
      <c r="D188" s="161">
        <f>2</f>
        <v>2</v>
      </c>
    </row>
    <row r="189" spans="2:15" ht="19" x14ac:dyDescent="0.25">
      <c r="C189" s="159">
        <f t="shared" si="40"/>
        <v>1600</v>
      </c>
      <c r="D189" s="161">
        <f>2</f>
        <v>2</v>
      </c>
    </row>
    <row r="190" spans="2:15" ht="19" x14ac:dyDescent="0.25">
      <c r="C190" s="159">
        <f t="shared" si="40"/>
        <v>1700</v>
      </c>
      <c r="D190" s="161">
        <f>2</f>
        <v>2</v>
      </c>
    </row>
    <row r="191" spans="2:15" ht="19" x14ac:dyDescent="0.25">
      <c r="C191" s="159">
        <f t="shared" si="40"/>
        <v>1800</v>
      </c>
      <c r="D191" s="161">
        <f>2</f>
        <v>2</v>
      </c>
    </row>
    <row r="192" spans="2:15" ht="19" x14ac:dyDescent="0.25">
      <c r="C192" s="159">
        <f t="shared" si="40"/>
        <v>1900</v>
      </c>
      <c r="D192" s="161">
        <f>2</f>
        <v>2</v>
      </c>
    </row>
    <row r="193" spans="3:11" ht="20" thickBot="1" x14ac:dyDescent="0.3">
      <c r="C193" s="166">
        <f t="shared" si="40"/>
        <v>2000</v>
      </c>
      <c r="D193" s="168">
        <f>2</f>
        <v>2</v>
      </c>
    </row>
    <row r="197" spans="3:11" ht="17" thickBot="1" x14ac:dyDescent="0.25"/>
    <row r="198" spans="3:11" ht="20" thickBot="1" x14ac:dyDescent="0.3">
      <c r="E198" s="56"/>
      <c r="F198" s="56" t="s">
        <v>77</v>
      </c>
      <c r="G198" s="56"/>
      <c r="H198" s="467" t="s">
        <v>114</v>
      </c>
      <c r="I198" s="468"/>
      <c r="J198" s="468"/>
      <c r="K198" s="469"/>
    </row>
    <row r="199" spans="3:11" ht="28" thickBot="1" x14ac:dyDescent="0.4">
      <c r="C199" s="149" t="s">
        <v>115</v>
      </c>
      <c r="D199" s="150"/>
      <c r="E199" s="56"/>
      <c r="F199" s="56"/>
      <c r="G199" s="56"/>
      <c r="H199" s="221" t="s">
        <v>116</v>
      </c>
      <c r="I199" s="221" t="s">
        <v>117</v>
      </c>
      <c r="J199" s="221" t="s">
        <v>118</v>
      </c>
      <c r="K199" s="221" t="s">
        <v>119</v>
      </c>
    </row>
    <row r="202" spans="3:11" ht="17" thickBot="1" x14ac:dyDescent="0.25"/>
    <row r="203" spans="3:11" ht="20" thickBot="1" x14ac:dyDescent="0.25">
      <c r="D203" s="461" t="s">
        <v>120</v>
      </c>
      <c r="E203" s="462"/>
    </row>
    <row r="204" spans="3:11" ht="20" thickBot="1" x14ac:dyDescent="0.3">
      <c r="D204" s="173" t="s">
        <v>121</v>
      </c>
      <c r="E204" s="222" t="s">
        <v>122</v>
      </c>
    </row>
    <row r="205" spans="3:11" ht="19" x14ac:dyDescent="0.25">
      <c r="C205" s="82" t="s">
        <v>45</v>
      </c>
      <c r="D205" s="223">
        <f>$Q23</f>
        <v>9.2159999999999993</v>
      </c>
      <c r="E205" s="129">
        <f>D205*4.184</f>
        <v>38.559744000000002</v>
      </c>
    </row>
    <row r="206" spans="3:11" ht="19" x14ac:dyDescent="0.25">
      <c r="C206" s="88" t="s">
        <v>48</v>
      </c>
      <c r="D206" s="223">
        <f t="shared" ref="D206:D209" si="41">$Q24</f>
        <v>0</v>
      </c>
      <c r="E206" s="135">
        <f t="shared" ref="E206:E209" si="42">D206*4.184</f>
        <v>0</v>
      </c>
    </row>
    <row r="207" spans="3:11" ht="19" x14ac:dyDescent="0.25">
      <c r="C207" s="88" t="s">
        <v>50</v>
      </c>
      <c r="D207" s="223">
        <f t="shared" si="41"/>
        <v>2.9809999999999999</v>
      </c>
      <c r="E207" s="135">
        <f t="shared" si="42"/>
        <v>12.472504000000001</v>
      </c>
    </row>
    <row r="208" spans="3:11" ht="19" x14ac:dyDescent="0.25">
      <c r="C208" s="88" t="s">
        <v>52</v>
      </c>
      <c r="D208" s="223">
        <f t="shared" si="41"/>
        <v>2.9809999999999999</v>
      </c>
      <c r="E208" s="135">
        <f t="shared" si="42"/>
        <v>12.472504000000001</v>
      </c>
    </row>
    <row r="209" spans="3:16" ht="20" thickBot="1" x14ac:dyDescent="0.3">
      <c r="C209" s="93" t="s">
        <v>55</v>
      </c>
      <c r="D209" s="223">
        <f t="shared" si="41"/>
        <v>3.2549999999999999</v>
      </c>
      <c r="E209" s="135">
        <f t="shared" si="42"/>
        <v>13.618919999999999</v>
      </c>
      <c r="K209">
        <f>COLUMN(E205)</f>
        <v>5</v>
      </c>
    </row>
    <row r="210" spans="3:16" ht="24" customHeight="1" x14ac:dyDescent="0.2"/>
    <row r="211" spans="3:16" ht="17" thickBot="1" x14ac:dyDescent="0.25"/>
    <row r="212" spans="3:16" ht="23" thickBot="1" x14ac:dyDescent="0.35">
      <c r="D212" s="464" t="s">
        <v>122</v>
      </c>
      <c r="E212" s="465"/>
      <c r="F212" s="465"/>
      <c r="G212" s="465"/>
      <c r="H212" s="466"/>
      <c r="J212" s="153" t="s">
        <v>169</v>
      </c>
      <c r="K212" s="154"/>
      <c r="L212" s="154"/>
      <c r="M212" s="154"/>
      <c r="N212" s="154"/>
      <c r="O212" s="154"/>
      <c r="P212" s="56"/>
    </row>
    <row r="213" spans="3:16" ht="20" thickBot="1" x14ac:dyDescent="0.3">
      <c r="C213" s="213" t="s">
        <v>79</v>
      </c>
      <c r="D213" s="224" t="s">
        <v>123</v>
      </c>
      <c r="E213" s="225" t="s">
        <v>124</v>
      </c>
      <c r="F213" s="225" t="s">
        <v>125</v>
      </c>
      <c r="G213" s="226" t="s">
        <v>126</v>
      </c>
      <c r="H213" s="218" t="s">
        <v>127</v>
      </c>
      <c r="J213" s="56"/>
      <c r="K213" s="56"/>
      <c r="L213" s="56"/>
      <c r="M213" s="56"/>
      <c r="N213" s="56"/>
      <c r="O213" s="56"/>
      <c r="P213" s="56"/>
    </row>
    <row r="214" spans="3:16" ht="20" thickBot="1" x14ac:dyDescent="0.3">
      <c r="C214" s="185">
        <v>298.14999999999998</v>
      </c>
      <c r="D214" s="227">
        <f>3*$B$7/2</f>
        <v>12.471599999999999</v>
      </c>
      <c r="E214" s="228" cm="1">
        <f t="array" ref="E214">$B$7*SUM(($D$43:$D$53*$D$43:$D$53)*EXP($D$43:$D$53/$C214)/($C214^2*(EXP($D$43:$D$53/$C214)-1)^2))</f>
        <v>13.459789333244897</v>
      </c>
      <c r="F214" s="229">
        <f>3*$B$7/2</f>
        <v>12.471599999999999</v>
      </c>
      <c r="G214" s="229">
        <v>0</v>
      </c>
      <c r="H214" s="230">
        <f t="shared" ref="H214:H232" si="43">SUM(D214:G214)</f>
        <v>38.402989333244889</v>
      </c>
      <c r="K214" s="224" t="s">
        <v>123</v>
      </c>
      <c r="L214" s="225" t="s">
        <v>124</v>
      </c>
      <c r="M214" s="225" t="s">
        <v>125</v>
      </c>
      <c r="N214" s="226" t="s">
        <v>126</v>
      </c>
      <c r="O214" s="218" t="s">
        <v>127</v>
      </c>
      <c r="P214" s="56"/>
    </row>
    <row r="215" spans="3:16" ht="19" x14ac:dyDescent="0.25">
      <c r="C215" s="155">
        <v>300</v>
      </c>
      <c r="D215" s="227">
        <f>3*$B$7/2</f>
        <v>12.471599999999999</v>
      </c>
      <c r="E215" s="228" cm="1">
        <f t="array" ref="E215">$B$7*SUM(($D$43:$D$53*$D$43:$D$53)*EXP($D$43:$D$53/$C215)/($C215^2*(EXP($D$43:$D$53/$C215)-1)^2))</f>
        <v>13.617958993524759</v>
      </c>
      <c r="F215" s="229">
        <f>3*$B$7/2</f>
        <v>12.471599999999999</v>
      </c>
      <c r="G215" s="231">
        <v>0</v>
      </c>
      <c r="H215" s="230">
        <f t="shared" si="43"/>
        <v>38.561158993524757</v>
      </c>
      <c r="J215" s="162" t="s">
        <v>84</v>
      </c>
      <c r="K215" s="129">
        <f>D$215</f>
        <v>12.471599999999999</v>
      </c>
      <c r="L215" s="129">
        <f>E$215</f>
        <v>13.617958993524759</v>
      </c>
      <c r="M215" s="129">
        <f>F$215</f>
        <v>12.471599999999999</v>
      </c>
      <c r="N215" s="129">
        <f>G$215</f>
        <v>0</v>
      </c>
      <c r="O215" s="129">
        <f>H$215</f>
        <v>38.561158993524757</v>
      </c>
      <c r="P215" s="56"/>
    </row>
    <row r="216" spans="3:16" ht="20" thickBot="1" x14ac:dyDescent="0.3">
      <c r="C216" s="159">
        <f>C215+100</f>
        <v>400</v>
      </c>
      <c r="D216" s="232">
        <f t="shared" ref="D216:D232" si="44">3*$B$7/2</f>
        <v>12.471599999999999</v>
      </c>
      <c r="E216" s="233" cm="1">
        <f t="array" ref="E216">$B$7*SUM(($D$43:$D$53*$D$43:$D$53)*EXP($D$43:$D$53/$C216)/($C216^2*(EXP($D$43:$D$53/$C216)-1)^2))</f>
        <v>22.269228118340774</v>
      </c>
      <c r="F216" s="234">
        <f t="shared" ref="F216:F232" si="45">3*$B$7/2</f>
        <v>12.471599999999999</v>
      </c>
      <c r="G216" s="235">
        <v>0</v>
      </c>
      <c r="H216" s="310">
        <f t="shared" si="43"/>
        <v>47.212428118340767</v>
      </c>
      <c r="J216" s="163" t="s">
        <v>85</v>
      </c>
      <c r="K216" s="147">
        <f>E207</f>
        <v>12.472504000000001</v>
      </c>
      <c r="L216" s="147">
        <f>E209</f>
        <v>13.618919999999999</v>
      </c>
      <c r="M216" s="147">
        <f>E208</f>
        <v>12.472504000000001</v>
      </c>
      <c r="N216" s="147">
        <f>E206</f>
        <v>0</v>
      </c>
      <c r="O216" s="147">
        <f>E205</f>
        <v>38.559744000000002</v>
      </c>
      <c r="P216" s="56"/>
    </row>
    <row r="217" spans="3:16" ht="22" x14ac:dyDescent="0.3">
      <c r="C217" s="159">
        <f t="shared" ref="C217:C232" si="46">C216+100</f>
        <v>500</v>
      </c>
      <c r="D217" s="232">
        <f t="shared" si="44"/>
        <v>12.471599999999999</v>
      </c>
      <c r="E217" s="233" cm="1">
        <f t="array" ref="E217">$B$7*SUM(($D$43:$D$53*$D$43:$D$53)*EXP($D$43:$D$53/$C217)/($C217^2*(EXP($D$43:$D$53/$C217)-1)^2))</f>
        <v>30.376878444081107</v>
      </c>
      <c r="F217" s="234">
        <f t="shared" si="45"/>
        <v>12.471599999999999</v>
      </c>
      <c r="G217" s="235">
        <v>0</v>
      </c>
      <c r="H217" s="310">
        <f t="shared" si="43"/>
        <v>55.320078444081105</v>
      </c>
      <c r="J217" s="164" t="s">
        <v>86</v>
      </c>
      <c r="K217" s="165">
        <f>IFERROR(ABS(K215-K216)/K215,0)</f>
        <v>7.2484685204946797E-5</v>
      </c>
      <c r="L217" s="165">
        <f t="shared" ref="L217:O217" si="47">IFERROR(ABS(L215-L216)/L215,0)</f>
        <v>7.0569053387300042E-5</v>
      </c>
      <c r="M217" s="165">
        <f t="shared" si="47"/>
        <v>7.2484685204946797E-5</v>
      </c>
      <c r="N217" s="165">
        <f t="shared" si="47"/>
        <v>0</v>
      </c>
      <c r="O217" s="165">
        <f t="shared" si="47"/>
        <v>3.6694787233757699E-5</v>
      </c>
      <c r="P217" s="56"/>
    </row>
    <row r="218" spans="3:16" ht="19" x14ac:dyDescent="0.25">
      <c r="C218" s="159">
        <f t="shared" si="46"/>
        <v>600</v>
      </c>
      <c r="D218" s="232">
        <f t="shared" si="44"/>
        <v>12.471599999999999</v>
      </c>
      <c r="E218" s="233" cm="1">
        <f t="array" ref="E218">$B$7*SUM(($D$43:$D$53*$D$43:$D$53)*EXP($D$43:$D$53/$C218)/($C218^2*(EXP($D$43:$D$53/$C218)-1)^2))</f>
        <v>37.483431597625753</v>
      </c>
      <c r="F218" s="234">
        <f t="shared" si="45"/>
        <v>12.471599999999999</v>
      </c>
      <c r="G218" s="235">
        <v>0</v>
      </c>
      <c r="H218" s="310">
        <f t="shared" si="43"/>
        <v>62.426631597625743</v>
      </c>
    </row>
    <row r="219" spans="3:16" ht="19" x14ac:dyDescent="0.25">
      <c r="C219" s="159">
        <f t="shared" si="46"/>
        <v>700</v>
      </c>
      <c r="D219" s="232">
        <f t="shared" si="44"/>
        <v>12.471599999999999</v>
      </c>
      <c r="E219" s="233" cm="1">
        <f t="array" ref="E219">$B$7*SUM(($D$43:$D$53*$D$43:$D$53)*EXP($D$43:$D$53/$C219)/($C219^2*(EXP($D$43:$D$53/$C219)-1)^2))</f>
        <v>43.623425661654693</v>
      </c>
      <c r="F219" s="234">
        <f t="shared" si="45"/>
        <v>12.471599999999999</v>
      </c>
      <c r="G219" s="235">
        <v>0</v>
      </c>
      <c r="H219" s="310">
        <f t="shared" si="43"/>
        <v>68.566625661654683</v>
      </c>
    </row>
    <row r="220" spans="3:16" ht="19" x14ac:dyDescent="0.25">
      <c r="C220" s="159">
        <f t="shared" si="46"/>
        <v>800</v>
      </c>
      <c r="D220" s="232">
        <f t="shared" si="44"/>
        <v>12.471599999999999</v>
      </c>
      <c r="E220" s="233" cm="1">
        <f t="array" ref="E220">$B$7*SUM(($D$43:$D$53*$D$43:$D$53)*EXP($D$43:$D$53/$C220)/($C220^2*(EXP($D$43:$D$53/$C220)-1)^2))</f>
        <v>48.94650018801336</v>
      </c>
      <c r="F220" s="234">
        <f t="shared" si="45"/>
        <v>12.471599999999999</v>
      </c>
      <c r="G220" s="235">
        <v>0</v>
      </c>
      <c r="H220" s="310">
        <f t="shared" si="43"/>
        <v>73.88970018801335</v>
      </c>
    </row>
    <row r="221" spans="3:16" ht="19" x14ac:dyDescent="0.25">
      <c r="C221" s="159">
        <f t="shared" si="46"/>
        <v>900</v>
      </c>
      <c r="D221" s="232">
        <f t="shared" si="44"/>
        <v>12.471599999999999</v>
      </c>
      <c r="E221" s="233" cm="1">
        <f t="array" ref="E221">$B$7*SUM(($D$43:$D$53*$D$43:$D$53)*EXP($D$43:$D$53/$C221)/($C221^2*(EXP($D$43:$D$53/$C221)-1)^2))</f>
        <v>53.584944905022049</v>
      </c>
      <c r="F221" s="234">
        <f t="shared" si="45"/>
        <v>12.471599999999999</v>
      </c>
      <c r="G221" s="235">
        <v>0</v>
      </c>
      <c r="H221" s="310">
        <f t="shared" si="43"/>
        <v>78.528144905022046</v>
      </c>
    </row>
    <row r="222" spans="3:16" ht="19" x14ac:dyDescent="0.25">
      <c r="C222" s="159">
        <f t="shared" si="46"/>
        <v>1000</v>
      </c>
      <c r="D222" s="232">
        <f t="shared" si="44"/>
        <v>12.471599999999999</v>
      </c>
      <c r="E222" s="233" cm="1">
        <f t="array" ref="E222">$B$7*SUM(($D$43:$D$53*$D$43:$D$53)*EXP($D$43:$D$53/$C222)/($C222^2*(EXP($D$43:$D$53/$C222)-1)^2))</f>
        <v>57.638172999016128</v>
      </c>
      <c r="F222" s="234">
        <f t="shared" si="45"/>
        <v>12.471599999999999</v>
      </c>
      <c r="G222" s="235">
        <v>0</v>
      </c>
      <c r="H222" s="310">
        <f t="shared" si="43"/>
        <v>82.581372999016125</v>
      </c>
    </row>
    <row r="223" spans="3:16" ht="19" x14ac:dyDescent="0.25">
      <c r="C223" s="159">
        <f t="shared" si="46"/>
        <v>1100</v>
      </c>
      <c r="D223" s="232">
        <f t="shared" si="44"/>
        <v>12.471599999999999</v>
      </c>
      <c r="E223" s="233" cm="1">
        <f t="array" ref="E223">$B$7*SUM(($D$43:$D$53*$D$43:$D$53)*EXP($D$43:$D$53/$C223)/($C223^2*(EXP($D$43:$D$53/$C223)-1)^2))</f>
        <v>61.183430981671009</v>
      </c>
      <c r="F223" s="234">
        <f t="shared" si="45"/>
        <v>12.471599999999999</v>
      </c>
      <c r="G223" s="235">
        <v>0</v>
      </c>
      <c r="H223" s="310">
        <f t="shared" si="43"/>
        <v>86.126630981670999</v>
      </c>
    </row>
    <row r="224" spans="3:16" ht="19" x14ac:dyDescent="0.25">
      <c r="C224" s="159">
        <f t="shared" si="46"/>
        <v>1200</v>
      </c>
      <c r="D224" s="232">
        <f t="shared" si="44"/>
        <v>12.471599999999999</v>
      </c>
      <c r="E224" s="233" cm="1">
        <f t="array" ref="E224">$B$7*SUM(($D$43:$D$53*$D$43:$D$53)*EXP($D$43:$D$53/$C224)/($C224^2*(EXP($D$43:$D$53/$C224)-1)^2))</f>
        <v>64.285205258402755</v>
      </c>
      <c r="F224" s="234">
        <f t="shared" si="45"/>
        <v>12.471599999999999</v>
      </c>
      <c r="G224" s="235">
        <v>0</v>
      </c>
      <c r="H224" s="310">
        <f t="shared" si="43"/>
        <v>89.228405258402745</v>
      </c>
    </row>
    <row r="225" spans="3:11" ht="19" x14ac:dyDescent="0.25">
      <c r="C225" s="159">
        <f t="shared" si="46"/>
        <v>1300</v>
      </c>
      <c r="D225" s="232">
        <f t="shared" si="44"/>
        <v>12.471599999999999</v>
      </c>
      <c r="E225" s="233" cm="1">
        <f t="array" ref="E225">$B$7*SUM(($D$43:$D$53*$D$43:$D$53)*EXP($D$43:$D$53/$C225)/($C225^2*(EXP($D$43:$D$53/$C225)-1)^2))</f>
        <v>66.999933783308975</v>
      </c>
      <c r="F225" s="234">
        <f t="shared" si="45"/>
        <v>12.471599999999999</v>
      </c>
      <c r="G225" s="235">
        <v>0</v>
      </c>
      <c r="H225" s="310">
        <f t="shared" si="43"/>
        <v>91.943133783308966</v>
      </c>
    </row>
    <row r="226" spans="3:11" ht="19" x14ac:dyDescent="0.25">
      <c r="C226" s="159">
        <f t="shared" si="46"/>
        <v>1400</v>
      </c>
      <c r="D226" s="232">
        <f t="shared" si="44"/>
        <v>12.471599999999999</v>
      </c>
      <c r="E226" s="233" cm="1">
        <f t="array" ref="E226">$B$7*SUM(($D$43:$D$53*$D$43:$D$53)*EXP($D$43:$D$53/$C226)/($C226^2*(EXP($D$43:$D$53/$C226)-1)^2))</f>
        <v>69.377824887984104</v>
      </c>
      <c r="F226" s="234">
        <f t="shared" si="45"/>
        <v>12.471599999999999</v>
      </c>
      <c r="G226" s="235">
        <v>0</v>
      </c>
      <c r="H226" s="310">
        <f t="shared" si="43"/>
        <v>94.321024887984095</v>
      </c>
    </row>
    <row r="227" spans="3:11" ht="19" x14ac:dyDescent="0.25">
      <c r="C227" s="159">
        <f t="shared" si="46"/>
        <v>1500</v>
      </c>
      <c r="D227" s="232">
        <f t="shared" si="44"/>
        <v>12.471599999999999</v>
      </c>
      <c r="E227" s="233" cm="1">
        <f t="array" ref="E227">$B$7*SUM(($D$43:$D$53*$D$43:$D$53)*EXP($D$43:$D$53/$C227)/($C227^2*(EXP($D$43:$D$53/$C227)-1)^2))</f>
        <v>71.463479667584849</v>
      </c>
      <c r="F227" s="234">
        <f t="shared" si="45"/>
        <v>12.471599999999999</v>
      </c>
      <c r="G227" s="235">
        <v>0</v>
      </c>
      <c r="H227" s="310">
        <f t="shared" si="43"/>
        <v>96.406679667584839</v>
      </c>
    </row>
    <row r="228" spans="3:11" ht="19" x14ac:dyDescent="0.25">
      <c r="C228" s="159">
        <f t="shared" si="46"/>
        <v>1600</v>
      </c>
      <c r="D228" s="232">
        <f t="shared" si="44"/>
        <v>12.471599999999999</v>
      </c>
      <c r="E228" s="233" cm="1">
        <f t="array" ref="E228">$B$7*SUM(($D$43:$D$53*$D$43:$D$53)*EXP($D$43:$D$53/$C228)/($C228^2*(EXP($D$43:$D$53/$C228)-1)^2))</f>
        <v>73.296195798864531</v>
      </c>
      <c r="F228" s="234">
        <f t="shared" si="45"/>
        <v>12.471599999999999</v>
      </c>
      <c r="G228" s="235">
        <v>0</v>
      </c>
      <c r="H228" s="310">
        <f t="shared" si="43"/>
        <v>98.239395798864521</v>
      </c>
    </row>
    <row r="229" spans="3:11" ht="19" x14ac:dyDescent="0.25">
      <c r="C229" s="159">
        <f t="shared" si="46"/>
        <v>1700</v>
      </c>
      <c r="D229" s="232">
        <f t="shared" si="44"/>
        <v>12.471599999999999</v>
      </c>
      <c r="E229" s="233" cm="1">
        <f t="array" ref="E229">$B$7*SUM(($D$43:$D$53*$D$43:$D$53)*EXP($D$43:$D$53/$C229)/($C229^2*(EXP($D$43:$D$53/$C229)-1)^2))</f>
        <v>74.910282931416432</v>
      </c>
      <c r="F229" s="234">
        <f t="shared" si="45"/>
        <v>12.471599999999999</v>
      </c>
      <c r="G229" s="235">
        <v>0</v>
      </c>
      <c r="H229" s="310">
        <f t="shared" si="43"/>
        <v>99.853482931416423</v>
      </c>
    </row>
    <row r="230" spans="3:11" ht="19" x14ac:dyDescent="0.25">
      <c r="C230" s="159">
        <f t="shared" si="46"/>
        <v>1800</v>
      </c>
      <c r="D230" s="232">
        <f t="shared" si="44"/>
        <v>12.471599999999999</v>
      </c>
      <c r="E230" s="233" cm="1">
        <f t="array" ref="E230">$B$7*SUM(($D$43:$D$53*$D$43:$D$53)*EXP($D$43:$D$53/$C230)/($C230^2*(EXP($D$43:$D$53/$C230)-1)^2))</f>
        <v>76.33546199654819</v>
      </c>
      <c r="F230" s="234">
        <f t="shared" si="45"/>
        <v>12.471599999999999</v>
      </c>
      <c r="G230" s="235">
        <v>0</v>
      </c>
      <c r="H230" s="310">
        <f t="shared" si="43"/>
        <v>101.27866199654818</v>
      </c>
    </row>
    <row r="231" spans="3:11" ht="19" x14ac:dyDescent="0.25">
      <c r="C231" s="159">
        <f t="shared" si="46"/>
        <v>1900</v>
      </c>
      <c r="D231" s="232">
        <f t="shared" si="44"/>
        <v>12.471599999999999</v>
      </c>
      <c r="E231" s="233" cm="1">
        <f t="array" ref="E231">$B$7*SUM(($D$43:$D$53*$D$43:$D$53)*EXP($D$43:$D$53/$C231)/($C231^2*(EXP($D$43:$D$53/$C231)-1)^2))</f>
        <v>77.597327706766009</v>
      </c>
      <c r="F231" s="234">
        <f t="shared" si="45"/>
        <v>12.471599999999999</v>
      </c>
      <c r="G231" s="235">
        <v>0</v>
      </c>
      <c r="H231" s="310">
        <f t="shared" si="43"/>
        <v>102.540527706766</v>
      </c>
    </row>
    <row r="232" spans="3:11" ht="20" thickBot="1" x14ac:dyDescent="0.3">
      <c r="C232" s="166">
        <f t="shared" si="46"/>
        <v>2000</v>
      </c>
      <c r="D232" s="236">
        <f t="shared" si="44"/>
        <v>12.471599999999999</v>
      </c>
      <c r="E232" s="237" cm="1">
        <f t="array" ref="E232">$B$7*SUM(($D$43:$D$53*$D$43:$D$53)*EXP($D$43:$D$53/$C232)/($C232^2*(EXP($D$43:$D$53/$C232)-1)^2))</f>
        <v>78.717833780714457</v>
      </c>
      <c r="F232" s="238">
        <f t="shared" si="45"/>
        <v>12.471599999999999</v>
      </c>
      <c r="G232" s="239">
        <v>0</v>
      </c>
      <c r="H232" s="311">
        <f t="shared" si="43"/>
        <v>103.66103378071445</v>
      </c>
    </row>
    <row r="238" spans="3:11" ht="17" thickBot="1" x14ac:dyDescent="0.25"/>
    <row r="239" spans="3:11" ht="20" thickBot="1" x14ac:dyDescent="0.3">
      <c r="E239" s="56"/>
      <c r="F239" s="56" t="s">
        <v>77</v>
      </c>
      <c r="G239" s="56"/>
      <c r="H239" s="467" t="s">
        <v>114</v>
      </c>
      <c r="I239" s="468"/>
      <c r="J239" s="468"/>
      <c r="K239" s="469"/>
    </row>
    <row r="240" spans="3:11" ht="28" thickBot="1" x14ac:dyDescent="0.4">
      <c r="C240" s="149" t="s">
        <v>128</v>
      </c>
      <c r="D240" s="150"/>
      <c r="E240" s="56"/>
      <c r="F240" s="56"/>
      <c r="G240" s="56"/>
      <c r="H240" s="221" t="s">
        <v>116</v>
      </c>
      <c r="I240" s="221" t="s">
        <v>117</v>
      </c>
      <c r="J240" s="221" t="s">
        <v>118</v>
      </c>
      <c r="K240" s="221" t="s">
        <v>119</v>
      </c>
    </row>
    <row r="244" spans="3:10" ht="20" thickBot="1" x14ac:dyDescent="0.25">
      <c r="D244" s="470"/>
      <c r="E244" s="470"/>
    </row>
    <row r="245" spans="3:10" ht="20" thickBot="1" x14ac:dyDescent="0.25">
      <c r="D245" s="461" t="s">
        <v>129</v>
      </c>
      <c r="E245" s="462"/>
    </row>
    <row r="246" spans="3:10" ht="20" thickBot="1" x14ac:dyDescent="0.3">
      <c r="D246" s="173" t="s">
        <v>121</v>
      </c>
      <c r="E246" s="222" t="s">
        <v>122</v>
      </c>
    </row>
    <row r="247" spans="3:10" ht="19" x14ac:dyDescent="0.25">
      <c r="C247" s="82" t="s">
        <v>45</v>
      </c>
      <c r="D247" s="241">
        <f>$R23</f>
        <v>54.274999999999999</v>
      </c>
      <c r="E247" s="129">
        <f>D247*4.184</f>
        <v>227.0866</v>
      </c>
    </row>
    <row r="248" spans="3:10" ht="19" x14ac:dyDescent="0.25">
      <c r="C248" s="88" t="s">
        <v>48</v>
      </c>
      <c r="D248" s="241">
        <f t="shared" ref="D248:D251" si="48">$R24</f>
        <v>1.377</v>
      </c>
      <c r="E248" s="135">
        <f t="shared" ref="E248:E251" si="49">D248*4.184</f>
        <v>5.761368</v>
      </c>
    </row>
    <row r="249" spans="3:10" ht="19" x14ac:dyDescent="0.25">
      <c r="C249" s="88" t="s">
        <v>50</v>
      </c>
      <c r="D249" s="241">
        <f t="shared" si="48"/>
        <v>34.473999999999997</v>
      </c>
      <c r="E249" s="135">
        <f t="shared" si="49"/>
        <v>144.239216</v>
      </c>
    </row>
    <row r="250" spans="3:10" ht="19" x14ac:dyDescent="0.25">
      <c r="C250" s="88" t="s">
        <v>52</v>
      </c>
      <c r="D250" s="241">
        <f t="shared" si="48"/>
        <v>17.132000000000001</v>
      </c>
      <c r="E250" s="135">
        <f t="shared" si="49"/>
        <v>71.680288000000004</v>
      </c>
    </row>
    <row r="251" spans="3:10" ht="20" thickBot="1" x14ac:dyDescent="0.3">
      <c r="C251" s="93" t="s">
        <v>55</v>
      </c>
      <c r="D251" s="241">
        <f t="shared" si="48"/>
        <v>1.2909999999999999</v>
      </c>
      <c r="E251" s="135">
        <f t="shared" si="49"/>
        <v>5.4015439999999995</v>
      </c>
    </row>
    <row r="253" spans="3:10" ht="17" thickBot="1" x14ac:dyDescent="0.25"/>
    <row r="254" spans="3:10" ht="20" thickBot="1" x14ac:dyDescent="0.3">
      <c r="C254" s="57" t="s">
        <v>34</v>
      </c>
      <c r="D254" s="242"/>
      <c r="E254" s="242"/>
      <c r="F254" s="242"/>
      <c r="G254" s="243"/>
      <c r="I254" s="66" t="s">
        <v>130</v>
      </c>
      <c r="J254" s="244">
        <f>($B$14^2)/(8*PI()*PI()*$G$258*$B$8)</f>
        <v>0.53086193527805459</v>
      </c>
    </row>
    <row r="255" spans="3:10" ht="20" thickBot="1" x14ac:dyDescent="0.3">
      <c r="C255" s="245"/>
      <c r="D255" s="63" t="s">
        <v>37</v>
      </c>
      <c r="E255" s="64" t="s">
        <v>38</v>
      </c>
      <c r="F255" s="65" t="s">
        <v>39</v>
      </c>
      <c r="G255" s="218" t="s">
        <v>127</v>
      </c>
      <c r="I255" s="111"/>
      <c r="J255" s="111"/>
    </row>
    <row r="256" spans="3:10" ht="22" thickBot="1" x14ac:dyDescent="0.3">
      <c r="C256" s="74" t="s">
        <v>44</v>
      </c>
      <c r="D256" s="328">
        <f>D$23</f>
        <v>12.086589999999999</v>
      </c>
      <c r="E256" s="76">
        <f t="shared" ref="E256:F256" si="50">E$23</f>
        <v>31.166509999999999</v>
      </c>
      <c r="F256" s="329">
        <f t="shared" si="50"/>
        <v>31.16675</v>
      </c>
      <c r="G256" s="194">
        <f>SQRT(F256^2 + E256^2 + D256^2)</f>
        <v>45.703427759531344</v>
      </c>
      <c r="J256" s="111"/>
    </row>
    <row r="257" spans="1:18" ht="22" thickBot="1" x14ac:dyDescent="0.3">
      <c r="C257" s="86" t="s">
        <v>47</v>
      </c>
      <c r="D257" s="246">
        <f>D256*$U$9</f>
        <v>2.0063739399999997E-26</v>
      </c>
      <c r="E257" s="223">
        <f t="shared" ref="E257:F257" si="51">E256*$U$9</f>
        <v>5.17364066E-26</v>
      </c>
      <c r="F257" s="330">
        <f t="shared" si="51"/>
        <v>5.1736804999999998E-26</v>
      </c>
      <c r="G257" s="194">
        <f t="shared" ref="G257:G258" si="52">SQRT(F257^2 + E257^2 + D257^2)</f>
        <v>7.5867690080822026E-26</v>
      </c>
    </row>
    <row r="258" spans="1:18" ht="22" thickBot="1" x14ac:dyDescent="0.3">
      <c r="C258" s="89" t="s">
        <v>49</v>
      </c>
      <c r="D258" s="90">
        <f>D257*($Q$8)^2</f>
        <v>2.0063739399999998E-46</v>
      </c>
      <c r="E258" s="91">
        <f>E257*($Q$8)^2</f>
        <v>5.1736406600000005E-46</v>
      </c>
      <c r="F258" s="247">
        <f t="shared" ref="F258" si="53">F257*($Q$8)^2</f>
        <v>5.1736805E-46</v>
      </c>
      <c r="G258" s="194">
        <f t="shared" si="52"/>
        <v>7.5867690080822031E-46</v>
      </c>
    </row>
    <row r="259" spans="1:18" ht="17" thickBot="1" x14ac:dyDescent="0.25"/>
    <row r="260" spans="1:18" ht="20" thickBot="1" x14ac:dyDescent="0.3">
      <c r="F260" s="248" t="s">
        <v>122</v>
      </c>
      <c r="G260" s="249"/>
      <c r="H260" s="249"/>
      <c r="I260" s="249"/>
      <c r="J260" s="250"/>
    </row>
    <row r="261" spans="1:18" ht="23" thickBot="1" x14ac:dyDescent="0.35">
      <c r="C261" s="213" t="s">
        <v>79</v>
      </c>
      <c r="D261" s="251" t="s">
        <v>131</v>
      </c>
      <c r="E261" s="185" t="s">
        <v>132</v>
      </c>
      <c r="F261" s="252" t="s">
        <v>123</v>
      </c>
      <c r="G261" s="253" t="s">
        <v>124</v>
      </c>
      <c r="H261" s="253" t="s">
        <v>125</v>
      </c>
      <c r="I261" s="254" t="s">
        <v>126</v>
      </c>
      <c r="J261" s="218" t="s">
        <v>127</v>
      </c>
      <c r="L261" s="153" t="s">
        <v>169</v>
      </c>
      <c r="M261" s="154"/>
      <c r="N261" s="154"/>
      <c r="O261" s="154"/>
      <c r="P261" s="154"/>
      <c r="Q261" s="154"/>
    </row>
    <row r="262" spans="1:18" ht="20" thickBot="1" x14ac:dyDescent="0.3">
      <c r="C262" s="185">
        <v>298.14999999999998</v>
      </c>
      <c r="D262" s="255">
        <f>$B$7*C262/$B$16</f>
        <v>2.4465219442388352E-2</v>
      </c>
      <c r="E262" s="256">
        <f>((2*PI()*$A$28*$U$9*$B$8*$C262)/($B$14*$B$14))^(3/2)</f>
        <v>6.8016301069047208E+31</v>
      </c>
      <c r="F262" s="257">
        <f t="shared" ref="F262:F280" si="54">$B$7*LN(($D262/$B$6)*EXP(5/2)*E262)</f>
        <v>144.10432929314956</v>
      </c>
      <c r="G262" s="258" cm="1">
        <f t="array" ref="G262">$B$7*SUM((($D$43:$D$53)/$C262)/(EXP($D$43:$D$53/$C262)-1)-LN(1-EXP(-$D$43:$D$53/$C262)))</f>
        <v>5.3185711745771931</v>
      </c>
      <c r="H262" s="259">
        <f>$B$7*(LN((SQRT(PI())/$A$31)*($C262^(3/2)/SQRT(C$29*D$29*E$29)))+3/2)</f>
        <v>71.60334332964365</v>
      </c>
      <c r="I262" s="260">
        <f>$B$7*LN(2)</f>
        <v>5.7631029180476085</v>
      </c>
      <c r="J262" s="261">
        <f t="shared" ref="J262:J280" si="55">SUM(F262:I262)</f>
        <v>226.78934671541802</v>
      </c>
      <c r="L262" s="56"/>
      <c r="M262" s="56"/>
      <c r="N262" s="56"/>
      <c r="O262" s="56"/>
      <c r="P262" s="56"/>
      <c r="Q262" s="56"/>
    </row>
    <row r="263" spans="1:18" ht="20" thickBot="1" x14ac:dyDescent="0.3">
      <c r="C263" s="155">
        <v>300</v>
      </c>
      <c r="D263" s="255">
        <f>$B$7*C263/$B$16</f>
        <v>2.4617024426350848E-2</v>
      </c>
      <c r="E263" s="256">
        <f>((2*PI()*$A$28*$U$9*$B$8*$C263)/($B$14*$B$14))^(3/2)</f>
        <v>6.8650336692537546E+31</v>
      </c>
      <c r="F263" s="262">
        <f t="shared" si="54"/>
        <v>144.23290648153377</v>
      </c>
      <c r="G263" s="228" cm="1">
        <f t="array" ref="G263">$B$7*SUM((($D$43:$D$53)/$C263)/(EXP($D$43:$D$53/$C263)-1)-LN(1-EXP(-$D$43:$D$53/$C263)))</f>
        <v>5.4023187589013917</v>
      </c>
      <c r="H263" s="263">
        <f t="shared" ref="H263:H280" si="56">$B$7*(LN((SQRT(PI())/$A$31)*($C263^(3/2)/SQRT(C$29*D$29*E$29)))+3/2)</f>
        <v>71.680489642674161</v>
      </c>
      <c r="I263" s="231">
        <f t="shared" ref="I263:I280" si="57">$B$7*LN(2)</f>
        <v>5.7631029180476085</v>
      </c>
      <c r="J263" s="261">
        <f t="shared" si="55"/>
        <v>227.07881780115696</v>
      </c>
      <c r="N263" s="224" t="s">
        <v>123</v>
      </c>
      <c r="O263" s="225" t="s">
        <v>124</v>
      </c>
      <c r="P263" s="225" t="s">
        <v>125</v>
      </c>
      <c r="Q263" s="226" t="s">
        <v>126</v>
      </c>
      <c r="R263" s="218" t="s">
        <v>127</v>
      </c>
    </row>
    <row r="264" spans="1:18" ht="20" thickBot="1" x14ac:dyDescent="0.3">
      <c r="C264" s="159">
        <f>C263+100</f>
        <v>400</v>
      </c>
      <c r="D264" s="264">
        <f t="shared" ref="D264:D280" si="58">$B$7*C264/$B$16</f>
        <v>3.2822699235134464E-2</v>
      </c>
      <c r="E264" s="265">
        <f t="shared" ref="E264:E280" si="59">(2*PI()*$A$28*$U$9*$B$8*$C264/($B$14)^2)^(3/2)</f>
        <v>1.0569410765171944E+32</v>
      </c>
      <c r="F264" s="266">
        <f t="shared" si="54"/>
        <v>150.21266603951645</v>
      </c>
      <c r="G264" s="233" cm="1">
        <f t="array" ref="G264">$B$7*SUM((($D$43:$D$53)/$C264)/(EXP($D$43:$D$53/$C264)-1)-LN(1-EXP(-$D$43:$D$53/$C264)))</f>
        <v>10.505758593227528</v>
      </c>
      <c r="H264" s="267">
        <f t="shared" si="56"/>
        <v>75.268345377463788</v>
      </c>
      <c r="I264" s="235">
        <f t="shared" si="57"/>
        <v>5.7631029180476085</v>
      </c>
      <c r="J264" s="312">
        <f t="shared" si="55"/>
        <v>241.7498729282554</v>
      </c>
      <c r="M264" s="162" t="s">
        <v>84</v>
      </c>
      <c r="N264" s="268">
        <f>F$263</f>
        <v>144.23290648153377</v>
      </c>
      <c r="O264" s="268">
        <f>G$263</f>
        <v>5.4023187589013917</v>
      </c>
      <c r="P264" s="268">
        <f>H$263</f>
        <v>71.680489642674161</v>
      </c>
      <c r="Q264" s="268">
        <f>I$263</f>
        <v>5.7631029180476085</v>
      </c>
      <c r="R264" s="268">
        <f>J$263</f>
        <v>227.07881780115696</v>
      </c>
    </row>
    <row r="265" spans="1:18" ht="20" thickBot="1" x14ac:dyDescent="0.3">
      <c r="C265" s="159">
        <f t="shared" ref="C265:C280" si="60">C264+100</f>
        <v>500</v>
      </c>
      <c r="D265" s="264">
        <f t="shared" si="58"/>
        <v>4.1028374043918084E-2</v>
      </c>
      <c r="E265" s="265">
        <f t="shared" si="59"/>
        <v>1.4771200595651458E+32</v>
      </c>
      <c r="F265" s="266">
        <f t="shared" si="54"/>
        <v>154.85092789713352</v>
      </c>
      <c r="G265" s="233" cm="1">
        <f t="array" ref="G265">$B$7*SUM((($D$43:$D$53)/$C265)/(EXP($D$43:$D$53/$C265)-1)-LN(1-EXP(-$D$43:$D$53/$C265)))</f>
        <v>16.362843934237528</v>
      </c>
      <c r="H265" s="267">
        <f t="shared" si="56"/>
        <v>78.051302492034097</v>
      </c>
      <c r="I265" s="235">
        <f t="shared" si="57"/>
        <v>5.7631029180476085</v>
      </c>
      <c r="J265" s="312">
        <f t="shared" si="55"/>
        <v>255.02817724145277</v>
      </c>
      <c r="M265" s="163" t="s">
        <v>85</v>
      </c>
      <c r="N265" s="268">
        <f>E249</f>
        <v>144.239216</v>
      </c>
      <c r="O265" s="268">
        <f>E251</f>
        <v>5.4015439999999995</v>
      </c>
      <c r="P265" s="268">
        <f>E250</f>
        <v>71.680288000000004</v>
      </c>
      <c r="Q265" s="268">
        <f>E248</f>
        <v>5.761368</v>
      </c>
      <c r="R265" s="268">
        <f>E247</f>
        <v>227.0866</v>
      </c>
    </row>
    <row r="266" spans="1:18" ht="22" x14ac:dyDescent="0.3">
      <c r="C266" s="159">
        <f t="shared" si="60"/>
        <v>600</v>
      </c>
      <c r="D266" s="264">
        <f t="shared" si="58"/>
        <v>4.9234048852701696E-2</v>
      </c>
      <c r="E266" s="265">
        <f t="shared" si="59"/>
        <v>1.941724744241324E+32</v>
      </c>
      <c r="F266" s="266">
        <f t="shared" si="54"/>
        <v>158.64066377665281</v>
      </c>
      <c r="G266" s="233" cm="1">
        <f t="array" ref="G266">$B$7*SUM((($D$43:$D$53)/$C266)/(EXP($D$43:$D$53/$C266)-1)-LN(1-EXP(-$D$43:$D$53/$C266)))</f>
        <v>22.544983157175519</v>
      </c>
      <c r="H266" s="267">
        <f t="shared" si="56"/>
        <v>80.325144019745565</v>
      </c>
      <c r="I266" s="235">
        <f t="shared" si="57"/>
        <v>5.7631029180476085</v>
      </c>
      <c r="J266" s="312">
        <f t="shared" si="55"/>
        <v>267.27389387162151</v>
      </c>
      <c r="L266" s="56"/>
      <c r="M266" s="164" t="s">
        <v>86</v>
      </c>
      <c r="N266" s="165">
        <f>IFERROR(ABS(N264-N265)/N264,0)</f>
        <v>4.3745346468715367E-5</v>
      </c>
      <c r="O266" s="165">
        <f t="shared" ref="O266:R266" si="61">IFERROR(ABS(O264-O265)/O264,0)</f>
        <v>1.4341228942028943E-4</v>
      </c>
      <c r="P266" s="165">
        <f t="shared" si="61"/>
        <v>2.8130761265920127E-6</v>
      </c>
      <c r="Q266" s="165">
        <f t="shared" si="61"/>
        <v>3.0103887997132075E-4</v>
      </c>
      <c r="R266" s="165">
        <f t="shared" si="61"/>
        <v>3.4270914911404438E-5</v>
      </c>
    </row>
    <row r="267" spans="1:18" ht="19" x14ac:dyDescent="0.25">
      <c r="A267" s="269"/>
      <c r="C267" s="159">
        <f t="shared" si="60"/>
        <v>700</v>
      </c>
      <c r="D267" s="264">
        <f t="shared" si="58"/>
        <v>5.7439723661485309E-2</v>
      </c>
      <c r="E267" s="265">
        <f t="shared" si="59"/>
        <v>2.4468528340491983E+32</v>
      </c>
      <c r="F267" s="266">
        <f t="shared" si="54"/>
        <v>161.84483980754209</v>
      </c>
      <c r="G267" s="233" cm="1">
        <f t="array" ref="G267">$B$7*SUM((($D$43:$D$53)/$C267)/(EXP($D$43:$D$53/$C267)-1)-LN(1-EXP(-$D$43:$D$53/$C267)))</f>
        <v>28.795643230482707</v>
      </c>
      <c r="H267" s="267">
        <f t="shared" si="56"/>
        <v>82.247649638279199</v>
      </c>
      <c r="I267" s="235">
        <f t="shared" si="57"/>
        <v>5.7631029180476085</v>
      </c>
      <c r="J267" s="312">
        <f t="shared" si="55"/>
        <v>278.65123559435159</v>
      </c>
    </row>
    <row r="268" spans="1:18" ht="19" x14ac:dyDescent="0.25">
      <c r="A268" s="269"/>
      <c r="C268" s="159">
        <f t="shared" si="60"/>
        <v>800</v>
      </c>
      <c r="D268" s="264">
        <f t="shared" si="58"/>
        <v>6.5645398470268929E-2</v>
      </c>
      <c r="E268" s="265">
        <f t="shared" si="59"/>
        <v>2.9894808100796797E+32</v>
      </c>
      <c r="F268" s="266">
        <f t="shared" si="54"/>
        <v>164.62042333463549</v>
      </c>
      <c r="G268" s="233" cm="1">
        <f t="array" ref="G268">$B$7*SUM((($D$43:$D$53)/$C268)/(EXP($D$43:$D$53/$C268)-1)-LN(1-EXP(-$D$43:$D$53/$C268)))</f>
        <v>34.976510899528854</v>
      </c>
      <c r="H268" s="267">
        <f t="shared" si="56"/>
        <v>83.912999754535193</v>
      </c>
      <c r="I268" s="235">
        <f t="shared" si="57"/>
        <v>5.7631029180476085</v>
      </c>
      <c r="J268" s="312">
        <f t="shared" si="55"/>
        <v>289.27303690674711</v>
      </c>
    </row>
    <row r="269" spans="1:18" ht="19" x14ac:dyDescent="0.25">
      <c r="C269" s="159">
        <f t="shared" si="60"/>
        <v>900</v>
      </c>
      <c r="D269" s="264">
        <f t="shared" si="58"/>
        <v>7.3851073279052548E-2</v>
      </c>
      <c r="E269" s="265">
        <f t="shared" si="59"/>
        <v>3.5671761332455369E+32</v>
      </c>
      <c r="F269" s="266">
        <f t="shared" si="54"/>
        <v>167.06866151378904</v>
      </c>
      <c r="G269" s="233" cm="1">
        <f t="array" ref="G269">$B$7*SUM((($D$43:$D$53)/$C269)/(EXP($D$43:$D$53/$C269)-1)-LN(1-EXP(-$D$43:$D$53/$C269)))</f>
        <v>41.01556220375366</v>
      </c>
      <c r="H269" s="267">
        <f t="shared" si="56"/>
        <v>85.381942662027356</v>
      </c>
      <c r="I269" s="235">
        <f t="shared" si="57"/>
        <v>5.7631029180476085</v>
      </c>
      <c r="J269" s="312">
        <f t="shared" si="55"/>
        <v>299.22926929761763</v>
      </c>
    </row>
    <row r="270" spans="1:18" ht="19" x14ac:dyDescent="0.25">
      <c r="C270" s="159">
        <f t="shared" si="60"/>
        <v>1000</v>
      </c>
      <c r="D270" s="264">
        <f t="shared" si="58"/>
        <v>8.2056748087836168E-2</v>
      </c>
      <c r="E270" s="265">
        <f t="shared" si="59"/>
        <v>4.1779264429807786E+32</v>
      </c>
      <c r="F270" s="266">
        <f t="shared" si="54"/>
        <v>169.25868519225259</v>
      </c>
      <c r="G270" s="233" cm="1">
        <f t="array" ref="G270">$B$7*SUM((($D$43:$D$53)/$C270)/(EXP($D$43:$D$53/$C270)-1)-LN(1-EXP(-$D$43:$D$53/$C270)))</f>
        <v>46.875848053511774</v>
      </c>
      <c r="H270" s="267">
        <f t="shared" si="56"/>
        <v>86.695956869105501</v>
      </c>
      <c r="I270" s="235">
        <f t="shared" si="57"/>
        <v>5.7631029180476085</v>
      </c>
      <c r="J270" s="312">
        <f t="shared" si="55"/>
        <v>308.59359303291745</v>
      </c>
    </row>
    <row r="271" spans="1:18" ht="19" x14ac:dyDescent="0.25">
      <c r="C271" s="159">
        <f t="shared" si="60"/>
        <v>1100</v>
      </c>
      <c r="D271" s="264">
        <f t="shared" si="58"/>
        <v>9.0262422896619773E-2</v>
      </c>
      <c r="E271" s="265">
        <f t="shared" si="59"/>
        <v>4.8200308424425489E+32</v>
      </c>
      <c r="F271" s="266">
        <f t="shared" si="54"/>
        <v>171.23980258966535</v>
      </c>
      <c r="G271" s="233" cm="1">
        <f t="array" ref="G271">$B$7*SUM((($D$43:$D$53)/$C271)/(EXP($D$43:$D$53/$C271)-1)-LN(1-EXP(-$D$43:$D$53/$C271)))</f>
        <v>52.539383094099065</v>
      </c>
      <c r="H271" s="267">
        <f t="shared" si="56"/>
        <v>87.884627307553117</v>
      </c>
      <c r="I271" s="235">
        <f t="shared" si="57"/>
        <v>5.7631029180476085</v>
      </c>
      <c r="J271" s="312">
        <f t="shared" si="55"/>
        <v>317.42691590936511</v>
      </c>
    </row>
    <row r="272" spans="1:18" ht="19" x14ac:dyDescent="0.25">
      <c r="C272" s="159">
        <f t="shared" si="60"/>
        <v>1200</v>
      </c>
      <c r="D272" s="264">
        <f t="shared" si="58"/>
        <v>9.8468097705403393E-2</v>
      </c>
      <c r="E272" s="265">
        <f t="shared" si="59"/>
        <v>5.4920269354029562E+32</v>
      </c>
      <c r="F272" s="266">
        <f t="shared" si="54"/>
        <v>173.04842107177174</v>
      </c>
      <c r="G272" s="233" cm="1">
        <f t="array" ref="G272">$B$7*SUM((($D$43:$D$53)/$C272)/(EXP($D$43:$D$53/$C272)-1)-LN(1-EXP(-$D$43:$D$53/$C272)))</f>
        <v>57.999027705197982</v>
      </c>
      <c r="H272" s="267">
        <f t="shared" si="56"/>
        <v>88.969798396816984</v>
      </c>
      <c r="I272" s="235">
        <f t="shared" si="57"/>
        <v>5.7631029180476085</v>
      </c>
      <c r="J272" s="312">
        <f t="shared" si="55"/>
        <v>325.78035009183429</v>
      </c>
    </row>
    <row r="273" spans="3:10" ht="19" x14ac:dyDescent="0.25">
      <c r="C273" s="159">
        <f t="shared" si="60"/>
        <v>1300</v>
      </c>
      <c r="D273" s="264">
        <f t="shared" si="58"/>
        <v>0.10667377251418701</v>
      </c>
      <c r="E273" s="265">
        <f t="shared" si="59"/>
        <v>6.1926397756062061E+32</v>
      </c>
      <c r="F273" s="266">
        <f t="shared" si="54"/>
        <v>174.71218879347398</v>
      </c>
      <c r="G273" s="233" cm="1">
        <f t="array" ref="G273">$B$7*SUM((($D$43:$D$53)/$C273)/(EXP($D$43:$D$53/$C273)-1)-LN(1-EXP(-$D$43:$D$53/$C273)))</f>
        <v>63.254194539807969</v>
      </c>
      <c r="H273" s="267">
        <f t="shared" si="56"/>
        <v>89.968059029838258</v>
      </c>
      <c r="I273" s="235">
        <f t="shared" si="57"/>
        <v>5.7631029180476085</v>
      </c>
      <c r="J273" s="312">
        <f t="shared" si="55"/>
        <v>333.69754528116778</v>
      </c>
    </row>
    <row r="274" spans="3:10" ht="19" x14ac:dyDescent="0.25">
      <c r="C274" s="159">
        <f t="shared" si="60"/>
        <v>1400</v>
      </c>
      <c r="D274" s="264">
        <f t="shared" si="58"/>
        <v>0.11487944732297062</v>
      </c>
      <c r="E274" s="265">
        <f t="shared" si="59"/>
        <v>6.9207449260868593E+32</v>
      </c>
      <c r="F274" s="266">
        <f t="shared" si="54"/>
        <v>176.25259710266113</v>
      </c>
      <c r="G274" s="233" cm="1">
        <f t="array" ref="G274">$B$7*SUM((($D$43:$D$53)/$C274)/(EXP($D$43:$D$53/$C274)-1)-LN(1-EXP(-$D$43:$D$53/$C274)))</f>
        <v>68.308382230565357</v>
      </c>
      <c r="H274" s="267">
        <f t="shared" si="56"/>
        <v>90.892304015350618</v>
      </c>
      <c r="I274" s="235">
        <f t="shared" si="57"/>
        <v>5.7631029180476085</v>
      </c>
      <c r="J274" s="312">
        <f t="shared" si="55"/>
        <v>341.21638626662468</v>
      </c>
    </row>
    <row r="275" spans="3:10" ht="19" x14ac:dyDescent="0.25">
      <c r="C275" s="159">
        <f t="shared" si="60"/>
        <v>1500</v>
      </c>
      <c r="D275" s="264">
        <f t="shared" si="58"/>
        <v>0.12308512213175424</v>
      </c>
      <c r="E275" s="265">
        <f t="shared" si="59"/>
        <v>7.6753409761380787E+32</v>
      </c>
      <c r="F275" s="266">
        <f t="shared" si="54"/>
        <v>177.68668292938895</v>
      </c>
      <c r="G275" s="233" cm="1">
        <f t="array" ref="G275">$B$7*SUM((($D$43:$D$53)/$C275)/(EXP($D$43:$D$53/$C275)-1)-LN(1-EXP(-$D$43:$D$53/$C275)))</f>
        <v>73.167639782791213</v>
      </c>
      <c r="H275" s="267">
        <f t="shared" si="56"/>
        <v>91.752755511387292</v>
      </c>
      <c r="I275" s="235">
        <f t="shared" si="57"/>
        <v>5.7631029180476085</v>
      </c>
      <c r="J275" s="312">
        <f t="shared" si="55"/>
        <v>348.37018114161503</v>
      </c>
    </row>
    <row r="276" spans="3:10" ht="19" x14ac:dyDescent="0.25">
      <c r="C276" s="159">
        <f t="shared" si="60"/>
        <v>1600</v>
      </c>
      <c r="D276" s="264">
        <f t="shared" si="58"/>
        <v>0.13129079694053786</v>
      </c>
      <c r="E276" s="265">
        <f t="shared" si="59"/>
        <v>8.4555286121376029E+32</v>
      </c>
      <c r="F276" s="266">
        <f t="shared" si="54"/>
        <v>179.02818062975453</v>
      </c>
      <c r="G276" s="233" cm="1">
        <f t="array" ref="G276">$B$7*SUM((($D$43:$D$53)/$C276)/(EXP($D$43:$D$53/$C276)-1)-LN(1-EXP(-$D$43:$D$53/$C276)))</f>
        <v>77.839554755060973</v>
      </c>
      <c r="H276" s="267">
        <f t="shared" si="56"/>
        <v>92.557654131606611</v>
      </c>
      <c r="I276" s="235">
        <f t="shared" si="57"/>
        <v>5.7631029180476085</v>
      </c>
      <c r="J276" s="312">
        <f t="shared" si="55"/>
        <v>355.18849243446971</v>
      </c>
    </row>
    <row r="277" spans="3:10" ht="19" x14ac:dyDescent="0.25">
      <c r="C277" s="159">
        <f t="shared" si="60"/>
        <v>1700</v>
      </c>
      <c r="D277" s="264">
        <f t="shared" si="58"/>
        <v>0.13949647174932148</v>
      </c>
      <c r="E277" s="265">
        <f t="shared" si="59"/>
        <v>9.2604943593856513E+32</v>
      </c>
      <c r="F277" s="266">
        <f t="shared" si="54"/>
        <v>180.28832401883088</v>
      </c>
      <c r="G277" s="233" cm="1">
        <f t="array" ref="G277">$B$7*SUM((($D$43:$D$53)/$C277)/(EXP($D$43:$D$53/$C277)-1)-LN(1-EXP(-$D$43:$D$53/$C277)))</f>
        <v>82.332566717538441</v>
      </c>
      <c r="H277" s="267">
        <f t="shared" si="56"/>
        <v>93.313740165052465</v>
      </c>
      <c r="I277" s="235">
        <f t="shared" si="57"/>
        <v>5.7631029180476085</v>
      </c>
      <c r="J277" s="312">
        <f t="shared" si="55"/>
        <v>361.69773381946942</v>
      </c>
    </row>
    <row r="278" spans="3:10" ht="19" x14ac:dyDescent="0.25">
      <c r="C278" s="159">
        <f t="shared" si="60"/>
        <v>1800</v>
      </c>
      <c r="D278" s="264">
        <f t="shared" si="58"/>
        <v>0.1477021465581051</v>
      </c>
      <c r="E278" s="265">
        <f t="shared" si="59"/>
        <v>1.0089497734018935E+33</v>
      </c>
      <c r="F278" s="266">
        <f t="shared" si="54"/>
        <v>181.47641880890811</v>
      </c>
      <c r="G278" s="233" cm="1">
        <f t="array" ref="G278">$B$7*SUM((($D$43:$D$53)/$C278)/(EXP($D$43:$D$53/$C278)-1)-LN(1-EXP(-$D$43:$D$53/$C278)))</f>
        <v>86.655497647446921</v>
      </c>
      <c r="H278" s="267">
        <f t="shared" si="56"/>
        <v>94.026597039098775</v>
      </c>
      <c r="I278" s="235">
        <f t="shared" si="57"/>
        <v>5.7631029180476085</v>
      </c>
      <c r="J278" s="312">
        <f t="shared" si="55"/>
        <v>367.9216164135014</v>
      </c>
    </row>
    <row r="279" spans="3:10" ht="19" x14ac:dyDescent="0.25">
      <c r="C279" s="159">
        <f t="shared" si="60"/>
        <v>1900</v>
      </c>
      <c r="D279" s="264">
        <f t="shared" si="58"/>
        <v>0.15590782136688872</v>
      </c>
      <c r="E279" s="265">
        <f t="shared" si="59"/>
        <v>1.0941860936811835E+33</v>
      </c>
      <c r="F279" s="266">
        <f t="shared" si="54"/>
        <v>182.60026007023197</v>
      </c>
      <c r="G279" s="233" cm="1">
        <f t="array" ref="G279">$B$7*SUM((($D$43:$D$53)/$C279)/(EXP($D$43:$D$53/$C279)-1)-LN(1-EXP(-$D$43:$D$53/$C279)))</f>
        <v>90.817232948304081</v>
      </c>
      <c r="H279" s="267">
        <f t="shared" si="56"/>
        <v>94.700901795893145</v>
      </c>
      <c r="I279" s="235">
        <f t="shared" si="57"/>
        <v>5.7631029180476085</v>
      </c>
      <c r="J279" s="312">
        <f t="shared" si="55"/>
        <v>373.88149773247676</v>
      </c>
    </row>
    <row r="280" spans="3:10" ht="20" thickBot="1" x14ac:dyDescent="0.3">
      <c r="C280" s="166">
        <f t="shared" si="60"/>
        <v>2000</v>
      </c>
      <c r="D280" s="270">
        <f t="shared" si="58"/>
        <v>0.16411349617567234</v>
      </c>
      <c r="E280" s="271">
        <f t="shared" si="59"/>
        <v>1.1816960476521233E+33</v>
      </c>
      <c r="F280" s="272">
        <f t="shared" si="54"/>
        <v>183.66644248737163</v>
      </c>
      <c r="G280" s="237" cm="1">
        <f t="array" ref="G280">$B$7*SUM((($D$43:$D$53)/$C280)/(EXP($D$43:$D$53/$C280)-1)-LN(1-EXP(-$D$43:$D$53/$C280)))</f>
        <v>94.826508884560397</v>
      </c>
      <c r="H280" s="273">
        <f t="shared" si="56"/>
        <v>95.340611246176906</v>
      </c>
      <c r="I280" s="239">
        <f t="shared" si="57"/>
        <v>5.7631029180476085</v>
      </c>
      <c r="J280" s="313">
        <f t="shared" si="55"/>
        <v>379.59666553615648</v>
      </c>
    </row>
  </sheetData>
  <mergeCells count="11">
    <mergeCell ref="AJ101:AP101"/>
    <mergeCell ref="A18:V18"/>
    <mergeCell ref="A54:V54"/>
    <mergeCell ref="AC93:AE93"/>
    <mergeCell ref="H198:K198"/>
    <mergeCell ref="C100:O100"/>
    <mergeCell ref="D203:E203"/>
    <mergeCell ref="D212:H212"/>
    <mergeCell ref="H239:K239"/>
    <mergeCell ref="D244:E244"/>
    <mergeCell ref="D245:E24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FD949-738A-DA49-992D-83660E11B079}">
  <dimension ref="A3:AE121"/>
  <sheetViews>
    <sheetView tabSelected="1" topLeftCell="M54" zoomScale="110" zoomScaleNormal="167" workbookViewId="0">
      <selection activeCell="X69" sqref="X69"/>
    </sheetView>
  </sheetViews>
  <sheetFormatPr baseColWidth="10" defaultRowHeight="16" x14ac:dyDescent="0.2"/>
  <cols>
    <col min="2" max="2" width="14.83203125" customWidth="1"/>
    <col min="3" max="3" width="16" customWidth="1"/>
    <col min="4" max="4" width="14.5" customWidth="1"/>
    <col min="5" max="5" width="14.6640625" customWidth="1"/>
    <col min="6" max="6" width="13.83203125" customWidth="1"/>
    <col min="7" max="7" width="13.6640625" customWidth="1"/>
    <col min="8" max="8" width="14.83203125" customWidth="1"/>
    <col min="9" max="9" width="14.1640625" customWidth="1"/>
    <col min="10" max="10" width="14.33203125" customWidth="1"/>
    <col min="14" max="14" width="12.33203125" bestFit="1" customWidth="1"/>
    <col min="15" max="15" width="13.33203125" bestFit="1" customWidth="1"/>
    <col min="17" max="17" width="14.6640625" customWidth="1"/>
    <col min="18" max="19" width="20.6640625" customWidth="1"/>
  </cols>
  <sheetData>
    <row r="3" spans="2:31" ht="17" thickBot="1" x14ac:dyDescent="0.25"/>
    <row r="4" spans="2:31" ht="22" thickBot="1" x14ac:dyDescent="0.35">
      <c r="B4" s="514" t="s">
        <v>182</v>
      </c>
      <c r="C4" s="515"/>
      <c r="D4" s="515"/>
      <c r="E4" s="515"/>
      <c r="F4" s="515"/>
      <c r="G4" s="515"/>
      <c r="H4" s="515"/>
      <c r="I4" s="515"/>
      <c r="J4" s="515"/>
      <c r="K4" s="515"/>
      <c r="L4" s="515"/>
      <c r="M4" s="515"/>
      <c r="N4" s="515"/>
      <c r="O4" s="515"/>
      <c r="P4" s="516"/>
      <c r="X4" s="398"/>
      <c r="Z4" s="417" t="s">
        <v>172</v>
      </c>
      <c r="AA4" s="418"/>
      <c r="AB4" s="418"/>
      <c r="AC4" s="418"/>
      <c r="AD4" s="418"/>
      <c r="AE4" s="419"/>
    </row>
    <row r="5" spans="2:31" x14ac:dyDescent="0.2">
      <c r="Z5" s="412" t="s">
        <v>173</v>
      </c>
      <c r="AA5" s="414" t="s">
        <v>176</v>
      </c>
      <c r="AB5" s="413" t="s">
        <v>175</v>
      </c>
      <c r="AC5" s="412" t="s">
        <v>174</v>
      </c>
      <c r="AD5" s="414" t="s">
        <v>176</v>
      </c>
      <c r="AE5" s="413" t="s">
        <v>175</v>
      </c>
    </row>
    <row r="6" spans="2:31" x14ac:dyDescent="0.2">
      <c r="Z6" s="371">
        <v>2.6061000000000001</v>
      </c>
      <c r="AA6">
        <f>AB6*TS!$E$10</f>
        <v>-41.024946862648207</v>
      </c>
      <c r="AB6" s="338">
        <v>-25743.2429705</v>
      </c>
      <c r="AC6" s="371">
        <v>1.0929</v>
      </c>
      <c r="AD6">
        <f>AE6*TS!$E$10</f>
        <v>-41.024946862648207</v>
      </c>
      <c r="AE6" s="338">
        <v>-25743.2429705</v>
      </c>
    </row>
    <row r="7" spans="2:31" x14ac:dyDescent="0.2">
      <c r="Z7" s="371">
        <v>2.5061</v>
      </c>
      <c r="AA7">
        <f>AB7*TS!$E$10</f>
        <v>-41.024926862430362</v>
      </c>
      <c r="AB7" s="338">
        <v>-25743.23042032</v>
      </c>
      <c r="AC7" s="371">
        <v>1.1929000000000001</v>
      </c>
      <c r="AD7">
        <f>AE7*TS!$E$10</f>
        <v>-41.019836806987129</v>
      </c>
      <c r="AE7" s="338">
        <v>-25740.036399510002</v>
      </c>
    </row>
    <row r="8" spans="2:31" ht="20" thickBot="1" x14ac:dyDescent="0.3">
      <c r="C8" s="398"/>
      <c r="Z8" s="371">
        <v>2.4060999999999999</v>
      </c>
      <c r="AA8">
        <f>AB8*TS!$E$10</f>
        <v>-41.024896862103581</v>
      </c>
      <c r="AB8" s="338">
        <v>-25743.211595050001</v>
      </c>
      <c r="AC8" s="371">
        <v>1.2928999999999999</v>
      </c>
      <c r="AD8">
        <f>AE8*TS!$E$10</f>
        <v>-41.011646717776898</v>
      </c>
      <c r="AE8" s="338">
        <v>-25734.897100800001</v>
      </c>
    </row>
    <row r="9" spans="2:31" ht="22" thickBot="1" x14ac:dyDescent="0.35">
      <c r="B9" s="416" t="s">
        <v>178</v>
      </c>
      <c r="C9" s="174" t="s">
        <v>179</v>
      </c>
      <c r="D9" s="174" t="s">
        <v>180</v>
      </c>
      <c r="E9" s="185" t="s">
        <v>181</v>
      </c>
      <c r="F9" s="342" t="s">
        <v>177</v>
      </c>
      <c r="Z9" s="371">
        <v>2.3060999999999998</v>
      </c>
      <c r="AA9">
        <f>AB9*TS!$E$10</f>
        <v>-41.024826861341097</v>
      </c>
      <c r="AB9" s="338">
        <v>-25743.16766942</v>
      </c>
      <c r="AC9" s="371">
        <v>1.3929</v>
      </c>
      <c r="AD9">
        <f>AE9*TS!$E$10</f>
        <v>-41.009956699368431</v>
      </c>
      <c r="AE9" s="338">
        <v>-25733.836610589999</v>
      </c>
    </row>
    <row r="10" spans="2:31" x14ac:dyDescent="0.2">
      <c r="B10" s="368">
        <f>TS!$C$172</f>
        <v>-1.7861379483336399E-16</v>
      </c>
      <c r="C10" s="368">
        <f>'CH4'!$C$172</f>
        <v>-1.7649854647999999E-16</v>
      </c>
      <c r="D10" s="368">
        <f>H!$C$172</f>
        <v>-2.1811893390727599E-18</v>
      </c>
      <c r="E10" s="368">
        <f>B10-C10-D10</f>
        <v>6.5940985708753738E-20</v>
      </c>
      <c r="F10" s="368">
        <f>E10*TS!$H$13</f>
        <v>9.4955019420605389</v>
      </c>
      <c r="Z10" s="371">
        <v>2.2061000000000002</v>
      </c>
      <c r="AA10">
        <f>AB10*TS!$E$10</f>
        <v>-41.024726860251839</v>
      </c>
      <c r="AB10" s="338">
        <v>-25743.104918519999</v>
      </c>
      <c r="AC10" s="371">
        <v>1.4928999999999999</v>
      </c>
      <c r="AD10">
        <f>AE10*TS!$E$10</f>
        <v>-41.010426704487948</v>
      </c>
      <c r="AE10" s="338">
        <v>-25734.131539819999</v>
      </c>
    </row>
    <row r="11" spans="2:31" x14ac:dyDescent="0.2">
      <c r="Z11" s="371">
        <v>2.1061000000000001</v>
      </c>
      <c r="AA11">
        <f>AB11*TS!$E$10</f>
        <v>-41.024576858617955</v>
      </c>
      <c r="AB11" s="338">
        <v>-25743.01079217</v>
      </c>
      <c r="AC11" s="371">
        <v>1.5929</v>
      </c>
      <c r="AD11">
        <f>AE11*TS!$E$10</f>
        <v>-41.011956721153595</v>
      </c>
      <c r="AE11" s="338">
        <v>-25735.091628589998</v>
      </c>
    </row>
    <row r="12" spans="2:31" x14ac:dyDescent="0.2">
      <c r="Z12" s="371">
        <v>2.0061</v>
      </c>
      <c r="AA12">
        <f>AB12*TS!$E$10</f>
        <v>-41.024346856112665</v>
      </c>
      <c r="AB12" s="338">
        <v>-25742.8664651</v>
      </c>
      <c r="AC12" s="371">
        <v>1.6929000000000001</v>
      </c>
      <c r="AD12">
        <f>AE12*TS!$E$10</f>
        <v>-41.013876742067353</v>
      </c>
      <c r="AE12" s="338">
        <v>-25736.296445870001</v>
      </c>
    </row>
    <row r="13" spans="2:31" x14ac:dyDescent="0.2">
      <c r="Z13" s="371">
        <v>1.9060999999999999</v>
      </c>
      <c r="AA13">
        <f>AB13*TS!$E$10</f>
        <v>-41.024026852627038</v>
      </c>
      <c r="AB13" s="338">
        <v>-25742.665662219999</v>
      </c>
      <c r="AC13" s="371">
        <v>1.7928999999999999</v>
      </c>
      <c r="AD13">
        <f>AE13*TS!$E$10</f>
        <v>-41.015796762981104</v>
      </c>
      <c r="AE13" s="338">
        <v>-25737.501263149999</v>
      </c>
    </row>
    <row r="14" spans="2:31" x14ac:dyDescent="0.2">
      <c r="Z14" s="371">
        <v>1.8061</v>
      </c>
      <c r="AA14">
        <f>AB14*TS!$E$10</f>
        <v>-41.023596847943232</v>
      </c>
      <c r="AB14" s="338">
        <v>-25742.395833350001</v>
      </c>
      <c r="AC14" s="371">
        <v>1.8929</v>
      </c>
      <c r="AD14">
        <f>AE14*TS!$E$10</f>
        <v>-41.017516781716346</v>
      </c>
      <c r="AE14" s="338">
        <v>-25738.580578630001</v>
      </c>
    </row>
    <row r="15" spans="2:31" x14ac:dyDescent="0.2">
      <c r="Z15" s="371">
        <v>1.7060999999999999</v>
      </c>
      <c r="AA15">
        <f>AB15*TS!$E$10</f>
        <v>-41.023026841734456</v>
      </c>
      <c r="AB15" s="338">
        <v>-25742.038153220001</v>
      </c>
      <c r="AC15" s="371">
        <v>1.9928999999999999</v>
      </c>
      <c r="AD15">
        <f>AE15*TS!$E$10</f>
        <v>-41.018946797292728</v>
      </c>
      <c r="AE15" s="338">
        <v>-25739.4779165</v>
      </c>
    </row>
    <row r="16" spans="2:31" x14ac:dyDescent="0.2">
      <c r="Z16" s="371">
        <v>1.6061000000000001</v>
      </c>
      <c r="AA16">
        <f>AB16*TS!$E$10</f>
        <v>-41.022276833565023</v>
      </c>
      <c r="AB16" s="338">
        <v>-25741.567521469999</v>
      </c>
      <c r="AC16" s="371">
        <v>2.0929000000000002</v>
      </c>
      <c r="AD16">
        <f>AE16*TS!$E$10</f>
        <v>-41.020076809601349</v>
      </c>
      <c r="AE16" s="338">
        <v>-25740.187001670001</v>
      </c>
    </row>
    <row r="17" spans="1:31" ht="17" thickBot="1" x14ac:dyDescent="0.25">
      <c r="Z17" s="371">
        <v>1.5061</v>
      </c>
      <c r="AA17">
        <f>AB17*TS!$E$10</f>
        <v>-41.021336823325996</v>
      </c>
      <c r="AB17" s="338">
        <v>-25740.977663009999</v>
      </c>
      <c r="AC17" s="371">
        <v>2.1928999999999998</v>
      </c>
      <c r="AD17">
        <f>AE17*TS!$E$10</f>
        <v>-41.020936818968963</v>
      </c>
      <c r="AE17" s="338">
        <v>-25740.72665941</v>
      </c>
    </row>
    <row r="18" spans="1:31" ht="19" thickBot="1" x14ac:dyDescent="0.3">
      <c r="A18" s="453"/>
      <c r="B18" s="494" t="s">
        <v>183</v>
      </c>
      <c r="C18" s="495"/>
      <c r="D18" s="495"/>
      <c r="E18" s="496"/>
      <c r="F18" s="499" t="s">
        <v>185</v>
      </c>
      <c r="G18" s="500"/>
      <c r="H18" s="500"/>
      <c r="I18" s="501"/>
      <c r="J18" s="502" t="s">
        <v>184</v>
      </c>
      <c r="K18" s="503"/>
      <c r="L18" s="503"/>
      <c r="M18" s="504"/>
      <c r="Z18" s="371">
        <v>1.4060999999999999</v>
      </c>
      <c r="AA18">
        <f>AB18*TS!$E$10</f>
        <v>-41.020156810472749</v>
      </c>
      <c r="AB18" s="338">
        <v>-25740.237202389999</v>
      </c>
      <c r="AC18" s="371">
        <v>2.2928999999999999</v>
      </c>
      <c r="AD18">
        <f>AE18*TS!$E$10</f>
        <v>-41.021576825940215</v>
      </c>
      <c r="AE18" s="338">
        <v>-25741.128265169998</v>
      </c>
    </row>
    <row r="19" spans="1:31" ht="21" thickBot="1" x14ac:dyDescent="0.3">
      <c r="A19" s="221" t="s">
        <v>190</v>
      </c>
      <c r="B19" s="448" t="s">
        <v>186</v>
      </c>
      <c r="C19" s="449" t="s">
        <v>187</v>
      </c>
      <c r="D19" s="449" t="s">
        <v>188</v>
      </c>
      <c r="E19" s="449" t="s">
        <v>189</v>
      </c>
      <c r="F19" s="449" t="s">
        <v>186</v>
      </c>
      <c r="G19" s="449" t="s">
        <v>187</v>
      </c>
      <c r="H19" s="449" t="s">
        <v>188</v>
      </c>
      <c r="I19" s="449" t="s">
        <v>189</v>
      </c>
      <c r="J19" s="449" t="s">
        <v>186</v>
      </c>
      <c r="K19" s="449" t="s">
        <v>187</v>
      </c>
      <c r="L19" s="449" t="s">
        <v>188</v>
      </c>
      <c r="M19" s="449" t="s">
        <v>189</v>
      </c>
      <c r="N19" s="449" t="s">
        <v>191</v>
      </c>
      <c r="O19" s="449" t="s">
        <v>192</v>
      </c>
      <c r="P19" s="449" t="s">
        <v>195</v>
      </c>
      <c r="Q19" s="449" t="s">
        <v>198</v>
      </c>
      <c r="R19" s="450" t="s">
        <v>196</v>
      </c>
      <c r="S19" s="451" t="s">
        <v>197</v>
      </c>
      <c r="T19" s="439" t="s">
        <v>199</v>
      </c>
      <c r="Z19" s="371">
        <v>1.3061</v>
      </c>
      <c r="AA19">
        <f>AB19*TS!$E$10</f>
        <v>-41.018706794678515</v>
      </c>
      <c r="AB19" s="338">
        <v>-25739.32731434</v>
      </c>
      <c r="AC19" s="371">
        <v>2.3929</v>
      </c>
      <c r="AD19">
        <f>AE19*TS!$E$10</f>
        <v>-41.022026830841874</v>
      </c>
      <c r="AE19" s="338">
        <v>-25741.410644219999</v>
      </c>
    </row>
    <row r="20" spans="1:31" x14ac:dyDescent="0.2">
      <c r="A20" s="383">
        <v>300</v>
      </c>
      <c r="B20" s="420">
        <f>TS!$E66</f>
        <v>2806279.4183435072</v>
      </c>
      <c r="C20" s="421">
        <f>TS!$E138</f>
        <v>1237.9922938548289</v>
      </c>
      <c r="D20" s="422">
        <f>TS!$P103</f>
        <v>1.1753940039091979</v>
      </c>
      <c r="E20" s="423">
        <f>TS!$D176</f>
        <v>2</v>
      </c>
      <c r="F20" s="432">
        <f>'CH4'!$E66</f>
        <v>2561019.5780483168</v>
      </c>
      <c r="G20" s="421">
        <f>'CH4'!$E138</f>
        <v>147.76790334428063</v>
      </c>
      <c r="H20" s="422">
        <f>'CH4'!$M103</f>
        <v>1.0058117576803012</v>
      </c>
      <c r="I20" s="435">
        <f>'CH4'!$D176</f>
        <v>1</v>
      </c>
      <c r="J20" s="420">
        <f>H!$E66</f>
        <v>40368.323106654447</v>
      </c>
      <c r="K20" s="421">
        <f>H!$D138</f>
        <v>1</v>
      </c>
      <c r="L20" s="422">
        <f>H!$E103</f>
        <v>1</v>
      </c>
      <c r="M20" s="423">
        <f>H!$D176</f>
        <v>2</v>
      </c>
      <c r="N20" s="432">
        <f>PRODUCT(B20:E20)</f>
        <v>8166995550.8049994</v>
      </c>
      <c r="O20" s="438">
        <f>PRODUCT(F20:M20)</f>
        <v>30731263949268.281</v>
      </c>
      <c r="P20" s="420">
        <f>(TS!$B$8*A20/TS!$B$14)*N20*EXP(-$E$10/(TS!$B$8*A20))/O20</f>
        <v>202.46175474084009</v>
      </c>
      <c r="Q20" s="421">
        <f>P20*(TS!$B$8*A20/TS!$B$16)*TS!$B$6</f>
        <v>4.9840464787852126</v>
      </c>
      <c r="R20" s="442">
        <f>Q20*10^6/TS!$B$6</f>
        <v>8.2762049350981744E-18</v>
      </c>
      <c r="S20" s="445">
        <v>4.1599999999999999E-19</v>
      </c>
      <c r="T20" s="441">
        <f>ABS(S20-R20)/((R20+S20)/2)</f>
        <v>1.8085641085979289</v>
      </c>
      <c r="Z20" s="371">
        <v>1.2060999999999999</v>
      </c>
      <c r="AA20">
        <f>AB20*TS!$E$10</f>
        <v>-41.016926775289718</v>
      </c>
      <c r="AB20" s="338">
        <v>-25738.210348320001</v>
      </c>
      <c r="AC20" s="371">
        <v>2.4929000000000001</v>
      </c>
      <c r="AD20">
        <f>AE20*TS!$E$10</f>
        <v>-41.022326834109649</v>
      </c>
      <c r="AE20" s="338">
        <v>-25741.598896920001</v>
      </c>
    </row>
    <row r="21" spans="1:31" x14ac:dyDescent="0.2">
      <c r="A21" s="371">
        <f>A20+100</f>
        <v>400</v>
      </c>
      <c r="B21" s="424">
        <f>TS!$E67</f>
        <v>5760733.0759179452</v>
      </c>
      <c r="C21" s="425">
        <f>TS!$E139</f>
        <v>1906.0138242980477</v>
      </c>
      <c r="D21" s="426">
        <f>TS!$P104</f>
        <v>1.430172739012731</v>
      </c>
      <c r="E21" s="427">
        <f>TS!$D177</f>
        <v>2</v>
      </c>
      <c r="F21" s="433">
        <f>'CH4'!$E67</f>
        <v>5257263.4410172841</v>
      </c>
      <c r="G21" s="425">
        <f>'CH4'!$E139</f>
        <v>227.50357006241873</v>
      </c>
      <c r="H21" s="426">
        <f>'CH4'!$M104</f>
        <v>1.0314188286923798</v>
      </c>
      <c r="I21" s="436">
        <f>'CH4'!$D177</f>
        <v>1</v>
      </c>
      <c r="J21" s="424">
        <f>H!$E67</f>
        <v>82868.132310616726</v>
      </c>
      <c r="K21" s="425">
        <f>H!$D139</f>
        <v>1</v>
      </c>
      <c r="L21" s="426">
        <f>H!$E104</f>
        <v>1</v>
      </c>
      <c r="M21" s="427">
        <f>H!$D177</f>
        <v>2</v>
      </c>
      <c r="N21" s="433">
        <f t="shared" ref="N21:N37" si="0">PRODUCT(B21:E21)</f>
        <v>31406698840.522247</v>
      </c>
      <c r="O21" s="439">
        <f t="shared" ref="O21:O37" si="1">PRODUCT(F21:M21)</f>
        <v>204456328558962.88</v>
      </c>
      <c r="P21" s="424">
        <f>(TS!$B$8*A21/TS!$B$14)*N21*EXP(-$E$10/(TS!$B$8*A21))/O21</f>
        <v>8351.0971307176733</v>
      </c>
      <c r="Q21" s="425">
        <f>P21*(TS!$B$8*A21/TS!$B$16)*TS!$B$6</f>
        <v>274.10777771584577</v>
      </c>
      <c r="R21" s="443">
        <f>Q21*10^6/TS!$B$6</f>
        <v>4.5516673095584921E-16</v>
      </c>
      <c r="S21" s="446">
        <v>3.8900000000000001E-17</v>
      </c>
      <c r="T21" s="441">
        <f t="shared" ref="T21:T37" si="2">ABS(S21-R21)/((R21+S21)/2)</f>
        <v>1.6850627855492972</v>
      </c>
      <c r="Z21" s="371">
        <v>1.1061000000000001</v>
      </c>
      <c r="AA21">
        <f>AB21*TS!$E$10</f>
        <v>-41.014786751979599</v>
      </c>
      <c r="AB21" s="338">
        <v>-25736.867479060002</v>
      </c>
      <c r="AC21" s="371">
        <v>2.5929000000000002</v>
      </c>
      <c r="AD21">
        <f>AE21*TS!$E$10</f>
        <v>-41.022516836179236</v>
      </c>
      <c r="AE21" s="338">
        <v>-25741.718123629998</v>
      </c>
    </row>
    <row r="22" spans="1:31" x14ac:dyDescent="0.2">
      <c r="A22" s="371">
        <f t="shared" ref="A22:A37" si="3">A21+100</f>
        <v>500</v>
      </c>
      <c r="B22" s="424">
        <f>TS!$E68</f>
        <v>10063586.529674899</v>
      </c>
      <c r="C22" s="425">
        <f>TS!$E140</f>
        <v>2663.735298240485</v>
      </c>
      <c r="D22" s="426">
        <f>TS!$P105</f>
        <v>1.8374524569914585</v>
      </c>
      <c r="E22" s="427">
        <f>TS!$D178</f>
        <v>2</v>
      </c>
      <c r="F22" s="433">
        <f>'CH4'!$E68</f>
        <v>9184061.2732337248</v>
      </c>
      <c r="G22" s="425">
        <f>'CH4'!$E140</f>
        <v>317.9459048646591</v>
      </c>
      <c r="H22" s="426">
        <f>'CH4'!$M105</f>
        <v>1.089389272054446</v>
      </c>
      <c r="I22" s="436">
        <f>'CH4'!$D178</f>
        <v>1</v>
      </c>
      <c r="J22" s="424">
        <f>H!$E68</f>
        <v>144764.66954295631</v>
      </c>
      <c r="K22" s="425">
        <f>H!$D140</f>
        <v>1</v>
      </c>
      <c r="L22" s="426">
        <f>H!$E105</f>
        <v>1</v>
      </c>
      <c r="M22" s="427">
        <f>H!$D178</f>
        <v>2</v>
      </c>
      <c r="N22" s="433">
        <f t="shared" si="0"/>
        <v>98512186252.272369</v>
      </c>
      <c r="O22" s="439">
        <f t="shared" si="1"/>
        <v>921008591213863.38</v>
      </c>
      <c r="P22" s="424">
        <f>(TS!$B$8*A22/TS!$B$14)*N22*EXP(-$E$10/(TS!$B$8*A22))/O22</f>
        <v>79171.937146453143</v>
      </c>
      <c r="Q22" s="425">
        <f>P22*(TS!$B$8*A22/TS!$B$16)*TS!$B$6</f>
        <v>3248.3222576899757</v>
      </c>
      <c r="R22" s="443">
        <f>Q22*10^6/TS!$B$6</f>
        <v>5.3939666923883799E-15</v>
      </c>
      <c r="S22" s="446">
        <v>6.8800000000000004E-16</v>
      </c>
      <c r="T22" s="441">
        <f t="shared" si="2"/>
        <v>1.5475147860569269</v>
      </c>
      <c r="Z22" s="371">
        <v>1.0061</v>
      </c>
      <c r="AA22">
        <f>AB22*TS!$E$10</f>
        <v>-41.012276724639221</v>
      </c>
      <c r="AB22" s="338">
        <v>-25735.292431469999</v>
      </c>
      <c r="AC22" s="371">
        <v>2.6928999999999998</v>
      </c>
      <c r="AD22">
        <f>AE22*TS!$E$10</f>
        <v>-41.022616837268501</v>
      </c>
      <c r="AE22" s="338">
        <v>-25741.780874529999</v>
      </c>
    </row>
    <row r="23" spans="1:31" x14ac:dyDescent="0.2">
      <c r="A23" s="371">
        <f t="shared" si="3"/>
        <v>600</v>
      </c>
      <c r="B23" s="424">
        <f>TS!$E69</f>
        <v>15874713.65291952</v>
      </c>
      <c r="C23" s="425">
        <f>TS!$E141</f>
        <v>3501.5709841657513</v>
      </c>
      <c r="D23" s="426">
        <f>TS!$P106</f>
        <v>2.4514090295212454</v>
      </c>
      <c r="E23" s="427">
        <f>TS!$D179</f>
        <v>2</v>
      </c>
      <c r="F23" s="433">
        <f>'CH4'!$E69</f>
        <v>14487314.483115843</v>
      </c>
      <c r="G23" s="425">
        <f>'CH4'!$E141</f>
        <v>417.95074598583614</v>
      </c>
      <c r="H23" s="426">
        <f>'CH4'!$M106</f>
        <v>1.1862545013821679</v>
      </c>
      <c r="I23" s="436">
        <f>'CH4'!$D179</f>
        <v>1</v>
      </c>
      <c r="J23" s="424">
        <f>H!$E69</f>
        <v>228357.72011076027</v>
      </c>
      <c r="K23" s="425">
        <f>H!$D141</f>
        <v>1</v>
      </c>
      <c r="L23" s="426">
        <f>H!$E106</f>
        <v>1</v>
      </c>
      <c r="M23" s="427">
        <f>H!$D179</f>
        <v>2</v>
      </c>
      <c r="N23" s="433">
        <f t="shared" si="0"/>
        <v>272530185734.7218</v>
      </c>
      <c r="O23" s="439">
        <f t="shared" si="1"/>
        <v>3280473696874721.5</v>
      </c>
      <c r="P23" s="424">
        <f>(TS!$B$8*A23/TS!$B$14)*N23*EXP(-$E$10/(TS!$B$8*A23))/O23</f>
        <v>362587.71030593303</v>
      </c>
      <c r="Q23" s="425">
        <f>P23*(TS!$B$8*A23/TS!$B$16)*TS!$B$6</f>
        <v>17851.806165705857</v>
      </c>
      <c r="R23" s="443">
        <f>Q23*10^6/TS!$B$6</f>
        <v>2.9643625298823771E-14</v>
      </c>
      <c r="S23" s="446">
        <v>5.17E-15</v>
      </c>
      <c r="T23" s="441">
        <f t="shared" si="2"/>
        <v>1.4059797041390372</v>
      </c>
      <c r="Z23" s="371">
        <v>0.90610000000000002</v>
      </c>
      <c r="AA23">
        <f>AB23*TS!$E$10</f>
        <v>-41.010006699913063</v>
      </c>
      <c r="AB23" s="338">
        <v>-25733.867986040001</v>
      </c>
      <c r="AC23" s="371">
        <v>2.7928999999999999</v>
      </c>
      <c r="AD23">
        <f>AE23*TS!$E$10</f>
        <v>-41.022666837813127</v>
      </c>
      <c r="AE23" s="338">
        <v>-25741.812249980001</v>
      </c>
    </row>
    <row r="24" spans="1:31" x14ac:dyDescent="0.2">
      <c r="A24" s="371">
        <f t="shared" si="3"/>
        <v>700</v>
      </c>
      <c r="B24" s="424">
        <f>TS!$E70</f>
        <v>23338496.478963908</v>
      </c>
      <c r="C24" s="425">
        <f>TS!$E142</f>
        <v>4412.483752725816</v>
      </c>
      <c r="D24" s="426">
        <f>TS!$P107</f>
        <v>3.3523281090225856</v>
      </c>
      <c r="E24" s="427">
        <f>TS!$D180</f>
        <v>2</v>
      </c>
      <c r="F24" s="433">
        <f>'CH4'!$E70</f>
        <v>21298786.576327905</v>
      </c>
      <c r="G24" s="425">
        <f>'CH4'!$E142</f>
        <v>526.67813516895399</v>
      </c>
      <c r="H24" s="426">
        <f>'CH4'!$M107</f>
        <v>1.3268799313733808</v>
      </c>
      <c r="I24" s="436">
        <f>'CH4'!$D180</f>
        <v>1</v>
      </c>
      <c r="J24" s="424">
        <f>H!$E70</f>
        <v>335724.21923775156</v>
      </c>
      <c r="K24" s="425">
        <f>H!$D142</f>
        <v>1</v>
      </c>
      <c r="L24" s="426">
        <f>H!$E107</f>
        <v>1</v>
      </c>
      <c r="M24" s="427">
        <f>H!$D180</f>
        <v>2</v>
      </c>
      <c r="N24" s="433">
        <f t="shared" si="0"/>
        <v>690450435491.11487</v>
      </c>
      <c r="O24" s="439">
        <f t="shared" si="1"/>
        <v>9994117351598944</v>
      </c>
      <c r="P24" s="424">
        <f>(TS!$B$8*A24/TS!$B$14)*N24*EXP(-$E$10/(TS!$B$8*A24))/O24</f>
        <v>1096814.7928688847</v>
      </c>
      <c r="Q24" s="425">
        <f>P24*(TS!$B$8*A24/TS!$B$16)*TS!$B$6</f>
        <v>63001.250767790807</v>
      </c>
      <c r="R24" s="443">
        <f>Q24*10^6/TS!$B$6</f>
        <v>1.0461605138338001E-13</v>
      </c>
      <c r="S24" s="446">
        <v>2.3500000000000001E-14</v>
      </c>
      <c r="T24" s="441">
        <f t="shared" si="2"/>
        <v>1.2662902190240757</v>
      </c>
      <c r="Z24" s="371">
        <v>0.80610000000000004</v>
      </c>
      <c r="AA24">
        <f>AB24*TS!$E$10</f>
        <v>-41.019856807204981</v>
      </c>
      <c r="AB24" s="338">
        <v>-25740.048949690001</v>
      </c>
      <c r="AC24" s="371">
        <v>2.8929</v>
      </c>
      <c r="AD24">
        <f>AE24*TS!$E$10</f>
        <v>-41.022666837813127</v>
      </c>
      <c r="AE24" s="338">
        <v>-25741.812249980001</v>
      </c>
    </row>
    <row r="25" spans="1:31" x14ac:dyDescent="0.2">
      <c r="A25" s="371">
        <f t="shared" si="3"/>
        <v>800</v>
      </c>
      <c r="B25" s="424">
        <f>TS!$E71</f>
        <v>32587627.380697835</v>
      </c>
      <c r="C25" s="425">
        <f>TS!$E143</f>
        <v>5391.0212007858127</v>
      </c>
      <c r="D25" s="426">
        <f>TS!$P108</f>
        <v>4.6551306967421882</v>
      </c>
      <c r="E25" s="427">
        <f>TS!$D181</f>
        <v>2</v>
      </c>
      <c r="F25" s="433">
        <f>'CH4'!$E71</f>
        <v>29739573.03701964</v>
      </c>
      <c r="G25" s="425">
        <f>'CH4'!$E143</f>
        <v>643.47726854113989</v>
      </c>
      <c r="H25" s="426">
        <f>'CH4'!$M108</f>
        <v>1.5172999529346272</v>
      </c>
      <c r="I25" s="436">
        <f>'CH4'!$D181</f>
        <v>1</v>
      </c>
      <c r="J25" s="424">
        <f>H!$E71</f>
        <v>468772.94640881027</v>
      </c>
      <c r="K25" s="425">
        <f>H!$D143</f>
        <v>1</v>
      </c>
      <c r="L25" s="426">
        <f>H!$E108</f>
        <v>1</v>
      </c>
      <c r="M25" s="427">
        <f>H!$D181</f>
        <v>2</v>
      </c>
      <c r="N25" s="433">
        <f t="shared" si="0"/>
        <v>1635632215524.1555</v>
      </c>
      <c r="O25" s="439">
        <f t="shared" si="1"/>
        <v>2.7222745232519836E+16</v>
      </c>
      <c r="P25" s="424">
        <f>(TS!$B$8*A25/TS!$B$14)*N25*EXP(-$E$10/(TS!$B$8*A25))/O25</f>
        <v>2557928.9909180426</v>
      </c>
      <c r="Q25" s="425">
        <f>P25*(TS!$B$8*A25/TS!$B$16)*TS!$B$6</f>
        <v>167917.63292429232</v>
      </c>
      <c r="R25" s="443">
        <f>Q25*10^6/TS!$B$6</f>
        <v>2.7883382472724368E-13</v>
      </c>
      <c r="S25" s="446">
        <v>7.7E-14</v>
      </c>
      <c r="T25" s="441">
        <f t="shared" si="2"/>
        <v>1.1344274248349202</v>
      </c>
      <c r="Z25" s="371">
        <v>0.70609999999999995</v>
      </c>
      <c r="AA25">
        <f>AB25*TS!$E$10</f>
        <v>-41.021226822127808</v>
      </c>
      <c r="AB25" s="338">
        <v>-25740.908637019998</v>
      </c>
      <c r="AC25" s="371">
        <v>2.9929000000000001</v>
      </c>
      <c r="AD25">
        <f>AE25*TS!$E$10</f>
        <v>-41.022636837486345</v>
      </c>
      <c r="AE25" s="338">
        <v>-25741.793424709998</v>
      </c>
    </row>
    <row r="26" spans="1:31" ht="17" thickBot="1" x14ac:dyDescent="0.25">
      <c r="A26" s="371">
        <f t="shared" si="3"/>
        <v>900</v>
      </c>
      <c r="B26" s="424">
        <f>TS!$E72</f>
        <v>43745566.795251966</v>
      </c>
      <c r="C26" s="425">
        <f>TS!$E144</f>
        <v>6432.7966570059098</v>
      </c>
      <c r="D26" s="426">
        <f>TS!$P109</f>
        <v>6.5210391126241305</v>
      </c>
      <c r="E26" s="427">
        <f>TS!$D182</f>
        <v>2</v>
      </c>
      <c r="F26" s="433">
        <f>'CH4'!$E72</f>
        <v>39922344.255225062</v>
      </c>
      <c r="G26" s="425">
        <f>'CH4'!$E144</f>
        <v>767.82454896066304</v>
      </c>
      <c r="H26" s="426">
        <f>'CH4'!$M109</f>
        <v>1.7658155878493342</v>
      </c>
      <c r="I26" s="436">
        <f>'CH4'!$D182</f>
        <v>1</v>
      </c>
      <c r="J26" s="424">
        <f>H!$E72</f>
        <v>629279.87973373779</v>
      </c>
      <c r="K26" s="425">
        <f>H!$D144</f>
        <v>1</v>
      </c>
      <c r="L26" s="426">
        <f>H!$E109</f>
        <v>1</v>
      </c>
      <c r="M26" s="427">
        <f>H!$D182</f>
        <v>2</v>
      </c>
      <c r="N26" s="433">
        <f t="shared" si="0"/>
        <v>3670123445096.9673</v>
      </c>
      <c r="O26" s="439">
        <f t="shared" si="1"/>
        <v>6.8123541390433824E+16</v>
      </c>
      <c r="P26" s="424">
        <f>(TS!$B$8*A26/TS!$B$14)*N26*EXP(-$E$10/(TS!$B$8*A26))/O26</f>
        <v>5009077.1325084977</v>
      </c>
      <c r="Q26" s="425">
        <f>P26*(TS!$B$8*A26/TS!$B$16)*TS!$B$6</f>
        <v>369928.72964377009</v>
      </c>
      <c r="R26" s="443">
        <f>Q26*10^6/TS!$B$6</f>
        <v>6.1428118516635301E-13</v>
      </c>
      <c r="S26" s="446">
        <v>2.02E-13</v>
      </c>
      <c r="T26" s="441">
        <f t="shared" si="2"/>
        <v>1.0101450153658331</v>
      </c>
      <c r="Z26" s="384">
        <v>0.60609999999999997</v>
      </c>
      <c r="AA26" s="391">
        <f>AB26*TS!$E$10</f>
        <v>-41.005066646103721</v>
      </c>
      <c r="AB26" s="339">
        <v>-25730.768091580001</v>
      </c>
      <c r="AC26" s="384">
        <v>3.0929000000000002</v>
      </c>
      <c r="AD26" s="391">
        <f>AE26*TS!$E$10</f>
        <v>-41.02258683694172</v>
      </c>
      <c r="AE26" s="339">
        <v>-25741.76204926</v>
      </c>
    </row>
    <row r="27" spans="1:31" x14ac:dyDescent="0.2">
      <c r="A27" s="371">
        <f t="shared" si="3"/>
        <v>1000</v>
      </c>
      <c r="B27" s="424">
        <f>TS!$E73</f>
        <v>56928242.225525893</v>
      </c>
      <c r="C27" s="425">
        <f>TS!$E145</f>
        <v>7534.181170687265</v>
      </c>
      <c r="D27" s="426">
        <f>TS!$P110</f>
        <v>9.1730399895215378</v>
      </c>
      <c r="E27" s="427">
        <f>TS!$D183</f>
        <v>2</v>
      </c>
      <c r="F27" s="433">
        <f>'CH4'!$E73</f>
        <v>51952896.041090004</v>
      </c>
      <c r="G27" s="425">
        <f>'CH4'!$E145</f>
        <v>899.28682152117278</v>
      </c>
      <c r="H27" s="426">
        <f>'CH4'!$M110</f>
        <v>2.083444256061747</v>
      </c>
      <c r="I27" s="436">
        <f>'CH4'!$D183</f>
        <v>1</v>
      </c>
      <c r="J27" s="424">
        <f>H!$E73</f>
        <v>818912.6360804349</v>
      </c>
      <c r="K27" s="425">
        <f>H!$D145</f>
        <v>1</v>
      </c>
      <c r="L27" s="426">
        <f>H!$E110</f>
        <v>1</v>
      </c>
      <c r="M27" s="427">
        <f>H!$D183</f>
        <v>2</v>
      </c>
      <c r="N27" s="433">
        <f t="shared" si="0"/>
        <v>7868774796399.457</v>
      </c>
      <c r="O27" s="439">
        <f t="shared" si="1"/>
        <v>1.594253738569617E+17</v>
      </c>
      <c r="P27" s="424">
        <f>(TS!$B$8*A27/TS!$B$14)*N27*EXP(-$E$10/(TS!$B$8*A27))/O27</f>
        <v>8668641.0820602365</v>
      </c>
      <c r="Q27" s="425">
        <f>P27*(TS!$B$8*A27/TS!$B$16)*TS!$B$6</f>
        <v>711326.28013620526</v>
      </c>
      <c r="R27" s="443">
        <f>Q27*10^6/TS!$B$6</f>
        <v>1.1811852267403369E-12</v>
      </c>
      <c r="S27" s="446">
        <v>4.5299999999999999E-13</v>
      </c>
      <c r="T27" s="441">
        <f t="shared" si="2"/>
        <v>0.89119056374389993</v>
      </c>
    </row>
    <row r="28" spans="1:31" x14ac:dyDescent="0.2">
      <c r="A28" s="371">
        <f t="shared" si="3"/>
        <v>1100</v>
      </c>
      <c r="B28" s="424">
        <f>TS!$E74</f>
        <v>72245281.429855764</v>
      </c>
      <c r="C28" s="425">
        <f>TS!$E146</f>
        <v>8692.1074630871244</v>
      </c>
      <c r="D28" s="426">
        <f>TS!$P111</f>
        <v>12.916063757509262</v>
      </c>
      <c r="E28" s="427">
        <f>TS!$D184</f>
        <v>2</v>
      </c>
      <c r="F28" s="433">
        <f>'CH4'!$E74</f>
        <v>65931275.037711106</v>
      </c>
      <c r="G28" s="425">
        <f>'CH4'!$E146</f>
        <v>1037.4979729996389</v>
      </c>
      <c r="H28" s="426">
        <f>'CH4'!$M111</f>
        <v>2.4842545094398427</v>
      </c>
      <c r="I28" s="436">
        <f>'CH4'!$D184</f>
        <v>1</v>
      </c>
      <c r="J28" s="424">
        <f>H!$E74</f>
        <v>1039248.2105053912</v>
      </c>
      <c r="K28" s="425">
        <f>H!$D146</f>
        <v>1</v>
      </c>
      <c r="L28" s="426">
        <f>H!$E111</f>
        <v>1</v>
      </c>
      <c r="M28" s="427">
        <f>H!$D184</f>
        <v>2</v>
      </c>
      <c r="N28" s="433">
        <f t="shared" si="0"/>
        <v>16221639661949.053</v>
      </c>
      <c r="O28" s="439">
        <f t="shared" si="1"/>
        <v>3.5320276874471226E+17</v>
      </c>
      <c r="P28" s="424">
        <f>(TS!$B$8*A28/TS!$B$14)*N28*EXP(-$E$10/(TS!$B$8*A28))/O28</f>
        <v>13697165.972008634</v>
      </c>
      <c r="Q28" s="425">
        <f>P28*(TS!$B$8*A28/TS!$B$16)*TS!$B$6</f>
        <v>1236349.4381356544</v>
      </c>
      <c r="R28" s="443">
        <f>Q28*10^6/TS!$B$6</f>
        <v>2.0530068017941375E-12</v>
      </c>
      <c r="S28" s="446">
        <v>9E-13</v>
      </c>
      <c r="T28" s="441">
        <f t="shared" si="2"/>
        <v>0.78090358687532535</v>
      </c>
    </row>
    <row r="29" spans="1:31" x14ac:dyDescent="0.2">
      <c r="A29" s="371">
        <f t="shared" si="3"/>
        <v>1200</v>
      </c>
      <c r="B29" s="424">
        <f>TS!$E75</f>
        <v>89800941.386991456</v>
      </c>
      <c r="C29" s="425">
        <f>TS!$E147</f>
        <v>9903.9383508386345</v>
      </c>
      <c r="D29" s="426">
        <f>TS!$P112</f>
        <v>18.162993862180112</v>
      </c>
      <c r="E29" s="427">
        <f>TS!$D185</f>
        <v>2</v>
      </c>
      <c r="F29" s="433">
        <f>'CH4'!$E75</f>
        <v>81952626.497546583</v>
      </c>
      <c r="G29" s="425">
        <f>'CH4'!$E147</f>
        <v>1182.143226754245</v>
      </c>
      <c r="H29" s="426">
        <f>'CH4'!$M112</f>
        <v>2.9857565618685236</v>
      </c>
      <c r="I29" s="436">
        <f>'CH4'!$D185</f>
        <v>1</v>
      </c>
      <c r="J29" s="424">
        <f>H!$E75</f>
        <v>1291786.3394129495</v>
      </c>
      <c r="K29" s="425">
        <f>H!$D147</f>
        <v>1</v>
      </c>
      <c r="L29" s="426">
        <f>H!$E112</f>
        <v>1</v>
      </c>
      <c r="M29" s="427">
        <f>H!$D185</f>
        <v>2</v>
      </c>
      <c r="N29" s="433">
        <f t="shared" si="0"/>
        <v>32307715480514.312</v>
      </c>
      <c r="O29" s="439">
        <f t="shared" si="1"/>
        <v>7.4732249270597338E+17</v>
      </c>
      <c r="P29" s="424">
        <f>(TS!$B$8*A29/TS!$B$14)*N29*EXP(-$E$10/(TS!$B$8*A29))/O29</f>
        <v>20196921.842405025</v>
      </c>
      <c r="Q29" s="425">
        <f>P29*(TS!$B$8*A29/TS!$B$16)*TS!$B$6</f>
        <v>1988768.6406707512</v>
      </c>
      <c r="R29" s="443">
        <f>Q29*10^6/TS!$B$6</f>
        <v>3.302428440173678E-12</v>
      </c>
      <c r="S29" s="446">
        <v>1.6299999999999999E-12</v>
      </c>
      <c r="T29" s="441">
        <f t="shared" si="2"/>
        <v>0.67813591639853144</v>
      </c>
    </row>
    <row r="30" spans="1:31" x14ac:dyDescent="0.2">
      <c r="A30" s="371">
        <f t="shared" si="3"/>
        <v>1300</v>
      </c>
      <c r="B30" s="424">
        <f>TS!$E76</f>
        <v>109694828.89758618</v>
      </c>
      <c r="C30" s="425">
        <f>TS!$E148</f>
        <v>11167.374684780951</v>
      </c>
      <c r="D30" s="426">
        <f>TS!$P113</f>
        <v>25.467838584219269</v>
      </c>
      <c r="E30" s="427">
        <f>TS!$D186</f>
        <v>2</v>
      </c>
      <c r="F30" s="433">
        <f>'CH4'!$E76</f>
        <v>100107851.90564039</v>
      </c>
      <c r="G30" s="425">
        <f>'CH4'!$E148</f>
        <v>1332.9481542181418</v>
      </c>
      <c r="H30" s="426">
        <f>'CH4'!$M113</f>
        <v>3.6093920325554492</v>
      </c>
      <c r="I30" s="436">
        <f>'CH4'!$D186</f>
        <v>1</v>
      </c>
      <c r="J30" s="424">
        <f>H!$E76</f>
        <v>1577959.8664058954</v>
      </c>
      <c r="K30" s="425">
        <f>H!$D148</f>
        <v>1</v>
      </c>
      <c r="L30" s="426">
        <f>H!$E113</f>
        <v>1</v>
      </c>
      <c r="M30" s="427">
        <f>H!$D186</f>
        <v>2</v>
      </c>
      <c r="N30" s="433">
        <f t="shared" si="0"/>
        <v>62396370341344.602</v>
      </c>
      <c r="O30" s="439">
        <f t="shared" si="1"/>
        <v>1.5199923574369285E+18</v>
      </c>
      <c r="P30" s="424">
        <f>(TS!$B$8*A30/TS!$B$14)*N30*EXP(-$E$10/(TS!$B$8*A30))/O30</f>
        <v>28218261.005206142</v>
      </c>
      <c r="Q30" s="425">
        <f>P30*(TS!$B$8*A30/TS!$B$16)*TS!$B$6</f>
        <v>3010172.8258851734</v>
      </c>
      <c r="R30" s="443">
        <f>Q30*10^6/TS!$B$6</f>
        <v>4.9985102071442604E-12</v>
      </c>
      <c r="S30" s="446">
        <v>2.7500000000000002E-12</v>
      </c>
      <c r="T30" s="441">
        <f t="shared" si="2"/>
        <v>0.58037226435375788</v>
      </c>
    </row>
    <row r="31" spans="1:31" x14ac:dyDescent="0.2">
      <c r="A31" s="371">
        <f t="shared" si="3"/>
        <v>1400</v>
      </c>
      <c r="B31" s="424">
        <f>TS!$E77</f>
        <v>132022472.98379029</v>
      </c>
      <c r="C31" s="425">
        <f>TS!$E149</f>
        <v>12480.38873371157</v>
      </c>
      <c r="D31" s="426">
        <f>TS!$P114</f>
        <v>35.567650817850662</v>
      </c>
      <c r="E31" s="427">
        <f>TS!$D187</f>
        <v>2</v>
      </c>
      <c r="F31" s="433">
        <f>'CH4'!$E77</f>
        <v>120484131.35333039</v>
      </c>
      <c r="G31" s="425">
        <f>'CH4'!$E149</f>
        <v>1489.6707235226113</v>
      </c>
      <c r="H31" s="426">
        <f>'CH4'!$M114</f>
        <v>4.3811318605683862</v>
      </c>
      <c r="I31" s="436">
        <f>'CH4'!$D187</f>
        <v>1</v>
      </c>
      <c r="J31" s="424">
        <f>H!$E77</f>
        <v>1899142.9762525919</v>
      </c>
      <c r="K31" s="425">
        <f>H!$D149</f>
        <v>1</v>
      </c>
      <c r="L31" s="426">
        <f>H!$E114</f>
        <v>1</v>
      </c>
      <c r="M31" s="427">
        <f>H!$D187</f>
        <v>2</v>
      </c>
      <c r="N31" s="433">
        <f t="shared" si="0"/>
        <v>117209052087642.34</v>
      </c>
      <c r="O31" s="439">
        <f t="shared" si="1"/>
        <v>2.9867172852903081E+18</v>
      </c>
      <c r="P31" s="424">
        <f>(TS!$B$8*A31/TS!$B$14)*N31*EXP(-$E$10/(TS!$B$8*A31))/O31</f>
        <v>37768742.581796363</v>
      </c>
      <c r="Q31" s="425">
        <f>P31*(TS!$B$8*A31/TS!$B$16)*TS!$B$6</f>
        <v>4338887.5461024866</v>
      </c>
      <c r="R31" s="443">
        <f>Q31*10^6/TS!$B$6</f>
        <v>7.2048931876417462E-12</v>
      </c>
      <c r="S31" s="446">
        <v>4.3800000000000003E-12</v>
      </c>
      <c r="T31" s="441">
        <f t="shared" si="2"/>
        <v>0.48768566820369436</v>
      </c>
    </row>
    <row r="32" spans="1:31" x14ac:dyDescent="0.2">
      <c r="A32" s="371">
        <f t="shared" si="3"/>
        <v>1500</v>
      </c>
      <c r="B32" s="424">
        <f>TS!$E78</f>
        <v>156875788.58186588</v>
      </c>
      <c r="C32" s="425">
        <f>TS!$E150</f>
        <v>13841.174623401472</v>
      </c>
      <c r="D32" s="426">
        <f>TS!$P115</f>
        <v>49.435066939535218</v>
      </c>
      <c r="E32" s="427">
        <f>TS!$D188</f>
        <v>2</v>
      </c>
      <c r="F32" s="433">
        <f>'CH4'!$E78</f>
        <v>143165346.70559824</v>
      </c>
      <c r="G32" s="425">
        <f>'CH4'!$E150</f>
        <v>1652.0953838521509</v>
      </c>
      <c r="H32" s="426">
        <f>'CH4'!$M115</f>
        <v>5.3321853042623237</v>
      </c>
      <c r="I32" s="436">
        <f>'CH4'!$D188</f>
        <v>1</v>
      </c>
      <c r="J32" s="424">
        <f>H!$E78</f>
        <v>2256657.865103865</v>
      </c>
      <c r="K32" s="425">
        <f>H!$D150</f>
        <v>1</v>
      </c>
      <c r="L32" s="426">
        <f>H!$E115</f>
        <v>1</v>
      </c>
      <c r="M32" s="427">
        <f>H!$D188</f>
        <v>2</v>
      </c>
      <c r="N32" s="433">
        <f t="shared" si="0"/>
        <v>214681189034358.12</v>
      </c>
      <c r="O32" s="439">
        <f t="shared" si="1"/>
        <v>5.6921190727796101E+18</v>
      </c>
      <c r="P32" s="424">
        <f>(TS!$B$8*A32/TS!$B$14)*N32*EXP(-$E$10/(TS!$B$8*A32))/O32</f>
        <v>48822657.004470147</v>
      </c>
      <c r="Q32" s="425">
        <f>P32*(TS!$B$8*A32/TS!$B$16)*TS!$B$6</f>
        <v>6009391.5524822539</v>
      </c>
      <c r="R32" s="443">
        <f>Q32*10^6/TS!$B$6</f>
        <v>9.9788307021793812E-12</v>
      </c>
      <c r="S32" s="446">
        <v>6.6500000000000001E-12</v>
      </c>
      <c r="T32" s="441">
        <f t="shared" si="2"/>
        <v>0.40036858415343701</v>
      </c>
    </row>
    <row r="33" spans="1:20" x14ac:dyDescent="0.2">
      <c r="A33" s="371">
        <f t="shared" si="3"/>
        <v>1600</v>
      </c>
      <c r="B33" s="424">
        <f>TS!$E79</f>
        <v>184343458.42937529</v>
      </c>
      <c r="C33" s="425">
        <f>TS!$E151</f>
        <v>15248.110594384389</v>
      </c>
      <c r="D33" s="426">
        <f>TS!$P116</f>
        <v>68.343657093744397</v>
      </c>
      <c r="E33" s="427">
        <f>TS!$D189</f>
        <v>2</v>
      </c>
      <c r="F33" s="433">
        <f>'CH4'!$E79</f>
        <v>168232430.11255404</v>
      </c>
      <c r="G33" s="425">
        <f>'CH4'!$E151</f>
        <v>1820.0285604993505</v>
      </c>
      <c r="H33" s="426">
        <f>'CH4'!$M116</f>
        <v>6.4998240803617646</v>
      </c>
      <c r="I33" s="436">
        <f>'CH4'!$D189</f>
        <v>1</v>
      </c>
      <c r="J33" s="424">
        <f>H!$E79</f>
        <v>2651780.2339397119</v>
      </c>
      <c r="K33" s="425">
        <f>H!$D151</f>
        <v>1</v>
      </c>
      <c r="L33" s="426">
        <f>H!$E116</f>
        <v>1</v>
      </c>
      <c r="M33" s="427">
        <f>H!$D189</f>
        <v>2</v>
      </c>
      <c r="N33" s="433">
        <f t="shared" si="0"/>
        <v>384212928234201.81</v>
      </c>
      <c r="O33" s="439">
        <f t="shared" si="1"/>
        <v>1.0554971105199886E+19</v>
      </c>
      <c r="P33" s="424">
        <f>(TS!$B$8*A33/TS!$B$14)*N33*EXP(-$E$10/(TS!$B$8*A33))/O33</f>
        <v>61329742.673762672</v>
      </c>
      <c r="Q33" s="425">
        <f>P33*(TS!$B$8*A33/TS!$B$16)*TS!$B$6</f>
        <v>8052096.2498948053</v>
      </c>
      <c r="R33" s="443">
        <f>Q33*10^6/TS!$B$6</f>
        <v>1.3370822083005055E-11</v>
      </c>
      <c r="S33" s="446">
        <v>9.6999999999999995E-12</v>
      </c>
      <c r="T33" s="441">
        <f t="shared" si="2"/>
        <v>0.31822204425989126</v>
      </c>
    </row>
    <row r="34" spans="1:20" x14ac:dyDescent="0.2">
      <c r="A34" s="371">
        <f t="shared" si="3"/>
        <v>1700</v>
      </c>
      <c r="B34" s="424">
        <f>TS!$E80</f>
        <v>214511252.04427201</v>
      </c>
      <c r="C34" s="425">
        <f>TS!$E152</f>
        <v>16699.729683120167</v>
      </c>
      <c r="D34" s="426">
        <f>TS!$P117</f>
        <v>93.948638966636594</v>
      </c>
      <c r="E34" s="427">
        <f>TS!$D190</f>
        <v>2</v>
      </c>
      <c r="F34" s="433">
        <f>'CH4'!$E80</f>
        <v>195763655.11076817</v>
      </c>
      <c r="G34" s="425">
        <f>'CH4'!$E152</f>
        <v>1993.2951553414787</v>
      </c>
      <c r="H34" s="426">
        <f>'CH4'!$M117</f>
        <v>7.9283280281990791</v>
      </c>
      <c r="I34" s="436">
        <f>'CH4'!$D190</f>
        <v>1</v>
      </c>
      <c r="J34" s="424">
        <f>H!$E80</f>
        <v>3085743.8770825602</v>
      </c>
      <c r="K34" s="425">
        <f>H!$D152</f>
        <v>1</v>
      </c>
      <c r="L34" s="426">
        <f>H!$E117</f>
        <v>1</v>
      </c>
      <c r="M34" s="427">
        <f>H!$D190</f>
        <v>2</v>
      </c>
      <c r="N34" s="433">
        <f t="shared" si="0"/>
        <v>673100646350578.62</v>
      </c>
      <c r="O34" s="439">
        <f t="shared" si="1"/>
        <v>1.9093043339822916E+19</v>
      </c>
      <c r="P34" s="424">
        <f>(TS!$B$8*A34/TS!$B$14)*N34*EXP(-$E$10/(TS!$B$8*A34))/O34</f>
        <v>75222597.691075444</v>
      </c>
      <c r="Q34" s="425">
        <f>P34*(TS!$B$8*A34/TS!$B$16)*TS!$B$6</f>
        <v>10493372.277745601</v>
      </c>
      <c r="R34" s="443">
        <f>Q34*10^6/TS!$B$6</f>
        <v>1.7424656812604161E-11</v>
      </c>
      <c r="S34" s="446">
        <v>1.37E-11</v>
      </c>
      <c r="T34" s="441">
        <f t="shared" si="2"/>
        <v>0.2393380164818931</v>
      </c>
    </row>
    <row r="35" spans="1:20" x14ac:dyDescent="0.2">
      <c r="A35" s="371">
        <f t="shared" si="3"/>
        <v>1800</v>
      </c>
      <c r="B35" s="424">
        <f>TS!$E81</f>
        <v>247462295.42217454</v>
      </c>
      <c r="C35" s="425">
        <f>TS!$E153</f>
        <v>18194.696552652149</v>
      </c>
      <c r="D35" s="426">
        <f>TS!$P118</f>
        <v>128.38590886733368</v>
      </c>
      <c r="E35" s="427">
        <f>TS!$D191</f>
        <v>2</v>
      </c>
      <c r="F35" s="433">
        <f>'CH4'!$E81</f>
        <v>225834882.74986503</v>
      </c>
      <c r="G35" s="425">
        <f>'CH4'!$E153</f>
        <v>2171.7357813263507</v>
      </c>
      <c r="H35" s="426">
        <f>'CH4'!$M118</f>
        <v>9.6700607949388342</v>
      </c>
      <c r="I35" s="436">
        <f>'CH4'!$D191</f>
        <v>1</v>
      </c>
      <c r="J35" s="424">
        <f>H!$E81</f>
        <v>3559744.5617918582</v>
      </c>
      <c r="K35" s="425">
        <f>H!$D153</f>
        <v>1</v>
      </c>
      <c r="L35" s="426">
        <f>H!$E118</f>
        <v>1</v>
      </c>
      <c r="M35" s="427">
        <f>H!$D191</f>
        <v>2</v>
      </c>
      <c r="N35" s="433">
        <f t="shared" si="0"/>
        <v>1156115462008258.8</v>
      </c>
      <c r="O35" s="439">
        <f t="shared" si="1"/>
        <v>3.3765722474852135E+19</v>
      </c>
      <c r="P35" s="424">
        <f>(TS!$B$8*A35/TS!$B$14)*N35*EXP(-$E$10/(TS!$B$8*A35))/O35</f>
        <v>90422685.159938321</v>
      </c>
      <c r="Q35" s="425">
        <f>P35*(TS!$B$8*A35/TS!$B$16)*TS!$B$6</f>
        <v>13355733.268752104</v>
      </c>
      <c r="R35" s="443">
        <f>Q35*10^6/TS!$B$6</f>
        <v>2.2177719662366042E-11</v>
      </c>
      <c r="S35" s="446">
        <v>1.8799999999999999E-11</v>
      </c>
      <c r="T35" s="441">
        <f t="shared" si="2"/>
        <v>0.16485639953597231</v>
      </c>
    </row>
    <row r="36" spans="1:20" x14ac:dyDescent="0.2">
      <c r="A36" s="371">
        <f t="shared" si="3"/>
        <v>1900</v>
      </c>
      <c r="B36" s="424">
        <f>TS!$E82</f>
        <v>283277301.50088918</v>
      </c>
      <c r="C36" s="425">
        <f>TS!$E154</f>
        <v>19731.788907128372</v>
      </c>
      <c r="D36" s="426">
        <f>TS!$P119</f>
        <v>174.3927912517438</v>
      </c>
      <c r="E36" s="427">
        <f>TS!$D192</f>
        <v>2</v>
      </c>
      <c r="F36" s="433">
        <f>'CH4'!$E82</f>
        <v>258519771.9152036</v>
      </c>
      <c r="G36" s="425">
        <f>'CH4'!$E154</f>
        <v>2355.2045440924217</v>
      </c>
      <c r="H36" s="426">
        <f>'CH4'!$M119</f>
        <v>11.786685747364226</v>
      </c>
      <c r="I36" s="436">
        <f>'CH4'!$D192</f>
        <v>1</v>
      </c>
      <c r="J36" s="424">
        <f>H!$E82</f>
        <v>4074943.3434961871</v>
      </c>
      <c r="K36" s="425">
        <f>H!$D154</f>
        <v>1</v>
      </c>
      <c r="L36" s="426">
        <f>H!$E119</f>
        <v>1</v>
      </c>
      <c r="M36" s="427">
        <f>H!$D192</f>
        <v>2</v>
      </c>
      <c r="N36" s="433">
        <f t="shared" si="0"/>
        <v>1949560701314374.5</v>
      </c>
      <c r="O36" s="439">
        <f t="shared" si="1"/>
        <v>5.8487851718163546E+19</v>
      </c>
      <c r="P36" s="424">
        <f>(TS!$B$8*A36/TS!$B$14)*N36*EXP(-$E$10/(TS!$B$8*A36))/O36</f>
        <v>106845028.20844871</v>
      </c>
      <c r="Q36" s="425">
        <f>P36*(TS!$B$8*A36/TS!$B$16)*TS!$B$6</f>
        <v>16658110.991042608</v>
      </c>
      <c r="R36" s="443">
        <f>Q36*10^6/TS!$B$6</f>
        <v>2.7661447576845787E-11</v>
      </c>
      <c r="S36" s="446">
        <v>2.5099999999999999E-11</v>
      </c>
      <c r="T36" s="441">
        <f t="shared" si="2"/>
        <v>9.7095424575495221E-2</v>
      </c>
    </row>
    <row r="37" spans="1:20" ht="17" thickBot="1" x14ac:dyDescent="0.25">
      <c r="A37" s="384">
        <f t="shared" si="3"/>
        <v>2000</v>
      </c>
      <c r="B37" s="428">
        <f>TS!$E83</f>
        <v>322034768.94959861</v>
      </c>
      <c r="C37" s="429">
        <f>TS!$E155</f>
        <v>21309.882385923851</v>
      </c>
      <c r="D37" s="430">
        <f>TS!$P120</f>
        <v>235.45440432742566</v>
      </c>
      <c r="E37" s="431">
        <f>TS!$D193</f>
        <v>2</v>
      </c>
      <c r="F37" s="434">
        <f>'CH4'!$E83</f>
        <v>293889960.74347669</v>
      </c>
      <c r="G37" s="429">
        <f>'CH4'!$E155</f>
        <v>2543.5672389172692</v>
      </c>
      <c r="H37" s="430">
        <f>'CH4'!$M120</f>
        <v>14.350533713209794</v>
      </c>
      <c r="I37" s="437">
        <f>'CH4'!$D193</f>
        <v>1</v>
      </c>
      <c r="J37" s="428">
        <f>H!$E83</f>
        <v>4632469.425374628</v>
      </c>
      <c r="K37" s="429">
        <f>H!$D155</f>
        <v>1</v>
      </c>
      <c r="L37" s="430">
        <f>H!$E120</f>
        <v>1</v>
      </c>
      <c r="M37" s="431">
        <f>H!$D193</f>
        <v>2</v>
      </c>
      <c r="N37" s="434">
        <f t="shared" si="0"/>
        <v>3231622554074636.5</v>
      </c>
      <c r="O37" s="440">
        <f t="shared" si="1"/>
        <v>9.9389060213288501E+19</v>
      </c>
      <c r="P37" s="428">
        <f>(TS!$B$8*A37/TS!$B$14)*N37*EXP(-$E$10/(TS!$B$8*A37))/O37</f>
        <v>124401773.36219698</v>
      </c>
      <c r="Q37" s="429">
        <f>P37*(TS!$B$8*A37/TS!$B$16)*TS!$B$6</f>
        <v>20416175.926630422</v>
      </c>
      <c r="R37" s="444">
        <f>Q37*10^6/TS!$B$6</f>
        <v>3.3901862006911866E-11</v>
      </c>
      <c r="S37" s="447">
        <v>3.2899999999999998E-11</v>
      </c>
      <c r="T37" s="441">
        <f t="shared" si="2"/>
        <v>2.9995032378235427E-2</v>
      </c>
    </row>
    <row r="40" spans="1:20" ht="17" thickBot="1" x14ac:dyDescent="0.25"/>
    <row r="41" spans="1:20" ht="22" thickBot="1" x14ac:dyDescent="0.35">
      <c r="B41" s="517" t="s">
        <v>200</v>
      </c>
      <c r="C41" s="518"/>
      <c r="D41" s="518"/>
      <c r="E41" s="518"/>
      <c r="F41" s="518"/>
      <c r="G41" s="518"/>
      <c r="H41" s="518"/>
      <c r="I41" s="518"/>
      <c r="J41" s="518"/>
      <c r="K41" s="518"/>
      <c r="L41" s="518"/>
      <c r="M41" s="518"/>
      <c r="N41" s="518"/>
      <c r="O41" s="518"/>
      <c r="P41" s="519"/>
    </row>
    <row r="45" spans="1:20" ht="20" thickBot="1" x14ac:dyDescent="0.3">
      <c r="C45" s="398"/>
    </row>
    <row r="46" spans="1:20" ht="22" thickBot="1" x14ac:dyDescent="0.35">
      <c r="B46" s="416" t="s">
        <v>178</v>
      </c>
      <c r="C46" s="174" t="s">
        <v>201</v>
      </c>
      <c r="D46" s="174" t="s">
        <v>202</v>
      </c>
      <c r="E46" s="185" t="s">
        <v>181</v>
      </c>
      <c r="F46" s="342" t="s">
        <v>177</v>
      </c>
    </row>
    <row r="47" spans="1:20" x14ac:dyDescent="0.2">
      <c r="B47" s="368">
        <f>TS!$C$172</f>
        <v>-1.7861379483336399E-16</v>
      </c>
      <c r="C47" s="368">
        <f>'CH3'!$C$172</f>
        <v>-1.7360430615849999E-16</v>
      </c>
      <c r="D47" s="368">
        <f>'H2'!$C$172</f>
        <v>-5.0940684965887995E-18</v>
      </c>
      <c r="E47" s="368">
        <f>B47-C47-D47</f>
        <v>8.4579821724793297E-20</v>
      </c>
      <c r="F47" s="368">
        <f>E47*TS!$H$13</f>
        <v>12.179494328370234</v>
      </c>
    </row>
    <row r="54" spans="1:20" ht="17" thickBot="1" x14ac:dyDescent="0.25"/>
    <row r="55" spans="1:20" ht="19" thickBot="1" x14ac:dyDescent="0.3">
      <c r="A55" s="454"/>
      <c r="B55" s="494" t="s">
        <v>183</v>
      </c>
      <c r="C55" s="495"/>
      <c r="D55" s="495"/>
      <c r="E55" s="496"/>
      <c r="F55" s="499" t="s">
        <v>203</v>
      </c>
      <c r="G55" s="500"/>
      <c r="H55" s="500"/>
      <c r="I55" s="501"/>
      <c r="J55" s="502" t="s">
        <v>204</v>
      </c>
      <c r="K55" s="503"/>
      <c r="L55" s="503"/>
      <c r="M55" s="504"/>
    </row>
    <row r="56" spans="1:20" ht="21" thickBot="1" x14ac:dyDescent="0.3">
      <c r="A56" s="452" t="s">
        <v>190</v>
      </c>
      <c r="B56" s="448" t="s">
        <v>186</v>
      </c>
      <c r="C56" s="449" t="s">
        <v>187</v>
      </c>
      <c r="D56" s="449" t="s">
        <v>188</v>
      </c>
      <c r="E56" s="449" t="s">
        <v>189</v>
      </c>
      <c r="F56" s="449" t="s">
        <v>186</v>
      </c>
      <c r="G56" s="449" t="s">
        <v>187</v>
      </c>
      <c r="H56" s="449" t="s">
        <v>188</v>
      </c>
      <c r="I56" s="449" t="s">
        <v>189</v>
      </c>
      <c r="J56" s="449" t="s">
        <v>186</v>
      </c>
      <c r="K56" s="449" t="s">
        <v>187</v>
      </c>
      <c r="L56" s="449" t="s">
        <v>188</v>
      </c>
      <c r="M56" s="449" t="s">
        <v>189</v>
      </c>
      <c r="N56" s="449" t="s">
        <v>191</v>
      </c>
      <c r="O56" s="449" t="s">
        <v>192</v>
      </c>
      <c r="P56" s="449" t="s">
        <v>195</v>
      </c>
      <c r="Q56" s="449" t="s">
        <v>198</v>
      </c>
      <c r="R56" s="450" t="s">
        <v>196</v>
      </c>
      <c r="S56" s="451" t="s">
        <v>197</v>
      </c>
      <c r="T56" s="439" t="s">
        <v>199</v>
      </c>
    </row>
    <row r="57" spans="1:20" x14ac:dyDescent="0.2">
      <c r="A57" s="383">
        <v>300</v>
      </c>
      <c r="B57" s="420">
        <f>B20</f>
        <v>2806279.4183435072</v>
      </c>
      <c r="C57" s="421">
        <f t="shared" ref="C57:E57" si="4">C20</f>
        <v>1237.9922938548289</v>
      </c>
      <c r="D57" s="422">
        <f t="shared" si="4"/>
        <v>1.1753940039091979</v>
      </c>
      <c r="E57" s="423">
        <f t="shared" si="4"/>
        <v>2</v>
      </c>
      <c r="F57" s="432">
        <f>'CH3'!E66</f>
        <v>2323355.1489047599</v>
      </c>
      <c r="G57" s="421">
        <f>'CH3'!E138</f>
        <v>42.824928905896343</v>
      </c>
      <c r="H57" s="422">
        <f>'CH3'!J103</f>
        <v>1.0910151884207482</v>
      </c>
      <c r="I57" s="435">
        <f>'CH3'!D176</f>
        <v>2</v>
      </c>
      <c r="J57" s="420">
        <f>'H2'!E66</f>
        <v>114178.01036804235</v>
      </c>
      <c r="K57" s="421">
        <f>'H2'!D138</f>
        <v>1.7184736568947652</v>
      </c>
      <c r="L57" s="422">
        <f>'H2'!E103</f>
        <v>1.000000000497856</v>
      </c>
      <c r="M57" s="423">
        <f>'H2'!D176</f>
        <v>1</v>
      </c>
      <c r="N57" s="432">
        <f>PRODUCT(B57:E57)</f>
        <v>8166995550.8049994</v>
      </c>
      <c r="O57" s="438">
        <f>PRODUCT(F57:M57)</f>
        <v>42598900938286.273</v>
      </c>
      <c r="P57" s="420">
        <f>(TS!$B$8*A57/TS!$B$14)*N57*EXP(-$E$10/(TS!$B$8*A57))/O57</f>
        <v>146.05789087344183</v>
      </c>
      <c r="Q57" s="421">
        <f>P57*(TS!$B$8*A57/TS!$B$16)*TS!$B$6</f>
        <v>3.5955398966011747</v>
      </c>
      <c r="R57" s="442">
        <f>Q57*10^6/TS!$B$6</f>
        <v>5.9705352193757942E-18</v>
      </c>
      <c r="S57" s="445">
        <v>1.1800000000000001E-20</v>
      </c>
      <c r="T57" s="441">
        <f>ABS(S57-R57)/((R57+S57)/2)</f>
        <v>1.9921101044543394</v>
      </c>
    </row>
    <row r="58" spans="1:20" x14ac:dyDescent="0.2">
      <c r="A58" s="371">
        <f>A57+100</f>
        <v>400</v>
      </c>
      <c r="B58" s="424">
        <f t="shared" ref="B58:E58" si="5">B21</f>
        <v>5760733.0759179452</v>
      </c>
      <c r="C58" s="425">
        <f t="shared" si="5"/>
        <v>1906.0138242980477</v>
      </c>
      <c r="D58" s="426">
        <f t="shared" si="5"/>
        <v>1.430172739012731</v>
      </c>
      <c r="E58" s="427">
        <f t="shared" si="5"/>
        <v>2</v>
      </c>
      <c r="F58" s="433">
        <f>'CH3'!E67</f>
        <v>4769385.6733982554</v>
      </c>
      <c r="G58" s="425">
        <f>'CH3'!E139</f>
        <v>65.933291284922248</v>
      </c>
      <c r="H58" s="426">
        <f>'CH3'!J104</f>
        <v>1.1944943993277499</v>
      </c>
      <c r="I58" s="436">
        <f>'CH3'!D177</f>
        <v>2</v>
      </c>
      <c r="J58" s="424">
        <f>'H2'!E67</f>
        <v>234384.72896542485</v>
      </c>
      <c r="K58" s="425">
        <f>'H2'!D139</f>
        <v>2.2912982091930205</v>
      </c>
      <c r="L58" s="426">
        <f>'H2'!E104</f>
        <v>1.0000001053968774</v>
      </c>
      <c r="M58" s="427">
        <f>'H2'!D177</f>
        <v>1</v>
      </c>
      <c r="N58" s="433">
        <f t="shared" ref="N58:N74" si="6">PRODUCT(B58:E58)</f>
        <v>31406698840.522247</v>
      </c>
      <c r="O58" s="439">
        <f t="shared" ref="O58:O74" si="7">PRODUCT(F58:M58)</f>
        <v>403452383633059.06</v>
      </c>
      <c r="P58" s="424">
        <f>(TS!$B$8*A58/TS!$B$14)*N58*EXP(-$E$10/(TS!$B$8*A58))/O58</f>
        <v>4232.0599110370877</v>
      </c>
      <c r="Q58" s="425">
        <f>P58*(TS!$B$8*A58/TS!$B$16)*TS!$B$6</f>
        <v>138.90875883933168</v>
      </c>
      <c r="R58" s="443">
        <f>Q58*10^6/TS!$B$6</f>
        <v>2.3066344993529162E-16</v>
      </c>
      <c r="S58" s="446">
        <v>1.1100000000000001E-18</v>
      </c>
      <c r="T58" s="441">
        <f t="shared" ref="T58:T74" si="8">ABS(S58-R58)/((R58+S58)/2)</f>
        <v>1.9808433623383543</v>
      </c>
    </row>
    <row r="59" spans="1:20" x14ac:dyDescent="0.2">
      <c r="A59" s="371">
        <f t="shared" ref="A59:A74" si="9">A58+100</f>
        <v>500</v>
      </c>
      <c r="B59" s="424">
        <f t="shared" ref="B59:E59" si="10">B22</f>
        <v>10063586.529674899</v>
      </c>
      <c r="C59" s="425">
        <f t="shared" si="10"/>
        <v>2663.735298240485</v>
      </c>
      <c r="D59" s="426">
        <f t="shared" si="10"/>
        <v>1.8374524569914585</v>
      </c>
      <c r="E59" s="427">
        <f t="shared" si="10"/>
        <v>2</v>
      </c>
      <c r="F59" s="433">
        <f>'CH3'!E68</f>
        <v>8331773.8879938824</v>
      </c>
      <c r="G59" s="425">
        <f>'CH3'!E140</f>
        <v>92.144575808362916</v>
      </c>
      <c r="H59" s="426">
        <f>'CH3'!J105</f>
        <v>1.3308656368723202</v>
      </c>
      <c r="I59" s="436">
        <f>'CH3'!D178</f>
        <v>2</v>
      </c>
      <c r="J59" s="424">
        <f>'H2'!E68</f>
        <v>409453.27098012256</v>
      </c>
      <c r="K59" s="425">
        <f>'H2'!D140</f>
        <v>2.8641227614912754</v>
      </c>
      <c r="L59" s="426">
        <f>'H2'!E105</f>
        <v>1.0000026197707961</v>
      </c>
      <c r="M59" s="427">
        <f>'H2'!D178</f>
        <v>1</v>
      </c>
      <c r="N59" s="433">
        <f t="shared" si="6"/>
        <v>98512186252.272369</v>
      </c>
      <c r="O59" s="439">
        <f t="shared" si="7"/>
        <v>2396451086219187.5</v>
      </c>
      <c r="P59" s="424">
        <f>(TS!$B$8*A59/TS!$B$14)*N59*EXP(-$E$10/(TS!$B$8*A59))/O59</f>
        <v>30427.507873723411</v>
      </c>
      <c r="Q59" s="425">
        <f>P59*(TS!$B$8*A59/TS!$B$16)*TS!$B$6</f>
        <v>1248.4013229260825</v>
      </c>
      <c r="R59" s="443">
        <f>Q59*10^6/TS!$B$6</f>
        <v>2.0730194298473341E-15</v>
      </c>
      <c r="S59" s="446">
        <v>1.99E-17</v>
      </c>
      <c r="T59" s="441">
        <f t="shared" si="8"/>
        <v>1.9619670022339049</v>
      </c>
    </row>
    <row r="60" spans="1:20" x14ac:dyDescent="0.2">
      <c r="A60" s="371">
        <f t="shared" si="9"/>
        <v>600</v>
      </c>
      <c r="B60" s="424">
        <f t="shared" ref="B60:E60" si="11">B23</f>
        <v>15874713.65291952</v>
      </c>
      <c r="C60" s="425">
        <f t="shared" si="11"/>
        <v>3501.5709841657513</v>
      </c>
      <c r="D60" s="426">
        <f t="shared" si="11"/>
        <v>2.4514090295212454</v>
      </c>
      <c r="E60" s="427">
        <f t="shared" si="11"/>
        <v>2</v>
      </c>
      <c r="F60" s="433">
        <f>'CH3'!E69</f>
        <v>13142881.447161743</v>
      </c>
      <c r="G60" s="425">
        <f>'CH3'!E141</f>
        <v>121.1271905327643</v>
      </c>
      <c r="H60" s="426">
        <f>'CH3'!J106</f>
        <v>1.500550364303576</v>
      </c>
      <c r="I60" s="436">
        <f>'CH3'!D179</f>
        <v>2</v>
      </c>
      <c r="J60" s="424">
        <f>'H2'!E69</f>
        <v>645888.36314904713</v>
      </c>
      <c r="K60" s="425">
        <f>'H2'!D141</f>
        <v>3.4369473137895303</v>
      </c>
      <c r="L60" s="426">
        <f>'H2'!E106</f>
        <v>1.0000223131810506</v>
      </c>
      <c r="M60" s="427">
        <f>'H2'!D179</f>
        <v>1</v>
      </c>
      <c r="N60" s="433">
        <f t="shared" si="6"/>
        <v>272530185734.7218</v>
      </c>
      <c r="O60" s="439">
        <f t="shared" si="7"/>
        <v>1.0606029530800462E+16</v>
      </c>
      <c r="P60" s="424">
        <f>(TS!$B$8*A60/TS!$B$14)*N60*EXP(-$E$10/(TS!$B$8*A60))/O60</f>
        <v>112149.36211655762</v>
      </c>
      <c r="Q60" s="425">
        <f>P60*(TS!$B$8*A60/TS!$B$16)*TS!$B$6</f>
        <v>5521.6120602187493</v>
      </c>
      <c r="R60" s="443">
        <f>Q60*10^6/TS!$B$6</f>
        <v>9.1688536968897266E-15</v>
      </c>
      <c r="S60" s="446">
        <v>1.5099999999999999E-16</v>
      </c>
      <c r="T60" s="441">
        <f t="shared" si="8"/>
        <v>1.9351921157086867</v>
      </c>
    </row>
    <row r="61" spans="1:20" x14ac:dyDescent="0.2">
      <c r="A61" s="371">
        <f t="shared" si="9"/>
        <v>700</v>
      </c>
      <c r="B61" s="424">
        <f t="shared" ref="B61:E61" si="12">B24</f>
        <v>23338496.478963908</v>
      </c>
      <c r="C61" s="425">
        <f t="shared" si="12"/>
        <v>4412.483752725816</v>
      </c>
      <c r="D61" s="426">
        <f t="shared" si="12"/>
        <v>3.3523281090225856</v>
      </c>
      <c r="E61" s="427">
        <f t="shared" si="12"/>
        <v>2</v>
      </c>
      <c r="F61" s="433">
        <f>'CH3'!E70</f>
        <v>19322244.10999826</v>
      </c>
      <c r="G61" s="425">
        <f>'CH3'!E142</f>
        <v>152.63770537740064</v>
      </c>
      <c r="H61" s="426">
        <f>'CH3'!J107</f>
        <v>1.7057682976912358</v>
      </c>
      <c r="I61" s="436">
        <f>'CH3'!D180</f>
        <v>2</v>
      </c>
      <c r="J61" s="424">
        <f>'H2'!E70</f>
        <v>949564.42167925066</v>
      </c>
      <c r="K61" s="425">
        <f>'H2'!D142</f>
        <v>4.0097718660877852</v>
      </c>
      <c r="L61" s="426">
        <f>'H2'!E107</f>
        <v>1.0001030597667218</v>
      </c>
      <c r="M61" s="427">
        <f>'H2'!D180</f>
        <v>1</v>
      </c>
      <c r="N61" s="433">
        <f t="shared" si="6"/>
        <v>690450435491.11487</v>
      </c>
      <c r="O61" s="439">
        <f t="shared" si="7"/>
        <v>3.8314069425695512E+16</v>
      </c>
      <c r="P61" s="424">
        <f>(TS!$B$8*A61/TS!$B$14)*N61*EXP(-$E$10/(TS!$B$8*A61))/O61</f>
        <v>286101.05679742305</v>
      </c>
      <c r="Q61" s="425">
        <f>P61*(TS!$B$8*A61/TS!$B$16)*TS!$B$6</f>
        <v>16433.699236566659</v>
      </c>
      <c r="R61" s="443">
        <f>Q61*10^6/TS!$B$6</f>
        <v>2.7288803044377349E-14</v>
      </c>
      <c r="S61" s="446">
        <v>6.9499999999999995E-16</v>
      </c>
      <c r="T61" s="441">
        <f t="shared" si="8"/>
        <v>1.9006568193897229</v>
      </c>
    </row>
    <row r="62" spans="1:20" x14ac:dyDescent="0.2">
      <c r="A62" s="371">
        <f t="shared" si="9"/>
        <v>800</v>
      </c>
      <c r="B62" s="424">
        <f t="shared" ref="B62:E62" si="13">B25</f>
        <v>32587627.380697835</v>
      </c>
      <c r="C62" s="425">
        <f t="shared" si="13"/>
        <v>5391.0212007858127</v>
      </c>
      <c r="D62" s="426">
        <f t="shared" si="13"/>
        <v>4.6551306967421882</v>
      </c>
      <c r="E62" s="427">
        <f t="shared" si="13"/>
        <v>2</v>
      </c>
      <c r="F62" s="433">
        <f>'CH3'!E71</f>
        <v>26979719.61403108</v>
      </c>
      <c r="G62" s="425">
        <f>'CH3'!E143</f>
        <v>186.48750949406551</v>
      </c>
      <c r="H62" s="426">
        <f>'CH3'!J108</f>
        <v>1.9500985383323988</v>
      </c>
      <c r="I62" s="436">
        <f>'CH3'!D181</f>
        <v>2</v>
      </c>
      <c r="J62" s="424">
        <f>'H2'!E71</f>
        <v>1325880.2500641872</v>
      </c>
      <c r="K62" s="425">
        <f>'H2'!D143</f>
        <v>4.582596418386041</v>
      </c>
      <c r="L62" s="426">
        <f>'H2'!E108</f>
        <v>1.0003247542664466</v>
      </c>
      <c r="M62" s="427">
        <f>'H2'!D181</f>
        <v>1</v>
      </c>
      <c r="N62" s="433">
        <f t="shared" si="6"/>
        <v>1635632215524.1555</v>
      </c>
      <c r="O62" s="439">
        <f t="shared" si="7"/>
        <v>1.1926984708385354E+17</v>
      </c>
      <c r="P62" s="424">
        <f>(TS!$B$8*A62/TS!$B$14)*N62*EXP(-$E$10/(TS!$B$8*A62))/O62</f>
        <v>583834.48076094058</v>
      </c>
      <c r="Q62" s="425">
        <f>P62*(TS!$B$8*A62/TS!$B$16)*TS!$B$6</f>
        <v>38326.358697617798</v>
      </c>
      <c r="R62" s="443">
        <f>Q62*10^6/TS!$B$6</f>
        <v>6.364242395164809E-14</v>
      </c>
      <c r="S62" s="446">
        <v>2.2999999999999999E-15</v>
      </c>
      <c r="T62" s="441">
        <f t="shared" si="8"/>
        <v>1.8604843521259418</v>
      </c>
    </row>
    <row r="63" spans="1:20" x14ac:dyDescent="0.2">
      <c r="A63" s="371">
        <f t="shared" si="9"/>
        <v>900</v>
      </c>
      <c r="B63" s="424">
        <f t="shared" ref="B63:E63" si="14">B26</f>
        <v>43745566.795251966</v>
      </c>
      <c r="C63" s="425">
        <f t="shared" si="14"/>
        <v>6432.7966570059098</v>
      </c>
      <c r="D63" s="426">
        <f t="shared" si="14"/>
        <v>6.5210391126241305</v>
      </c>
      <c r="E63" s="427">
        <f t="shared" si="14"/>
        <v>2</v>
      </c>
      <c r="F63" s="433">
        <f>'CH3'!E72</f>
        <v>36217522.457368061</v>
      </c>
      <c r="G63" s="425">
        <f>'CH3'!E144</f>
        <v>222.52485808661254</v>
      </c>
      <c r="H63" s="426">
        <f>'CH3'!J109</f>
        <v>2.2382947843736782</v>
      </c>
      <c r="I63" s="436">
        <f>'CH3'!D182</f>
        <v>2</v>
      </c>
      <c r="J63" s="424">
        <f>'H2'!E72</f>
        <v>1779859.0355811976</v>
      </c>
      <c r="K63" s="425">
        <f>'H2'!D144</f>
        <v>5.1554209706842959</v>
      </c>
      <c r="L63" s="426">
        <f>'H2'!E109</f>
        <v>1.0007931930047049</v>
      </c>
      <c r="M63" s="427">
        <f>'H2'!D182</f>
        <v>1</v>
      </c>
      <c r="N63" s="433">
        <f t="shared" si="6"/>
        <v>3670123445096.9673</v>
      </c>
      <c r="O63" s="439">
        <f t="shared" si="7"/>
        <v>3.3131311936369523E+17</v>
      </c>
      <c r="P63" s="424">
        <f>(TS!$B$8*A63/TS!$B$14)*N63*EXP(-$E$10/(TS!$B$8*A63))/O63</f>
        <v>1029950.380533317</v>
      </c>
      <c r="Q63" s="425">
        <f>P63*(TS!$B$8*A63/TS!$B$16)*TS!$B$6</f>
        <v>76063.559371864234</v>
      </c>
      <c r="R63" s="443">
        <f>Q63*10^6/TS!$B$6</f>
        <v>1.2630652786528415E-13</v>
      </c>
      <c r="S63" s="446">
        <v>6.1100000000000003E-15</v>
      </c>
      <c r="T63" s="441">
        <f t="shared" si="8"/>
        <v>1.8154308952666058</v>
      </c>
    </row>
    <row r="64" spans="1:20" x14ac:dyDescent="0.2">
      <c r="A64" s="371">
        <f t="shared" si="9"/>
        <v>1000</v>
      </c>
      <c r="B64" s="424">
        <f t="shared" ref="B64:E64" si="15">B27</f>
        <v>56928242.225525893</v>
      </c>
      <c r="C64" s="425">
        <f t="shared" si="15"/>
        <v>7534.181170687265</v>
      </c>
      <c r="D64" s="426">
        <f t="shared" si="15"/>
        <v>9.1730399895215378</v>
      </c>
      <c r="E64" s="427">
        <f t="shared" si="15"/>
        <v>2</v>
      </c>
      <c r="F64" s="433">
        <f>'CH3'!E73</f>
        <v>47131630.524107978</v>
      </c>
      <c r="G64" s="425">
        <f>'CH3'!E145</f>
        <v>260.62421761460507</v>
      </c>
      <c r="H64" s="426">
        <f>'CH3'!J110</f>
        <v>2.5761415703458113</v>
      </c>
      <c r="I64" s="436">
        <f>'CH3'!D183</f>
        <v>2</v>
      </c>
      <c r="J64" s="424">
        <f>'H2'!E73</f>
        <v>2316217.475912435</v>
      </c>
      <c r="K64" s="425">
        <f>'H2'!D145</f>
        <v>5.7282455229825509</v>
      </c>
      <c r="L64" s="426">
        <f>'H2'!E110</f>
        <v>1.001621192493636</v>
      </c>
      <c r="M64" s="427">
        <f>'H2'!D183</f>
        <v>1</v>
      </c>
      <c r="N64" s="433">
        <f t="shared" si="6"/>
        <v>7868774796399.457</v>
      </c>
      <c r="O64" s="439">
        <f t="shared" si="7"/>
        <v>8.4106859643475366E+17</v>
      </c>
      <c r="P64" s="424">
        <f>(TS!$B$8*A64/TS!$B$14)*N64*EXP(-$E$10/(TS!$B$8*A64))/O64</f>
        <v>1643149.3830556774</v>
      </c>
      <c r="Q64" s="425">
        <f>P64*(TS!$B$8*A64/TS!$B$16)*TS!$B$6</f>
        <v>134832.5910938867</v>
      </c>
      <c r="R64" s="443">
        <f>Q64*10^6/TS!$B$6</f>
        <v>2.2389481329541776E-13</v>
      </c>
      <c r="S64" s="446">
        <v>1.38E-14</v>
      </c>
      <c r="T64" s="441">
        <f t="shared" si="8"/>
        <v>1.7677694383200742</v>
      </c>
    </row>
    <row r="65" spans="1:20" x14ac:dyDescent="0.2">
      <c r="A65" s="371">
        <f t="shared" si="9"/>
        <v>1100</v>
      </c>
      <c r="B65" s="424">
        <f t="shared" ref="B65:E65" si="16">B28</f>
        <v>72245281.429855764</v>
      </c>
      <c r="C65" s="425">
        <f t="shared" si="16"/>
        <v>8692.1074630871244</v>
      </c>
      <c r="D65" s="426">
        <f t="shared" si="16"/>
        <v>12.916063757509262</v>
      </c>
      <c r="E65" s="427">
        <f t="shared" si="16"/>
        <v>2</v>
      </c>
      <c r="F65" s="433">
        <f>'CH3'!E74</f>
        <v>59812806.058068268</v>
      </c>
      <c r="G65" s="425">
        <f>'CH3'!E146</f>
        <v>300.67948402978277</v>
      </c>
      <c r="H65" s="426">
        <f>'CH3'!J111</f>
        <v>2.9703629051025491</v>
      </c>
      <c r="I65" s="436">
        <f>'CH3'!D184</f>
        <v>2</v>
      </c>
      <c r="J65" s="424">
        <f>'H2'!E74</f>
        <v>2939415.9534582081</v>
      </c>
      <c r="K65" s="425">
        <f>'H2'!D146</f>
        <v>6.3010700752808058</v>
      </c>
      <c r="L65" s="426">
        <f>'H2'!E111</f>
        <v>1.0029114479107326</v>
      </c>
      <c r="M65" s="427">
        <f>'H2'!D184</f>
        <v>1</v>
      </c>
      <c r="N65" s="433">
        <f t="shared" si="6"/>
        <v>16221639661949.053</v>
      </c>
      <c r="O65" s="439">
        <f t="shared" si="7"/>
        <v>1.9846111506067364E+18</v>
      </c>
      <c r="P65" s="424">
        <f>(TS!$B$8*A65/TS!$B$14)*N65*EXP(-$E$10/(TS!$B$8*A65))/O65</f>
        <v>2437695.1342787072</v>
      </c>
      <c r="Q65" s="425">
        <f>P65*(TS!$B$8*A65/TS!$B$16)*TS!$B$6</f>
        <v>220034.05783141943</v>
      </c>
      <c r="R65" s="443">
        <f>Q65*10^6/TS!$B$6</f>
        <v>3.6537519524856522E-13</v>
      </c>
      <c r="S65" s="446">
        <v>2.7700000000000001E-14</v>
      </c>
      <c r="T65" s="441">
        <f t="shared" si="8"/>
        <v>1.7181200916788084</v>
      </c>
    </row>
    <row r="66" spans="1:20" x14ac:dyDescent="0.2">
      <c r="A66" s="371">
        <f t="shared" si="9"/>
        <v>1200</v>
      </c>
      <c r="B66" s="424">
        <f t="shared" ref="B66:E66" si="17">B29</f>
        <v>89800941.386991456</v>
      </c>
      <c r="C66" s="425">
        <f t="shared" si="17"/>
        <v>9903.9383508386345</v>
      </c>
      <c r="D66" s="426">
        <f t="shared" si="17"/>
        <v>18.162993862180112</v>
      </c>
      <c r="E66" s="427">
        <f t="shared" si="17"/>
        <v>2</v>
      </c>
      <c r="F66" s="433">
        <f>'CH3'!E75</f>
        <v>74347364.764951676</v>
      </c>
      <c r="G66" s="425">
        <f>'CH3'!E147</f>
        <v>342.5994312471708</v>
      </c>
      <c r="H66" s="426">
        <f>'CH3'!J112</f>
        <v>3.4285849770816701</v>
      </c>
      <c r="I66" s="436">
        <f>'CH3'!D185</f>
        <v>2</v>
      </c>
      <c r="J66" s="424">
        <f>'H2'!E75</f>
        <v>3653696.3317773752</v>
      </c>
      <c r="K66" s="425">
        <f>'H2'!D147</f>
        <v>6.8738946275790607</v>
      </c>
      <c r="L66" s="426">
        <f>'H2'!E112</f>
        <v>1.0047460488773623</v>
      </c>
      <c r="M66" s="427">
        <f>'H2'!D185</f>
        <v>1</v>
      </c>
      <c r="N66" s="433">
        <f t="shared" si="6"/>
        <v>32307715480514.312</v>
      </c>
      <c r="O66" s="439">
        <f t="shared" si="7"/>
        <v>4.4074638345638589E+18</v>
      </c>
      <c r="P66" s="424">
        <f>(TS!$B$8*A66/TS!$B$14)*N66*EXP(-$E$10/(TS!$B$8*A66))/O66</f>
        <v>3424557.6464832034</v>
      </c>
      <c r="Q66" s="425">
        <f>P66*(TS!$B$8*A66/TS!$B$16)*TS!$B$6</f>
        <v>337212.41824066121</v>
      </c>
      <c r="R66" s="443">
        <f>Q66*10^6/TS!$B$6</f>
        <v>5.5995446509158079E-13</v>
      </c>
      <c r="S66" s="446">
        <v>5.06E-14</v>
      </c>
      <c r="T66" s="441">
        <f t="shared" si="8"/>
        <v>1.6684980430539627</v>
      </c>
    </row>
    <row r="67" spans="1:20" x14ac:dyDescent="0.2">
      <c r="A67" s="371">
        <f t="shared" si="9"/>
        <v>1300</v>
      </c>
      <c r="B67" s="424">
        <f t="shared" ref="B67:E67" si="18">B30</f>
        <v>109694828.89758618</v>
      </c>
      <c r="C67" s="425">
        <f t="shared" si="18"/>
        <v>11167.374684780951</v>
      </c>
      <c r="D67" s="426">
        <f t="shared" si="18"/>
        <v>25.467838584219269</v>
      </c>
      <c r="E67" s="427">
        <f t="shared" si="18"/>
        <v>2</v>
      </c>
      <c r="F67" s="433">
        <f>'CH3'!E76</f>
        <v>90817772.407663122</v>
      </c>
      <c r="G67" s="425">
        <f>'CH3'!E148</f>
        <v>386.30452654282112</v>
      </c>
      <c r="H67" s="426">
        <f>'CH3'!J113</f>
        <v>3.9593400320115713</v>
      </c>
      <c r="I67" s="436">
        <f>'CH3'!D186</f>
        <v>2</v>
      </c>
      <c r="J67" s="424">
        <f>'H2'!E76</f>
        <v>4463111.27442268</v>
      </c>
      <c r="K67" s="425">
        <f>'H2'!D148</f>
        <v>7.4467191798773165</v>
      </c>
      <c r="L67" s="426">
        <f>'H2'!E113</f>
        <v>1.0071826714022107</v>
      </c>
      <c r="M67" s="427">
        <f>'H2'!D186</f>
        <v>1</v>
      </c>
      <c r="N67" s="433">
        <f t="shared" si="6"/>
        <v>62396370341344.602</v>
      </c>
      <c r="O67" s="439">
        <f t="shared" si="7"/>
        <v>9.2996022852511683E+18</v>
      </c>
      <c r="P67" s="424">
        <f>(TS!$B$8*A67/TS!$B$14)*N67*EXP(-$E$10/(TS!$B$8*A67))/O67</f>
        <v>4612190.9037011471</v>
      </c>
      <c r="Q67" s="425">
        <f>P67*(TS!$B$8*A67/TS!$B$16)*TS!$B$6</f>
        <v>492003.80291168654</v>
      </c>
      <c r="R67" s="443">
        <f>Q67*10^6/TS!$B$6</f>
        <v>8.1699163903809365E-13</v>
      </c>
      <c r="S67" s="446">
        <v>8.6099999999999994E-14</v>
      </c>
      <c r="T67" s="441">
        <f t="shared" si="8"/>
        <v>1.6186433523326278</v>
      </c>
    </row>
    <row r="68" spans="1:20" x14ac:dyDescent="0.2">
      <c r="A68" s="371">
        <f t="shared" si="9"/>
        <v>1400</v>
      </c>
      <c r="B68" s="424">
        <f t="shared" ref="B68:E68" si="19">B31</f>
        <v>132022472.98379029</v>
      </c>
      <c r="C68" s="425">
        <f t="shared" si="19"/>
        <v>12480.38873371157</v>
      </c>
      <c r="D68" s="426">
        <f t="shared" si="19"/>
        <v>35.567650817850662</v>
      </c>
      <c r="E68" s="427">
        <f t="shared" si="19"/>
        <v>2</v>
      </c>
      <c r="F68" s="433">
        <f>'CH3'!E77</f>
        <v>109303118.70337307</v>
      </c>
      <c r="G68" s="425">
        <f>'CH3'!E149</f>
        <v>431.72462614845784</v>
      </c>
      <c r="H68" s="426">
        <f>'CH3'!J114</f>
        <v>4.5720973402735599</v>
      </c>
      <c r="I68" s="436">
        <f>'CH3'!D187</f>
        <v>2</v>
      </c>
      <c r="J68" s="424">
        <f>'H2'!E77</f>
        <v>5371547.5339429826</v>
      </c>
      <c r="K68" s="425">
        <f>'H2'!D149</f>
        <v>8.0195437321755705</v>
      </c>
      <c r="L68" s="426">
        <f>'H2'!E114</f>
        <v>1.0102554185092685</v>
      </c>
      <c r="M68" s="427">
        <f>'H2'!D187</f>
        <v>1</v>
      </c>
      <c r="N68" s="433">
        <f t="shared" si="6"/>
        <v>117209052087642.34</v>
      </c>
      <c r="O68" s="439">
        <f t="shared" si="7"/>
        <v>1.8778682153069982E+19</v>
      </c>
      <c r="P68" s="424">
        <f>(TS!$B$8*A68/TS!$B$14)*N68*EXP(-$E$10/(TS!$B$8*A68))/O68</f>
        <v>6007053.923871316</v>
      </c>
      <c r="Q68" s="425">
        <f>P68*(TS!$B$8*A68/TS!$B$16)*TS!$B$6</f>
        <v>690092.64480024087</v>
      </c>
      <c r="R68" s="443">
        <f>Q68*10^6/TS!$B$6</f>
        <v>1.1459259412770891E-12</v>
      </c>
      <c r="S68" s="446">
        <v>1.3799999999999999E-13</v>
      </c>
      <c r="T68" s="441">
        <f t="shared" si="8"/>
        <v>1.570068660306887</v>
      </c>
    </row>
    <row r="69" spans="1:20" x14ac:dyDescent="0.2">
      <c r="A69" s="371">
        <f t="shared" si="9"/>
        <v>1500</v>
      </c>
      <c r="B69" s="424">
        <f t="shared" ref="B69:E69" si="20">B32</f>
        <v>156875788.58186588</v>
      </c>
      <c r="C69" s="425">
        <f t="shared" si="20"/>
        <v>13841.174623401472</v>
      </c>
      <c r="D69" s="426">
        <f t="shared" si="20"/>
        <v>49.435066939535218</v>
      </c>
      <c r="E69" s="427">
        <f t="shared" si="20"/>
        <v>2</v>
      </c>
      <c r="F69" s="433">
        <f>'CH3'!E78</f>
        <v>129879501.22062938</v>
      </c>
      <c r="G69" s="425">
        <f>'CH3'!E150</f>
        <v>478.79726082589985</v>
      </c>
      <c r="H69" s="426">
        <f>'CH3'!J115</f>
        <v>5.2773108994272615</v>
      </c>
      <c r="I69" s="436">
        <f>'CH3'!D188</f>
        <v>2</v>
      </c>
      <c r="J69" s="424">
        <f>'H2'!E78</f>
        <v>6382744.8179655354</v>
      </c>
      <c r="K69" s="425">
        <f>'H2'!D150</f>
        <v>8.5923682844738263</v>
      </c>
      <c r="L69" s="426">
        <f>'H2'!E115</f>
        <v>1.013978137584411</v>
      </c>
      <c r="M69" s="427">
        <f>'H2'!D188</f>
        <v>1</v>
      </c>
      <c r="N69" s="433">
        <f t="shared" si="6"/>
        <v>214681189034358.12</v>
      </c>
      <c r="O69" s="439">
        <f t="shared" si="7"/>
        <v>3.6499246730381771E+19</v>
      </c>
      <c r="P69" s="424">
        <f>(TS!$B$8*A69/TS!$B$14)*N69*EXP(-$E$10/(TS!$B$8*A69))/O69</f>
        <v>7613975.6848076396</v>
      </c>
      <c r="Q69" s="425">
        <f>P69*(TS!$B$8*A69/TS!$B$16)*TS!$B$6</f>
        <v>937174.74566980242</v>
      </c>
      <c r="R69" s="443">
        <f>Q69*10^6/TS!$B$6</f>
        <v>1.5562154743493217E-12</v>
      </c>
      <c r="S69" s="446">
        <v>2.1100000000000001E-13</v>
      </c>
      <c r="T69" s="441">
        <f t="shared" si="8"/>
        <v>1.5224125115185765</v>
      </c>
    </row>
    <row r="70" spans="1:20" x14ac:dyDescent="0.2">
      <c r="A70" s="371">
        <f t="shared" si="9"/>
        <v>1600</v>
      </c>
      <c r="B70" s="424">
        <f t="shared" ref="B70:E70" si="21">B33</f>
        <v>184343458.42937529</v>
      </c>
      <c r="C70" s="425">
        <f t="shared" si="21"/>
        <v>15248.110594384389</v>
      </c>
      <c r="D70" s="426">
        <f t="shared" si="21"/>
        <v>68.343657093744397</v>
      </c>
      <c r="E70" s="427">
        <f t="shared" si="21"/>
        <v>2</v>
      </c>
      <c r="F70" s="433">
        <f>'CH3'!E79</f>
        <v>152620341.54874289</v>
      </c>
      <c r="G70" s="425">
        <f>'CH3'!E151</f>
        <v>527.4663302793781</v>
      </c>
      <c r="H70" s="426">
        <f>'CH3'!J116</f>
        <v>6.0864773810570156</v>
      </c>
      <c r="I70" s="436">
        <f>'CH3'!D189</f>
        <v>2</v>
      </c>
      <c r="J70" s="424">
        <f>'H2'!E79</f>
        <v>7500311.326893637</v>
      </c>
      <c r="K70" s="425">
        <f>'H2'!D151</f>
        <v>9.1651928367720821</v>
      </c>
      <c r="L70" s="426">
        <f>'H2'!E116</f>
        <v>1.0183486198834626</v>
      </c>
      <c r="M70" s="427">
        <f>'H2'!D189</f>
        <v>1</v>
      </c>
      <c r="N70" s="433">
        <f t="shared" si="6"/>
        <v>384212928234201.81</v>
      </c>
      <c r="O70" s="439">
        <f t="shared" si="7"/>
        <v>6.8599436552788746E+19</v>
      </c>
      <c r="P70" s="424">
        <f>(TS!$B$8*A70/TS!$B$14)*N70*EXP(-$E$10/(TS!$B$8*A70))/O70</f>
        <v>9436428.2615174577</v>
      </c>
      <c r="Q70" s="425">
        <f>P70*(TS!$B$8*A70/TS!$B$16)*TS!$B$6</f>
        <v>1238926.2583596683</v>
      </c>
      <c r="R70" s="443">
        <f>Q70*10^6/TS!$B$6</f>
        <v>2.0572857129851983E-12</v>
      </c>
      <c r="S70" s="446">
        <v>3.09E-13</v>
      </c>
      <c r="T70" s="441">
        <f t="shared" si="8"/>
        <v>1.4776624000993022</v>
      </c>
    </row>
    <row r="71" spans="1:20" x14ac:dyDescent="0.2">
      <c r="A71" s="371">
        <f t="shared" si="9"/>
        <v>1700</v>
      </c>
      <c r="B71" s="424">
        <f t="shared" ref="B71:E71" si="22">B34</f>
        <v>214511252.04427201</v>
      </c>
      <c r="C71" s="425">
        <f t="shared" si="22"/>
        <v>16699.729683120167</v>
      </c>
      <c r="D71" s="426">
        <f t="shared" si="22"/>
        <v>93.948638966636594</v>
      </c>
      <c r="E71" s="427">
        <f t="shared" si="22"/>
        <v>2</v>
      </c>
      <c r="F71" s="433">
        <f>'CH3'!E80</f>
        <v>177596649.38470513</v>
      </c>
      <c r="G71" s="425">
        <f>'CH3'!E152</f>
        <v>577.68108895124567</v>
      </c>
      <c r="H71" s="426">
        <f>'CH3'!J117</f>
        <v>7.0122005764425035</v>
      </c>
      <c r="I71" s="436">
        <f>'CH3'!D190</f>
        <v>2</v>
      </c>
      <c r="J71" s="424">
        <f>'H2'!E80</f>
        <v>8727736.7320857942</v>
      </c>
      <c r="K71" s="425">
        <f>'H2'!D152</f>
        <v>9.7380173890703361</v>
      </c>
      <c r="L71" s="426">
        <f>'H2'!E117</f>
        <v>1.0233527351716376</v>
      </c>
      <c r="M71" s="427">
        <f>'H2'!D190</f>
        <v>1</v>
      </c>
      <c r="N71" s="433">
        <f t="shared" si="6"/>
        <v>673100646350578.62</v>
      </c>
      <c r="O71" s="439">
        <f t="shared" si="7"/>
        <v>1.251424871860157E+20</v>
      </c>
      <c r="P71" s="424">
        <f>(TS!$B$8*A71/TS!$B$14)*N71*EXP(-$E$10/(TS!$B$8*A71))/O71</f>
        <v>11476744.230877496</v>
      </c>
      <c r="Q71" s="425">
        <f>P71*(TS!$B$8*A71/TS!$B$16)*TS!$B$6</f>
        <v>1600978.3422482722</v>
      </c>
      <c r="R71" s="443">
        <f>Q71*10^6/TS!$B$6</f>
        <v>2.6584874185061661E-12</v>
      </c>
      <c r="S71" s="446">
        <v>4.39E-13</v>
      </c>
      <c r="T71" s="441">
        <f t="shared" si="8"/>
        <v>1.433088899890715</v>
      </c>
    </row>
    <row r="72" spans="1:20" x14ac:dyDescent="0.2">
      <c r="A72" s="371">
        <f t="shared" si="9"/>
        <v>1800</v>
      </c>
      <c r="B72" s="424">
        <f t="shared" ref="B72:E72" si="23">B35</f>
        <v>247462295.42217454</v>
      </c>
      <c r="C72" s="425">
        <f t="shared" si="23"/>
        <v>18194.696552652149</v>
      </c>
      <c r="D72" s="426">
        <f t="shared" si="23"/>
        <v>128.38590886733368</v>
      </c>
      <c r="E72" s="427">
        <f t="shared" si="23"/>
        <v>2</v>
      </c>
      <c r="F72" s="433">
        <f>'CH3'!E81</f>
        <v>204877245.81904879</v>
      </c>
      <c r="G72" s="425">
        <f>'CH3'!E153</f>
        <v>629.39534454247212</v>
      </c>
      <c r="H72" s="426">
        <f>'CH3'!J118</f>
        <v>8.0682602836374517</v>
      </c>
      <c r="I72" s="436">
        <f>'CH3'!D191</f>
        <v>2</v>
      </c>
      <c r="J72" s="424">
        <f>'H2'!E81</f>
        <v>10068403.148924792</v>
      </c>
      <c r="K72" s="425">
        <f>'H2'!D153</f>
        <v>10.310841941368592</v>
      </c>
      <c r="L72" s="426">
        <f>'H2'!E118</f>
        <v>1.0289680427797723</v>
      </c>
      <c r="M72" s="427">
        <f>'H2'!D191</f>
        <v>1</v>
      </c>
      <c r="N72" s="433">
        <f t="shared" si="6"/>
        <v>1156115462008258.8</v>
      </c>
      <c r="O72" s="439">
        <f t="shared" si="7"/>
        <v>2.222714908380043E+20</v>
      </c>
      <c r="P72" s="424">
        <f>(TS!$B$8*A72/TS!$B$14)*N72*EXP(-$E$10/(TS!$B$8*A72))/O72</f>
        <v>13736297.358830553</v>
      </c>
      <c r="Q72" s="425">
        <f>P72*(TS!$B$8*A72/TS!$B$16)*TS!$B$6</f>
        <v>2028897.0992213564</v>
      </c>
      <c r="R72" s="443">
        <f>Q72*10^6/TS!$B$6</f>
        <v>3.3690633217118109E-12</v>
      </c>
      <c r="S72" s="446">
        <v>6.0600000000000004E-13</v>
      </c>
      <c r="T72" s="441">
        <f t="shared" si="8"/>
        <v>1.3901983933790178</v>
      </c>
    </row>
    <row r="73" spans="1:20" x14ac:dyDescent="0.2">
      <c r="A73" s="371">
        <f t="shared" si="9"/>
        <v>1900</v>
      </c>
      <c r="B73" s="424">
        <f t="shared" ref="B73:E73" si="24">B36</f>
        <v>283277301.50088918</v>
      </c>
      <c r="C73" s="425">
        <f t="shared" si="24"/>
        <v>19731.788907128372</v>
      </c>
      <c r="D73" s="426">
        <f t="shared" si="24"/>
        <v>174.3927912517438</v>
      </c>
      <c r="E73" s="427">
        <f t="shared" si="24"/>
        <v>2</v>
      </c>
      <c r="F73" s="433">
        <f>'CH3'!E82</f>
        <v>234528954.14044046</v>
      </c>
      <c r="G73" s="425">
        <f>'CH3'!E154</f>
        <v>682.56681509926716</v>
      </c>
      <c r="H73" s="426">
        <f>'CH3'!J119</f>
        <v>9.2696845429718664</v>
      </c>
      <c r="I73" s="436">
        <f>'CH3'!D192</f>
        <v>2</v>
      </c>
      <c r="J73" s="424">
        <f>'H2'!E82</f>
        <v>11525594.513639903</v>
      </c>
      <c r="K73" s="425">
        <f>'H2'!D154</f>
        <v>10.883666493666846</v>
      </c>
      <c r="L73" s="426">
        <f>'H2'!E119</f>
        <v>1.0351667248954137</v>
      </c>
      <c r="M73" s="427">
        <f>'H2'!D192</f>
        <v>1</v>
      </c>
      <c r="N73" s="433">
        <f t="shared" si="6"/>
        <v>1949560701314374.5</v>
      </c>
      <c r="O73" s="439">
        <f t="shared" si="7"/>
        <v>3.8537669906122133E+20</v>
      </c>
      <c r="P73" s="424">
        <f>(TS!$B$8*A73/TS!$B$14)*N73*EXP(-$E$10/(TS!$B$8*A73))/O73</f>
        <v>16215656.478198245</v>
      </c>
      <c r="Q73" s="425">
        <f>P73*(TS!$B$8*A73/TS!$B$16)*TS!$B$6</f>
        <v>2528168.2258481141</v>
      </c>
      <c r="R73" s="443">
        <f>Q73*10^6/TS!$B$6</f>
        <v>4.1981226372155321E-12</v>
      </c>
      <c r="S73" s="446">
        <v>8.1499999999999996E-13</v>
      </c>
      <c r="T73" s="441">
        <f t="shared" si="8"/>
        <v>1.3497067125789044</v>
      </c>
    </row>
    <row r="74" spans="1:20" ht="17" thickBot="1" x14ac:dyDescent="0.25">
      <c r="A74" s="384">
        <f t="shared" si="9"/>
        <v>2000</v>
      </c>
      <c r="B74" s="428">
        <f t="shared" ref="B74:E74" si="25">B37</f>
        <v>322034768.94959861</v>
      </c>
      <c r="C74" s="429">
        <f t="shared" si="25"/>
        <v>21309.882385923851</v>
      </c>
      <c r="D74" s="430">
        <f t="shared" si="25"/>
        <v>235.45440432742566</v>
      </c>
      <c r="E74" s="431">
        <f t="shared" si="25"/>
        <v>2</v>
      </c>
      <c r="F74" s="434">
        <f>'CH3'!E83</f>
        <v>266616764.41580194</v>
      </c>
      <c r="G74" s="429">
        <f>'CH3'!E155</f>
        <v>737.1566064669023</v>
      </c>
      <c r="H74" s="430">
        <f>'CH3'!J120</f>
        <v>10.632824655857579</v>
      </c>
      <c r="I74" s="437">
        <f>'CH3'!D193</f>
        <v>2</v>
      </c>
      <c r="J74" s="428">
        <f>'H2'!E83</f>
        <v>13102504.671363808</v>
      </c>
      <c r="K74" s="429">
        <f>'H2'!D155</f>
        <v>11.456491045965102</v>
      </c>
      <c r="L74" s="430">
        <f>'H2'!E120</f>
        <v>1.0419178518928653</v>
      </c>
      <c r="M74" s="431">
        <f>'H2'!D193</f>
        <v>1</v>
      </c>
      <c r="N74" s="434">
        <f t="shared" si="6"/>
        <v>3231622554074636.5</v>
      </c>
      <c r="O74" s="440">
        <f t="shared" si="7"/>
        <v>6.5368013296115201E+20</v>
      </c>
      <c r="P74" s="428">
        <f>(TS!$B$8*A74/TS!$B$14)*N74*EXP(-$E$10/(TS!$B$8*A74))/O74</f>
        <v>18914717.948250793</v>
      </c>
      <c r="Q74" s="429">
        <f>P74*(TS!$B$8*A74/TS!$B$16)*TS!$B$6</f>
        <v>3104185.7265953557</v>
      </c>
      <c r="R74" s="444">
        <f>Q74*10^6/TS!$B$6</f>
        <v>5.1546223212933534E-12</v>
      </c>
      <c r="S74" s="447">
        <v>1.0700000000000001E-12</v>
      </c>
      <c r="T74" s="441">
        <f t="shared" si="8"/>
        <v>1.3124080821162656</v>
      </c>
    </row>
    <row r="77" spans="1:20" ht="17" thickBot="1" x14ac:dyDescent="0.25"/>
    <row r="78" spans="1:20" ht="20" thickBot="1" x14ac:dyDescent="0.3">
      <c r="B78" s="505" t="s">
        <v>205</v>
      </c>
      <c r="C78" s="506"/>
      <c r="D78" s="506"/>
      <c r="E78" s="506"/>
      <c r="F78" s="506"/>
      <c r="G78" s="506"/>
      <c r="H78" s="506"/>
      <c r="I78" s="506"/>
      <c r="J78" s="506"/>
      <c r="K78" s="506"/>
      <c r="L78" s="506"/>
      <c r="M78" s="506"/>
      <c r="N78" s="506"/>
      <c r="O78" s="506"/>
      <c r="P78" s="507"/>
    </row>
    <row r="81" spans="15:15" x14ac:dyDescent="0.2">
      <c r="O81" s="269"/>
    </row>
    <row r="82" spans="15:15" x14ac:dyDescent="0.2">
      <c r="O82" s="269"/>
    </row>
    <row r="83" spans="15:15" x14ac:dyDescent="0.2">
      <c r="O83" s="269"/>
    </row>
    <row r="84" spans="15:15" x14ac:dyDescent="0.2">
      <c r="O84" s="269"/>
    </row>
    <row r="85" spans="15:15" x14ac:dyDescent="0.2">
      <c r="O85" s="269"/>
    </row>
    <row r="86" spans="15:15" x14ac:dyDescent="0.2">
      <c r="O86" s="269"/>
    </row>
    <row r="87" spans="15:15" x14ac:dyDescent="0.2">
      <c r="O87" s="269"/>
    </row>
    <row r="88" spans="15:15" x14ac:dyDescent="0.2">
      <c r="O88" s="269"/>
    </row>
    <row r="89" spans="15:15" x14ac:dyDescent="0.2">
      <c r="O89" s="269"/>
    </row>
    <row r="90" spans="15:15" x14ac:dyDescent="0.2">
      <c r="O90" s="269"/>
    </row>
    <row r="91" spans="15:15" x14ac:dyDescent="0.2">
      <c r="O91" s="269"/>
    </row>
    <row r="92" spans="15:15" x14ac:dyDescent="0.2">
      <c r="O92" s="269"/>
    </row>
    <row r="93" spans="15:15" x14ac:dyDescent="0.2">
      <c r="O93" s="269"/>
    </row>
    <row r="94" spans="15:15" x14ac:dyDescent="0.2">
      <c r="O94" s="269"/>
    </row>
    <row r="95" spans="15:15" x14ac:dyDescent="0.2">
      <c r="O95" s="269"/>
    </row>
    <row r="96" spans="15:15" x14ac:dyDescent="0.2">
      <c r="O96" s="269"/>
    </row>
    <row r="97" spans="2:15" x14ac:dyDescent="0.2">
      <c r="O97" s="269"/>
    </row>
    <row r="98" spans="2:15" x14ac:dyDescent="0.2">
      <c r="O98" s="269"/>
    </row>
    <row r="102" spans="2:15" ht="17" thickBot="1" x14ac:dyDescent="0.25"/>
    <row r="103" spans="2:15" ht="21" thickBot="1" x14ac:dyDescent="0.3">
      <c r="B103" s="452" t="s">
        <v>190</v>
      </c>
      <c r="C103" s="508" t="s">
        <v>206</v>
      </c>
      <c r="D103" s="508"/>
      <c r="E103" s="509" t="s">
        <v>207</v>
      </c>
      <c r="F103" s="509"/>
      <c r="G103" s="512" t="s">
        <v>208</v>
      </c>
      <c r="H103" s="513"/>
      <c r="I103" s="510" t="s">
        <v>209</v>
      </c>
      <c r="J103" s="511"/>
    </row>
    <row r="104" spans="2:15" x14ac:dyDescent="0.2">
      <c r="B104" s="383">
        <v>300</v>
      </c>
      <c r="C104" s="497">
        <f>1+(1/24)*(TS!$B$14*TS!$F$42/(TS!$B$8*B104))^2*(1+TS!$B$8*B104/$E$10)</f>
        <v>2.3254043443892103</v>
      </c>
      <c r="D104" s="498"/>
      <c r="E104" s="486">
        <f>1+(1/24)*(TS!$B$14*TS!$F$42/(TS!$B$8*B104))^2*(1+TS!$B$8*B104/$E$47)</f>
        <v>2.3081422702305345</v>
      </c>
      <c r="F104" s="487"/>
      <c r="G104" s="455"/>
      <c r="H104" s="456">
        <f>$R20*C104</f>
        <v>1.9245522911132718E-17</v>
      </c>
      <c r="I104" s="455"/>
      <c r="J104" s="457">
        <f>R57*E104</f>
        <v>1.3780844715741408E-17</v>
      </c>
    </row>
    <row r="105" spans="2:15" x14ac:dyDescent="0.2">
      <c r="B105" s="371">
        <f>B104+100</f>
        <v>400</v>
      </c>
      <c r="C105" s="488">
        <f>1+(1/24)*(TS!$B$14*TS!$F$42/(TS!$B$8*B105))^2*(1+TS!$B$8*B105/$E$10)</f>
        <v>1.7602272525892835</v>
      </c>
      <c r="D105" s="489"/>
      <c r="E105" s="484">
        <f>1+(1/24)*(TS!$B$14*TS!$F$42/(TS!$B$8*B105))^2*(1+TS!$B$8*B105/$E$47)</f>
        <v>1.7472806969702765</v>
      </c>
      <c r="F105" s="485"/>
      <c r="G105" s="458"/>
      <c r="H105" s="459">
        <f t="shared" ref="H105:H121" si="26">$R21*C105</f>
        <v>8.0119688430045999E-16</v>
      </c>
      <c r="I105" s="458"/>
      <c r="J105" s="460">
        <f t="shared" ref="J105:J121" si="27">R58*E105</f>
        <v>4.0303379356850482E-16</v>
      </c>
    </row>
    <row r="106" spans="2:15" x14ac:dyDescent="0.2">
      <c r="B106" s="371">
        <f t="shared" ref="B106:B121" si="28">B105+100</f>
        <v>500</v>
      </c>
      <c r="C106" s="488">
        <f>1+(1/24)*(TS!$B$14*TS!$F$42/(TS!$B$8*B106))^2*(1+TS!$B$8*B106/$E$10)</f>
        <v>1.4959453193341674</v>
      </c>
      <c r="D106" s="489"/>
      <c r="E106" s="484">
        <f>1+(1/24)*(TS!$B$14*TS!$F$42/(TS!$B$8*B106))^2*(1+TS!$B$8*B106/$E$47)</f>
        <v>1.4855880748389618</v>
      </c>
      <c r="F106" s="485"/>
      <c r="G106" s="458"/>
      <c r="H106" s="459">
        <f t="shared" si="26"/>
        <v>8.0690792261227983E-15</v>
      </c>
      <c r="I106" s="458"/>
      <c r="J106" s="460">
        <f t="shared" si="27"/>
        <v>3.0796529438906633E-15</v>
      </c>
    </row>
    <row r="107" spans="2:15" x14ac:dyDescent="0.2">
      <c r="B107" s="371">
        <f t="shared" si="28"/>
        <v>600</v>
      </c>
      <c r="C107" s="488">
        <f>1+(1/24)*(TS!$B$14*TS!$F$42/(TS!$B$8*B107))^2*(1+TS!$B$8*B107/$E$10)</f>
        <v>1.3509341645911062</v>
      </c>
      <c r="D107" s="489"/>
      <c r="E107" s="484">
        <f>1+(1/24)*(TS!$B$14*TS!$F$42/(TS!$B$8*B107))^2*(1+TS!$B$8*B107/$E$47)</f>
        <v>1.3423031275117685</v>
      </c>
      <c r="F107" s="485"/>
      <c r="G107" s="458"/>
      <c r="H107" s="459">
        <f t="shared" si="26"/>
        <v>4.004658617851827E-14</v>
      </c>
      <c r="I107" s="458"/>
      <c r="J107" s="460">
        <f t="shared" si="27"/>
        <v>1.2307380993032921E-14</v>
      </c>
    </row>
    <row r="108" spans="2:15" x14ac:dyDescent="0.2">
      <c r="B108" s="371">
        <f t="shared" si="28"/>
        <v>700</v>
      </c>
      <c r="C108" s="488">
        <f>1+(1/24)*(TS!$B$14*TS!$F$42/(TS!$B$8*B108))^2*(1+TS!$B$8*B108/$E$10)</f>
        <v>1.2626250381062341</v>
      </c>
      <c r="D108" s="489"/>
      <c r="E108" s="484">
        <f>1+(1/24)*(TS!$B$14*TS!$F$42/(TS!$B$8*B108))^2*(1+TS!$B$8*B108/$E$47)</f>
        <v>1.2552270063239446</v>
      </c>
      <c r="F108" s="485"/>
      <c r="G108" s="458"/>
      <c r="H108" s="459">
        <f t="shared" si="26"/>
        <v>1.3209084586446393E-13</v>
      </c>
      <c r="I108" s="458"/>
      <c r="J108" s="460">
        <f t="shared" si="27"/>
        <v>3.4253642551557522E-14</v>
      </c>
    </row>
    <row r="109" spans="2:15" x14ac:dyDescent="0.2">
      <c r="B109" s="371">
        <f t="shared" si="28"/>
        <v>800</v>
      </c>
      <c r="C109" s="488">
        <f>1+(1/24)*(TS!$B$14*TS!$F$42/(TS!$B$8*B109))^2*(1+TS!$B$8*B109/$E$10)</f>
        <v>1.2047441220176736</v>
      </c>
      <c r="D109" s="489"/>
      <c r="E109" s="484">
        <f>1+(1/24)*(TS!$B$14*TS!$F$42/(TS!$B$8*B109))^2*(1+TS!$B$8*B109/$E$47)</f>
        <v>1.1982708442081702</v>
      </c>
      <c r="F109" s="485"/>
      <c r="G109" s="458"/>
      <c r="H109" s="459">
        <f t="shared" si="26"/>
        <v>3.3592341135985305E-13</v>
      </c>
      <c r="I109" s="458"/>
      <c r="J109" s="460">
        <f t="shared" si="27"/>
        <v>7.6260861075995626E-14</v>
      </c>
    </row>
    <row r="110" spans="2:15" x14ac:dyDescent="0.2">
      <c r="B110" s="371">
        <f t="shared" si="28"/>
        <v>900</v>
      </c>
      <c r="C110" s="488">
        <f>1+(1/24)*(TS!$B$14*TS!$F$42/(TS!$B$8*B110))^2*(1+TS!$B$8*B110/$E$10)</f>
        <v>1.16467433025996</v>
      </c>
      <c r="D110" s="489"/>
      <c r="E110" s="484">
        <f>1+(1/24)*(TS!$B$14*TS!$F$42/(TS!$B$8*B110))^2*(1+TS!$B$8*B110/$E$47)</f>
        <v>1.1589203055404014</v>
      </c>
      <c r="F110" s="485"/>
      <c r="G110" s="458"/>
      <c r="H110" s="459">
        <f t="shared" si="26"/>
        <v>7.1543752792491672E-13</v>
      </c>
      <c r="I110" s="458"/>
      <c r="J110" s="460">
        <f t="shared" si="27"/>
        <v>1.4637919986538233E-13</v>
      </c>
    </row>
    <row r="111" spans="2:15" x14ac:dyDescent="0.2">
      <c r="B111" s="371">
        <f t="shared" si="28"/>
        <v>1000</v>
      </c>
      <c r="C111" s="488">
        <f>1+(1/24)*(TS!$B$14*TS!$F$42/(TS!$B$8*B111))^2*(1+TS!$B$8*B111/$E$10)</f>
        <v>1.135736176929824</v>
      </c>
      <c r="D111" s="489"/>
      <c r="E111" s="484">
        <f>1+(1/24)*(TS!$B$14*TS!$F$42/(TS!$B$8*B111))^2*(1+TS!$B$8*B111/$E$47)</f>
        <v>1.1305575546822213</v>
      </c>
      <c r="F111" s="485"/>
      <c r="G111" s="458"/>
      <c r="H111" s="459">
        <f t="shared" si="26"/>
        <v>1.3415147936640576E-12</v>
      </c>
      <c r="I111" s="458"/>
      <c r="J111" s="460">
        <f t="shared" si="27"/>
        <v>2.5312597262529997E-13</v>
      </c>
    </row>
    <row r="112" spans="2:15" x14ac:dyDescent="0.2">
      <c r="B112" s="371">
        <f t="shared" si="28"/>
        <v>1100</v>
      </c>
      <c r="C112" s="488">
        <f>1+(1/24)*(TS!$B$14*TS!$F$42/(TS!$B$8*B112))^2*(1+TS!$B$8*B112/$E$10)</f>
        <v>1.1141207821066781</v>
      </c>
      <c r="D112" s="489"/>
      <c r="E112" s="484">
        <f>1+(1/24)*(TS!$B$14*TS!$F$42/(TS!$B$8*B112))^2*(1+TS!$B$8*B112/$E$47)</f>
        <v>1.1094129436997666</v>
      </c>
      <c r="F112" s="485"/>
      <c r="G112" s="458"/>
      <c r="H112" s="459">
        <f t="shared" si="26"/>
        <v>2.2872975436852143E-12</v>
      </c>
      <c r="I112" s="458"/>
      <c r="J112" s="460">
        <f t="shared" si="27"/>
        <v>4.0535197091558773E-13</v>
      </c>
    </row>
    <row r="113" spans="2:10" x14ac:dyDescent="0.2">
      <c r="B113" s="371">
        <f t="shared" si="28"/>
        <v>1200</v>
      </c>
      <c r="C113" s="488">
        <f>1+(1/24)*(TS!$B$14*TS!$F$42/(TS!$B$8*B113))^2*(1+TS!$B$8*B113/$E$10)</f>
        <v>1.0975250803946783</v>
      </c>
      <c r="D113" s="489"/>
      <c r="E113" s="484">
        <f>1+(1/24)*(TS!$B$14*TS!$F$42/(TS!$B$8*B113))^2*(1+TS!$B$8*B113/$E$47)</f>
        <v>1.0932095618550095</v>
      </c>
      <c r="F113" s="485"/>
      <c r="G113" s="458"/>
      <c r="H113" s="459">
        <f t="shared" si="26"/>
        <v>3.6244980392992881E-12</v>
      </c>
      <c r="I113" s="458"/>
      <c r="J113" s="460">
        <f t="shared" si="27"/>
        <v>6.1214757544152329E-13</v>
      </c>
    </row>
    <row r="114" spans="2:10" x14ac:dyDescent="0.2">
      <c r="B114" s="371">
        <f t="shared" si="28"/>
        <v>1300</v>
      </c>
      <c r="C114" s="488">
        <f>1+(1/24)*(TS!$B$14*TS!$F$42/(TS!$B$8*B114))^2*(1+TS!$B$8*B114/$E$10)</f>
        <v>1.0844888078033097</v>
      </c>
      <c r="D114" s="489"/>
      <c r="E114" s="484">
        <f>1+(1/24)*(TS!$B$14*TS!$F$42/(TS!$B$8*B114))^2*(1+TS!$B$8*B114/$E$47)</f>
        <v>1.0805052522282308</v>
      </c>
      <c r="F114" s="485"/>
      <c r="G114" s="458"/>
      <c r="H114" s="459">
        <f t="shared" si="26"/>
        <v>5.4208283753385535E-12</v>
      </c>
      <c r="I114" s="458"/>
      <c r="J114" s="460">
        <f t="shared" si="27"/>
        <v>8.8276375700721106E-13</v>
      </c>
    </row>
    <row r="115" spans="2:10" x14ac:dyDescent="0.2">
      <c r="B115" s="371">
        <f t="shared" si="28"/>
        <v>1400</v>
      </c>
      <c r="C115" s="488">
        <f>1+(1/24)*(TS!$B$14*TS!$F$42/(TS!$B$8*B115))^2*(1+TS!$B$8*B115/$E$10)</f>
        <v>1.0740490074524744</v>
      </c>
      <c r="D115" s="489"/>
      <c r="E115" s="484">
        <f>1+(1/24)*(TS!$B$14*TS!$F$42/(TS!$B$8*B115))^2*(1+TS!$B$8*B115/$E$47)</f>
        <v>1.0703499915613297</v>
      </c>
      <c r="F115" s="485"/>
      <c r="G115" s="458"/>
      <c r="H115" s="459">
        <f t="shared" si="26"/>
        <v>7.738408376987712E-12</v>
      </c>
      <c r="I115" s="458"/>
      <c r="J115" s="460">
        <f t="shared" si="27"/>
        <v>1.226541821575841E-12</v>
      </c>
    </row>
    <row r="116" spans="2:10" x14ac:dyDescent="0.2">
      <c r="B116" s="371">
        <f t="shared" si="28"/>
        <v>1500</v>
      </c>
      <c r="C116" s="488">
        <f>1+(1/24)*(TS!$B$14*TS!$F$42/(TS!$B$8*B116))^2*(1+TS!$B$8*B116/$E$10)</f>
        <v>1.0655493440116028</v>
      </c>
      <c r="D116" s="489"/>
      <c r="E116" s="484">
        <f>1+(1/24)*(TS!$B$14*TS!$F$42/(TS!$B$8*B116))^2*(1+TS!$B$8*B116/$E$47)</f>
        <v>1.0620969291798676</v>
      </c>
      <c r="F116" s="485"/>
      <c r="G116" s="458"/>
      <c r="H116" s="459">
        <f t="shared" si="26"/>
        <v>1.0632936508710081E-11</v>
      </c>
      <c r="I116" s="458"/>
      <c r="J116" s="460">
        <f t="shared" si="27"/>
        <v>1.6528516764486056E-12</v>
      </c>
    </row>
    <row r="117" spans="2:10" x14ac:dyDescent="0.2">
      <c r="B117" s="371">
        <f t="shared" si="28"/>
        <v>1600</v>
      </c>
      <c r="C117" s="488">
        <f>1+(1/24)*(TS!$B$14*TS!$F$42/(TS!$B$8*B117))^2*(1+TS!$B$8*B117/$E$10)</f>
        <v>1.0585296849395949</v>
      </c>
      <c r="D117" s="489"/>
      <c r="E117" s="484">
        <f>1+(1/24)*(TS!$B$14*TS!$F$42/(TS!$B$8*B117))^2*(1+TS!$B$8*B117/$E$47)</f>
        <v>1.0552930460348431</v>
      </c>
      <c r="F117" s="485"/>
      <c r="G117" s="458"/>
      <c r="H117" s="459">
        <f t="shared" si="26"/>
        <v>1.4153412086906719E-11</v>
      </c>
      <c r="I117" s="458"/>
      <c r="J117" s="460">
        <f t="shared" si="27"/>
        <v>2.1710393066201139E-12</v>
      </c>
    </row>
    <row r="118" spans="2:10" x14ac:dyDescent="0.2">
      <c r="B118" s="371">
        <f t="shared" si="28"/>
        <v>1700</v>
      </c>
      <c r="C118" s="488">
        <f>1+(1/24)*(TS!$B$14*TS!$F$42/(TS!$B$8*B118))^2*(1+TS!$B$8*B118/$E$10)</f>
        <v>1.0526595027213215</v>
      </c>
      <c r="D118" s="489"/>
      <c r="E118" s="484">
        <f>1+(1/24)*(TS!$B$14*TS!$F$42/(TS!$B$8*B118))^2*(1+TS!$B$8*B118/$E$47)</f>
        <v>1.0496132543403787</v>
      </c>
      <c r="F118" s="485"/>
      <c r="G118" s="458"/>
      <c r="H118" s="459">
        <f t="shared" si="26"/>
        <v>1.8342230575445583E-11</v>
      </c>
      <c r="I118" s="458"/>
      <c r="J118" s="460">
        <f t="shared" si="27"/>
        <v>2.7903836309612093E-12</v>
      </c>
    </row>
    <row r="119" spans="2:10" x14ac:dyDescent="0.2">
      <c r="B119" s="371">
        <f t="shared" si="28"/>
        <v>1800</v>
      </c>
      <c r="C119" s="488">
        <f>1+(1/24)*(TS!$B$14*TS!$F$42/(TS!$B$8*B119))^2*(1+TS!$B$8*B119/$E$10)</f>
        <v>1.047696275396258</v>
      </c>
      <c r="D119" s="489"/>
      <c r="E119" s="484">
        <f>1+(1/24)*(TS!$B$14*TS!$F$42/(TS!$B$8*B119))^2*(1+TS!$B$8*B119/$E$47)</f>
        <v>1.0448192630364785</v>
      </c>
      <c r="F119" s="485"/>
      <c r="G119" s="458"/>
      <c r="H119" s="459">
        <f t="shared" si="26"/>
        <v>2.3235514287043257E-11</v>
      </c>
      <c r="I119" s="458"/>
      <c r="J119" s="460">
        <f t="shared" si="27"/>
        <v>3.5200622569141648E-12</v>
      </c>
    </row>
    <row r="120" spans="2:10" x14ac:dyDescent="0.2">
      <c r="B120" s="371">
        <f t="shared" si="28"/>
        <v>1900</v>
      </c>
      <c r="C120" s="488">
        <f>1+(1/24)*(TS!$B$14*TS!$F$42/(TS!$B$8*B120))^2*(1+TS!$B$8*B120/$E$10)</f>
        <v>1.0434586985327237</v>
      </c>
      <c r="D120" s="489"/>
      <c r="E120" s="484">
        <f>1+(1/24)*(TS!$B$14*TS!$F$42/(TS!$B$8*B120))^2*(1+TS!$B$8*B120/$E$47)</f>
        <v>1.0407331078760906</v>
      </c>
      <c r="F120" s="485"/>
      <c r="G120" s="458"/>
      <c r="H120" s="459">
        <f t="shared" si="26"/>
        <v>2.8863578088066668E-11</v>
      </c>
      <c r="I120" s="458"/>
      <c r="J120" s="460">
        <f t="shared" si="27"/>
        <v>4.3691252194742906E-12</v>
      </c>
    </row>
    <row r="121" spans="2:10" ht="17" thickBot="1" x14ac:dyDescent="0.25">
      <c r="B121" s="384">
        <f t="shared" si="28"/>
        <v>2000</v>
      </c>
      <c r="C121" s="490">
        <f>1+(1/24)*(TS!$B$14*TS!$F$42/(TS!$B$8*B121))^2*(1+TS!$B$8*B121/$E$10)</f>
        <v>1.0398089677805971</v>
      </c>
      <c r="D121" s="491"/>
      <c r="E121" s="492">
        <f>1+(1/24)*(TS!$B$14*TS!$F$42/(TS!$B$8*B121))^2*(1+TS!$B$8*B121/$E$47)</f>
        <v>1.0372196566567957</v>
      </c>
      <c r="F121" s="493"/>
      <c r="G121" s="458"/>
      <c r="H121" s="459">
        <f t="shared" si="26"/>
        <v>3.5251460139247265E-11</v>
      </c>
      <c r="I121" s="458"/>
      <c r="J121" s="460">
        <f t="shared" si="27"/>
        <v>5.3464755942873476E-12</v>
      </c>
    </row>
  </sheetData>
  <mergeCells count="49">
    <mergeCell ref="B18:E18"/>
    <mergeCell ref="F18:I18"/>
    <mergeCell ref="B4:P4"/>
    <mergeCell ref="J18:M18"/>
    <mergeCell ref="B41:P41"/>
    <mergeCell ref="J55:M55"/>
    <mergeCell ref="B78:P78"/>
    <mergeCell ref="C103:D103"/>
    <mergeCell ref="E103:F103"/>
    <mergeCell ref="I103:J103"/>
    <mergeCell ref="G103:H103"/>
    <mergeCell ref="C109:D109"/>
    <mergeCell ref="C110:D110"/>
    <mergeCell ref="C111:D111"/>
    <mergeCell ref="C112:D112"/>
    <mergeCell ref="B55:E55"/>
    <mergeCell ref="C104:D104"/>
    <mergeCell ref="C105:D105"/>
    <mergeCell ref="C106:D106"/>
    <mergeCell ref="C107:D107"/>
    <mergeCell ref="C108:D108"/>
    <mergeCell ref="E111:F111"/>
    <mergeCell ref="E112:F112"/>
    <mergeCell ref="F55:I55"/>
    <mergeCell ref="C113:D113"/>
    <mergeCell ref="C114:D114"/>
    <mergeCell ref="C115:D115"/>
    <mergeCell ref="C116:D116"/>
    <mergeCell ref="C117:D117"/>
    <mergeCell ref="E115:F115"/>
    <mergeCell ref="E116:F116"/>
    <mergeCell ref="C119:D119"/>
    <mergeCell ref="C120:D120"/>
    <mergeCell ref="C121:D121"/>
    <mergeCell ref="C118:D118"/>
    <mergeCell ref="E117:F117"/>
    <mergeCell ref="E118:F118"/>
    <mergeCell ref="E119:F119"/>
    <mergeCell ref="E120:F120"/>
    <mergeCell ref="E121:F121"/>
    <mergeCell ref="E113:F113"/>
    <mergeCell ref="E114:F114"/>
    <mergeCell ref="E104:F104"/>
    <mergeCell ref="E105:F105"/>
    <mergeCell ref="E106:F106"/>
    <mergeCell ref="E107:F107"/>
    <mergeCell ref="E108:F108"/>
    <mergeCell ref="E109:F109"/>
    <mergeCell ref="E110:F110"/>
  </mergeCells>
  <conditionalFormatting sqref="T20:T37">
    <cfRule type="colorScale" priority="3">
      <colorScale>
        <cfvo type="min"/>
        <cfvo type="max"/>
        <color rgb="FFFCFCFF"/>
        <color rgb="FFF8696B"/>
      </colorScale>
    </cfRule>
  </conditionalFormatting>
  <conditionalFormatting sqref="T57:T74">
    <cfRule type="colorScale" priority="1">
      <colorScale>
        <cfvo type="min"/>
        <cfvo type="max"/>
        <color rgb="FFFCFCFF"/>
        <color rgb="FFF8696B"/>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CH4</vt:lpstr>
      <vt:lpstr>H</vt:lpstr>
      <vt:lpstr>CH3</vt:lpstr>
      <vt:lpstr>H2</vt:lpstr>
      <vt:lpstr>TS</vt:lpstr>
      <vt:lpstr>CH4+H---CH3+H2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Edoardo Cabiati</dc:creator>
  <cp:lastModifiedBy>Edoardo Cabiati</cp:lastModifiedBy>
  <dcterms:created xsi:type="dcterms:W3CDTF">2024-09-14T10:46:59Z</dcterms:created>
  <dcterms:modified xsi:type="dcterms:W3CDTF">2024-09-16T10:30:07Z</dcterms:modified>
</cp:coreProperties>
</file>