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5.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6.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doardocabiati/Desktop/Cose_brutte_PoliMI/V_anno/II_semestre/Molecular_Modeling_for_Process_Engineering/MMfP/Project9/"/>
    </mc:Choice>
  </mc:AlternateContent>
  <xr:revisionPtr revIDLastSave="0" documentId="13_ncr:1_{46FD85E6-4822-BE4E-A37A-A77D49A8782C}" xr6:coauthVersionLast="47" xr6:coauthVersionMax="47" xr10:uidLastSave="{00000000-0000-0000-0000-000000000000}"/>
  <bookViews>
    <workbookView xWindow="1020" yWindow="760" windowWidth="27640" windowHeight="16940" activeTab="5" xr2:uid="{D56578DA-A4F6-BD41-864A-63BAFB928500}"/>
  </bookViews>
  <sheets>
    <sheet name="NH3" sheetId="4" r:id="rId1"/>
    <sheet name="H" sheetId="2" r:id="rId2"/>
    <sheet name="NH2" sheetId="5" r:id="rId3"/>
    <sheet name="H2" sheetId="3" r:id="rId4"/>
    <sheet name="TS" sheetId="6" r:id="rId5"/>
    <sheet name="NH3+H---NH2+H2" sheetId="7" r:id="rId6"/>
  </sheets>
  <externalReferences>
    <externalReference r:id="rId7"/>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8" i="7" l="1"/>
  <c r="M59" i="7"/>
  <c r="M60" i="7"/>
  <c r="M61" i="7"/>
  <c r="M62" i="7"/>
  <c r="M63" i="7"/>
  <c r="M64" i="7"/>
  <c r="M65" i="7"/>
  <c r="M66" i="7"/>
  <c r="M67" i="7"/>
  <c r="M68" i="7"/>
  <c r="M69" i="7"/>
  <c r="M70" i="7"/>
  <c r="M71" i="7"/>
  <c r="M72" i="7"/>
  <c r="M73" i="7"/>
  <c r="M74" i="7"/>
  <c r="M57" i="7"/>
  <c r="B105" i="7" l="1"/>
  <c r="A58" i="7"/>
  <c r="A59" i="7" s="1"/>
  <c r="AD24" i="7"/>
  <c r="AA24" i="7"/>
  <c r="AD23" i="7"/>
  <c r="AA23" i="7"/>
  <c r="AD22" i="7"/>
  <c r="AA22" i="7"/>
  <c r="AD21" i="7"/>
  <c r="AA21" i="7"/>
  <c r="A21" i="7"/>
  <c r="A22" i="7" s="1"/>
  <c r="A23" i="7" s="1"/>
  <c r="AD20" i="7"/>
  <c r="AA20" i="7"/>
  <c r="AD19" i="7"/>
  <c r="AA19" i="7"/>
  <c r="AD18" i="7"/>
  <c r="AA18" i="7"/>
  <c r="AD17" i="7"/>
  <c r="AA17" i="7"/>
  <c r="AD16" i="7"/>
  <c r="AA16" i="7"/>
  <c r="AD15" i="7"/>
  <c r="AA15" i="7"/>
  <c r="AD14" i="7"/>
  <c r="AA14" i="7"/>
  <c r="AD13" i="7"/>
  <c r="AA13" i="7"/>
  <c r="AD12" i="7"/>
  <c r="AA12" i="7"/>
  <c r="AD11" i="7"/>
  <c r="AA11" i="7"/>
  <c r="AD10" i="7"/>
  <c r="AA10" i="7"/>
  <c r="AD9" i="7"/>
  <c r="AA9" i="7"/>
  <c r="AD8" i="7"/>
  <c r="AA8" i="7"/>
  <c r="AD7" i="7"/>
  <c r="AA7" i="7"/>
  <c r="AD6" i="7"/>
  <c r="AA6" i="7"/>
  <c r="G263" i="6" a="1"/>
  <c r="G263" i="6" s="1"/>
  <c r="O264" i="6" s="1"/>
  <c r="G262" i="6" a="1"/>
  <c r="G262" i="6" s="1"/>
  <c r="V105" i="6"/>
  <c r="E97" i="6" a="1"/>
  <c r="E97" i="6" s="1"/>
  <c r="E98" i="6" s="1"/>
  <c r="E124" i="6" s="1"/>
  <c r="F97" i="6" a="1"/>
  <c r="F97" i="6" s="1"/>
  <c r="F98" i="6" s="1"/>
  <c r="F124" i="6" s="1"/>
  <c r="G97" i="6" a="1"/>
  <c r="G97" i="6" s="1"/>
  <c r="G98" i="6" s="1"/>
  <c r="G102" i="6" s="1"/>
  <c r="H97" i="6" a="1"/>
  <c r="H97" i="6" s="1"/>
  <c r="H98" i="6" s="1"/>
  <c r="H103" i="6" s="1"/>
  <c r="I97" i="6" a="1"/>
  <c r="I97" i="6" s="1"/>
  <c r="I98" i="6" s="1"/>
  <c r="I103" i="6" s="1"/>
  <c r="J97" i="6" a="1"/>
  <c r="J97" i="6" s="1"/>
  <c r="J98" i="6" s="1"/>
  <c r="K97" i="6" a="1"/>
  <c r="K97" i="6" s="1"/>
  <c r="K98" i="6" s="1"/>
  <c r="K102" i="6" s="1"/>
  <c r="L97" i="6" a="1"/>
  <c r="L97" i="6"/>
  <c r="L98" i="6" s="1"/>
  <c r="L104" i="6" s="1"/>
  <c r="D97" i="6" a="1"/>
  <c r="D97" i="6" s="1"/>
  <c r="D98" i="6" s="1"/>
  <c r="L68" i="6"/>
  <c r="L67" i="6"/>
  <c r="G168" i="6"/>
  <c r="G169" i="6" s="1"/>
  <c r="H168" i="6"/>
  <c r="H169" i="6" s="1"/>
  <c r="I280" i="6"/>
  <c r="I279" i="6"/>
  <c r="I278" i="6"/>
  <c r="I277" i="6"/>
  <c r="I276" i="6"/>
  <c r="I275" i="6"/>
  <c r="I274" i="6"/>
  <c r="I273" i="6"/>
  <c r="I272" i="6"/>
  <c r="I271" i="6"/>
  <c r="I270" i="6"/>
  <c r="I269" i="6"/>
  <c r="I268" i="6"/>
  <c r="I267" i="6"/>
  <c r="I266" i="6"/>
  <c r="I265" i="6"/>
  <c r="I264" i="6"/>
  <c r="C264" i="6"/>
  <c r="G264" i="6" s="1" a="1"/>
  <c r="G264" i="6" s="1"/>
  <c r="I263" i="6"/>
  <c r="Q264" i="6" s="1"/>
  <c r="H263" i="6"/>
  <c r="P264" i="6" s="1"/>
  <c r="E263" i="6"/>
  <c r="D263" i="6"/>
  <c r="I262" i="6"/>
  <c r="H262" i="6"/>
  <c r="E262" i="6"/>
  <c r="D262" i="6"/>
  <c r="F256" i="6"/>
  <c r="E256" i="6"/>
  <c r="E257" i="6" s="1"/>
  <c r="E258" i="6" s="1"/>
  <c r="D256" i="6"/>
  <c r="D257" i="6" s="1"/>
  <c r="D258" i="6" s="1"/>
  <c r="D251" i="6"/>
  <c r="E251" i="6" s="1"/>
  <c r="O265" i="6" s="1"/>
  <c r="D250" i="6"/>
  <c r="E250" i="6" s="1"/>
  <c r="P265" i="6" s="1"/>
  <c r="D249" i="6"/>
  <c r="E249" i="6" s="1"/>
  <c r="N265" i="6" s="1"/>
  <c r="D248" i="6"/>
  <c r="E248" i="6" s="1"/>
  <c r="Q265" i="6" s="1"/>
  <c r="D247" i="6"/>
  <c r="E247" i="6" s="1"/>
  <c r="R265" i="6" s="1"/>
  <c r="F232" i="6"/>
  <c r="D232" i="6"/>
  <c r="F231" i="6"/>
  <c r="D231" i="6"/>
  <c r="F230" i="6"/>
  <c r="D230" i="6"/>
  <c r="F229" i="6"/>
  <c r="D229" i="6"/>
  <c r="F228" i="6"/>
  <c r="D228" i="6"/>
  <c r="F227" i="6"/>
  <c r="D227" i="6"/>
  <c r="F226" i="6"/>
  <c r="D226" i="6"/>
  <c r="F225" i="6"/>
  <c r="D225" i="6"/>
  <c r="F224" i="6"/>
  <c r="D224" i="6"/>
  <c r="F223" i="6"/>
  <c r="D223" i="6"/>
  <c r="F222" i="6"/>
  <c r="D222" i="6"/>
  <c r="F221" i="6"/>
  <c r="D221" i="6"/>
  <c r="F220" i="6"/>
  <c r="D220" i="6"/>
  <c r="F219" i="6"/>
  <c r="D219" i="6"/>
  <c r="F218" i="6"/>
  <c r="D218" i="6"/>
  <c r="F217" i="6"/>
  <c r="E217" i="6" a="1"/>
  <c r="E217" i="6" s="1"/>
  <c r="D217" i="6"/>
  <c r="F216" i="6"/>
  <c r="D216" i="6"/>
  <c r="C216" i="6"/>
  <c r="C217" i="6" s="1"/>
  <c r="C218" i="6" s="1"/>
  <c r="C219" i="6" s="1"/>
  <c r="E219" i="6" s="1" a="1"/>
  <c r="E219" i="6" s="1"/>
  <c r="N215" i="6"/>
  <c r="F215" i="6"/>
  <c r="M215" i="6" s="1"/>
  <c r="E215" i="6" a="1"/>
  <c r="E215" i="6" s="1"/>
  <c r="L215" i="6" s="1"/>
  <c r="D215" i="6"/>
  <c r="K215" i="6" s="1"/>
  <c r="F214" i="6"/>
  <c r="E214" i="6" a="1"/>
  <c r="E214" i="6" s="1"/>
  <c r="D214" i="6"/>
  <c r="K209" i="6"/>
  <c r="D209" i="6"/>
  <c r="E209" i="6" s="1"/>
  <c r="L216" i="6" s="1"/>
  <c r="D208" i="6"/>
  <c r="E208" i="6" s="1"/>
  <c r="M216" i="6" s="1"/>
  <c r="D207" i="6"/>
  <c r="E207" i="6" s="1"/>
  <c r="K216" i="6" s="1"/>
  <c r="D206" i="6"/>
  <c r="E206" i="6" s="1"/>
  <c r="N216" i="6" s="1"/>
  <c r="D205" i="6"/>
  <c r="E205" i="6" s="1"/>
  <c r="O216" i="6" s="1"/>
  <c r="D193" i="6"/>
  <c r="AG120" i="6" s="1"/>
  <c r="D192" i="6"/>
  <c r="AG119" i="6" s="1"/>
  <c r="D191" i="6"/>
  <c r="AG118" i="6" s="1"/>
  <c r="D190" i="6"/>
  <c r="E34" i="7" s="1"/>
  <c r="E71" i="7" s="1"/>
  <c r="D189" i="6"/>
  <c r="AG116" i="6" s="1"/>
  <c r="D188" i="6"/>
  <c r="AG115" i="6" s="1"/>
  <c r="D187" i="6"/>
  <c r="AG114" i="6" s="1"/>
  <c r="D186" i="6"/>
  <c r="AG113" i="6" s="1"/>
  <c r="D185" i="6"/>
  <c r="AG112" i="6" s="1"/>
  <c r="D184" i="6"/>
  <c r="AG111" i="6" s="1"/>
  <c r="D183" i="6"/>
  <c r="AG110" i="6" s="1"/>
  <c r="D182" i="6"/>
  <c r="AG109" i="6" s="1"/>
  <c r="D181" i="6"/>
  <c r="AG108" i="6" s="1"/>
  <c r="D180" i="6"/>
  <c r="E24" i="7" s="1"/>
  <c r="D179" i="6"/>
  <c r="AG106" i="6" s="1"/>
  <c r="D178" i="6"/>
  <c r="AG105" i="6" s="1"/>
  <c r="D177" i="6"/>
  <c r="E21" i="7" s="1"/>
  <c r="E58" i="7" s="1"/>
  <c r="C177" i="6"/>
  <c r="C178" i="6" s="1"/>
  <c r="C179" i="6" s="1"/>
  <c r="C180" i="6" s="1"/>
  <c r="C181" i="6" s="1"/>
  <c r="C182" i="6" s="1"/>
  <c r="C183" i="6" s="1"/>
  <c r="C184" i="6" s="1"/>
  <c r="C185" i="6" s="1"/>
  <c r="C186" i="6" s="1"/>
  <c r="C187" i="6" s="1"/>
  <c r="C188" i="6" s="1"/>
  <c r="C189" i="6" s="1"/>
  <c r="C190" i="6" s="1"/>
  <c r="C191" i="6" s="1"/>
  <c r="C192" i="6" s="1"/>
  <c r="C193" i="6" s="1"/>
  <c r="L176" i="6"/>
  <c r="D176" i="6"/>
  <c r="AG103" i="6" s="1"/>
  <c r="L175" i="6"/>
  <c r="D175" i="6"/>
  <c r="AG102" i="6" s="1"/>
  <c r="F168" i="6"/>
  <c r="F169" i="6" s="1"/>
  <c r="E168" i="6"/>
  <c r="E169" i="6" s="1"/>
  <c r="D168" i="6"/>
  <c r="D169" i="6" s="1"/>
  <c r="E167" i="6"/>
  <c r="F167" i="6" s="1"/>
  <c r="G167" i="6" s="1"/>
  <c r="L140" i="6"/>
  <c r="M140" i="6" s="1"/>
  <c r="C139" i="6"/>
  <c r="C140" i="6" s="1"/>
  <c r="E138" i="6"/>
  <c r="M139" i="6" s="1"/>
  <c r="E137" i="6"/>
  <c r="AF102" i="6" s="1"/>
  <c r="E123" i="6"/>
  <c r="F123" i="6" s="1"/>
  <c r="G123" i="6" s="1"/>
  <c r="H123" i="6" s="1"/>
  <c r="I123" i="6" s="1"/>
  <c r="J123" i="6" s="1"/>
  <c r="K123" i="6" s="1"/>
  <c r="L123" i="6" s="1"/>
  <c r="AG117" i="6"/>
  <c r="AN107" i="6"/>
  <c r="AM107" i="6"/>
  <c r="U105" i="6"/>
  <c r="T105" i="6"/>
  <c r="AG104" i="6"/>
  <c r="AC104" i="6"/>
  <c r="AC105" i="6" s="1"/>
  <c r="C104" i="6"/>
  <c r="E101" i="6"/>
  <c r="F101" i="6" s="1"/>
  <c r="G101" i="6" s="1"/>
  <c r="H101" i="6" s="1"/>
  <c r="I101" i="6" s="1"/>
  <c r="J101" i="6" s="1"/>
  <c r="K101" i="6" s="1"/>
  <c r="L101" i="6" s="1"/>
  <c r="C67" i="6"/>
  <c r="D66" i="6"/>
  <c r="E66" i="6" s="1"/>
  <c r="B20" i="7" s="1"/>
  <c r="D65" i="6"/>
  <c r="E65" i="6" s="1"/>
  <c r="AD102" i="6" s="1"/>
  <c r="F50" i="6"/>
  <c r="F49" i="6"/>
  <c r="F48" i="6"/>
  <c r="F47" i="6"/>
  <c r="F46" i="6"/>
  <c r="K45" i="6"/>
  <c r="L45" i="6" s="1"/>
  <c r="M45" i="6" s="1"/>
  <c r="N45" i="6" s="1"/>
  <c r="F45" i="6"/>
  <c r="F44" i="6"/>
  <c r="F43" i="6"/>
  <c r="C43" i="6"/>
  <c r="C44" i="6" s="1"/>
  <c r="C45" i="6" s="1"/>
  <c r="C46" i="6" s="1"/>
  <c r="C47" i="6" s="1"/>
  <c r="C48" i="6" s="1"/>
  <c r="C49" i="6" s="1"/>
  <c r="C50" i="6" s="1"/>
  <c r="F42" i="6"/>
  <c r="L38" i="6"/>
  <c r="K38" i="6"/>
  <c r="J38" i="6"/>
  <c r="I38" i="6"/>
  <c r="L33" i="6"/>
  <c r="K33" i="6"/>
  <c r="J33" i="6"/>
  <c r="I33" i="6"/>
  <c r="L28" i="6"/>
  <c r="K28" i="6"/>
  <c r="J28" i="6"/>
  <c r="I28" i="6"/>
  <c r="F24" i="6"/>
  <c r="F132" i="6" s="1"/>
  <c r="E24" i="6"/>
  <c r="E132" i="6" s="1"/>
  <c r="D24" i="6"/>
  <c r="D132" i="6" s="1"/>
  <c r="L23" i="6"/>
  <c r="K23" i="6"/>
  <c r="J23" i="6"/>
  <c r="I23" i="6"/>
  <c r="B13" i="6"/>
  <c r="T9" i="6"/>
  <c r="V8" i="6"/>
  <c r="V7" i="6" s="1"/>
  <c r="AE109" i="6" l="1" a="1"/>
  <c r="AE109" i="6" s="1"/>
  <c r="AE103" i="6" a="1"/>
  <c r="AE103" i="6" s="1"/>
  <c r="E26" i="7"/>
  <c r="E63" i="7" s="1"/>
  <c r="AE102" i="6" a="1"/>
  <c r="AE102" i="6" s="1"/>
  <c r="AH102" i="6" s="1"/>
  <c r="E33" i="7"/>
  <c r="E70" i="7" s="1"/>
  <c r="E25" i="7"/>
  <c r="E62" i="7" s="1"/>
  <c r="AG107" i="6"/>
  <c r="J104" i="6"/>
  <c r="AE108" i="6" a="1"/>
  <c r="AE108" i="6" s="1"/>
  <c r="C20" i="7"/>
  <c r="C57" i="7" s="1"/>
  <c r="E32" i="7"/>
  <c r="E69" i="7" s="1"/>
  <c r="E31" i="7"/>
  <c r="E68" i="7" s="1"/>
  <c r="E23" i="7"/>
  <c r="E60" i="7" s="1"/>
  <c r="AE106" i="6" a="1"/>
  <c r="AE106" i="6" s="1"/>
  <c r="E30" i="7"/>
  <c r="E67" i="7" s="1"/>
  <c r="E22" i="7"/>
  <c r="E59" i="7" s="1"/>
  <c r="AE105" i="6" a="1"/>
  <c r="AE105" i="6" s="1"/>
  <c r="E37" i="7"/>
  <c r="E74" i="7" s="1"/>
  <c r="E29" i="7"/>
  <c r="E66" i="7" s="1"/>
  <c r="E36" i="7"/>
  <c r="E73" i="7" s="1"/>
  <c r="E28" i="7"/>
  <c r="E65" i="7" s="1"/>
  <c r="AE104" i="6" a="1"/>
  <c r="AE104" i="6" s="1"/>
  <c r="E20" i="7"/>
  <c r="E57" i="7" s="1"/>
  <c r="E35" i="7"/>
  <c r="E72" i="7" s="1"/>
  <c r="E27" i="7"/>
  <c r="E64" i="7" s="1"/>
  <c r="A24" i="7"/>
  <c r="A60" i="7"/>
  <c r="B106" i="7"/>
  <c r="E61" i="7"/>
  <c r="B57" i="7"/>
  <c r="L103" i="6"/>
  <c r="F102" i="6"/>
  <c r="E103" i="6"/>
  <c r="D139" i="6"/>
  <c r="C172" i="6"/>
  <c r="E140" i="6"/>
  <c r="C141" i="6"/>
  <c r="D141" i="6" s="1"/>
  <c r="AC106" i="6"/>
  <c r="AC107" i="6" s="1"/>
  <c r="AC108" i="6" s="1"/>
  <c r="AC109" i="6" s="1"/>
  <c r="H215" i="6"/>
  <c r="O215" i="6" s="1"/>
  <c r="O217" i="6" s="1"/>
  <c r="H217" i="6"/>
  <c r="C220" i="6"/>
  <c r="E220" i="6" s="1" a="1"/>
  <c r="E220" i="6" s="1"/>
  <c r="H220" i="6" s="1"/>
  <c r="E139" i="6"/>
  <c r="H214" i="6"/>
  <c r="E218" i="6" a="1"/>
  <c r="E218" i="6" s="1"/>
  <c r="H218" i="6" s="1"/>
  <c r="F25" i="6"/>
  <c r="N217" i="6"/>
  <c r="E216" i="6" a="1"/>
  <c r="E216" i="6" s="1"/>
  <c r="H216" i="6" s="1"/>
  <c r="D137" i="6"/>
  <c r="L139" i="6" s="1"/>
  <c r="L141" i="6" s="1"/>
  <c r="D25" i="6"/>
  <c r="E25" i="6"/>
  <c r="AF103" i="6"/>
  <c r="F262" i="6"/>
  <c r="J262" i="6" s="1"/>
  <c r="M141" i="6"/>
  <c r="L177" i="6"/>
  <c r="M217" i="6"/>
  <c r="L217" i="6"/>
  <c r="K217" i="6"/>
  <c r="C68" i="6"/>
  <c r="D67" i="6"/>
  <c r="E67" i="6" s="1"/>
  <c r="I105" i="6"/>
  <c r="I104" i="6"/>
  <c r="I124" i="6"/>
  <c r="I102" i="6"/>
  <c r="AD103" i="6"/>
  <c r="L69" i="6"/>
  <c r="H124" i="6"/>
  <c r="H104" i="6"/>
  <c r="H102" i="6"/>
  <c r="T97" i="6" a="1"/>
  <c r="T97" i="6" s="1"/>
  <c r="V104" i="6" s="1"/>
  <c r="V106" i="6" s="1"/>
  <c r="H105" i="6"/>
  <c r="O266" i="6"/>
  <c r="J105" i="6"/>
  <c r="J103" i="6"/>
  <c r="C105" i="6"/>
  <c r="K104" i="6"/>
  <c r="E104" i="6"/>
  <c r="L124" i="6"/>
  <c r="P266" i="6"/>
  <c r="E102" i="6"/>
  <c r="F104" i="6"/>
  <c r="E105" i="6"/>
  <c r="D138" i="6"/>
  <c r="D140" i="6"/>
  <c r="Q266" i="6"/>
  <c r="J124" i="6"/>
  <c r="L102" i="6"/>
  <c r="G104" i="6"/>
  <c r="E264" i="6"/>
  <c r="H264" i="6"/>
  <c r="J102" i="6"/>
  <c r="G124" i="6"/>
  <c r="G103" i="6"/>
  <c r="D264" i="6"/>
  <c r="C265" i="6"/>
  <c r="G265" i="6" s="1" a="1"/>
  <c r="G265" i="6" s="1"/>
  <c r="F103" i="6"/>
  <c r="F263" i="6"/>
  <c r="H219" i="6"/>
  <c r="G256" i="6"/>
  <c r="F257" i="6"/>
  <c r="K124" i="6"/>
  <c r="K103" i="6"/>
  <c r="AF105" i="6" l="1"/>
  <c r="C22" i="7"/>
  <c r="C59" i="7" s="1"/>
  <c r="N57" i="7"/>
  <c r="AD104" i="6"/>
  <c r="B21" i="7"/>
  <c r="B47" i="7"/>
  <c r="B10" i="7"/>
  <c r="E141" i="6"/>
  <c r="C221" i="6"/>
  <c r="AF104" i="6"/>
  <c r="C21" i="7"/>
  <c r="C58" i="7" s="1"/>
  <c r="M104" i="6"/>
  <c r="D21" i="7" s="1"/>
  <c r="D58" i="7" s="1"/>
  <c r="AE107" i="6" a="1"/>
  <c r="AE107" i="6" s="1"/>
  <c r="C142" i="6"/>
  <c r="D142" i="6" s="1"/>
  <c r="M124" i="6"/>
  <c r="B107" i="7"/>
  <c r="A25" i="7"/>
  <c r="A61" i="7"/>
  <c r="M103" i="6"/>
  <c r="D20" i="7" s="1"/>
  <c r="D57" i="7" s="1"/>
  <c r="M102" i="6"/>
  <c r="AC110" i="6"/>
  <c r="AE110" i="6" s="1" a="1"/>
  <c r="AE110" i="6" s="1"/>
  <c r="AH104" i="6"/>
  <c r="AN106" i="6"/>
  <c r="AN108" i="6" s="1"/>
  <c r="C106" i="6"/>
  <c r="F105" i="6"/>
  <c r="L105" i="6"/>
  <c r="K105" i="6"/>
  <c r="F258" i="6"/>
  <c r="G258" i="6" s="1"/>
  <c r="J254" i="6" s="1"/>
  <c r="G257" i="6"/>
  <c r="C222" i="6"/>
  <c r="E221" i="6" a="1"/>
  <c r="E221" i="6" s="1"/>
  <c r="H221" i="6" s="1"/>
  <c r="D265" i="6"/>
  <c r="C266" i="6"/>
  <c r="G266" i="6" s="1" a="1"/>
  <c r="G266" i="6" s="1"/>
  <c r="E265" i="6"/>
  <c r="H265" i="6"/>
  <c r="AC111" i="6"/>
  <c r="AE111" i="6" s="1" a="1"/>
  <c r="AE111" i="6" s="1"/>
  <c r="J263" i="6"/>
  <c r="R264" i="6" s="1"/>
  <c r="R266" i="6" s="1"/>
  <c r="N264" i="6"/>
  <c r="N266" i="6" s="1"/>
  <c r="F264" i="6"/>
  <c r="J264" i="6" s="1"/>
  <c r="G105" i="6"/>
  <c r="AH103" i="6"/>
  <c r="D68" i="6"/>
  <c r="E68" i="6" s="1"/>
  <c r="C69" i="6"/>
  <c r="E142" i="6" l="1"/>
  <c r="AD105" i="6"/>
  <c r="AH105" i="6" s="1"/>
  <c r="B22" i="7"/>
  <c r="C143" i="6"/>
  <c r="D143" i="6" s="1"/>
  <c r="M105" i="6"/>
  <c r="D22" i="7" s="1"/>
  <c r="D59" i="7" s="1"/>
  <c r="N20" i="7"/>
  <c r="B58" i="7"/>
  <c r="N58" i="7" s="1"/>
  <c r="N21" i="7"/>
  <c r="AF106" i="6"/>
  <c r="C23" i="7"/>
  <c r="C60" i="7" s="1"/>
  <c r="A26" i="7"/>
  <c r="B108" i="7"/>
  <c r="A62" i="7"/>
  <c r="AM106" i="6"/>
  <c r="AM108" i="6" s="1"/>
  <c r="F265" i="6"/>
  <c r="J265" i="6" s="1"/>
  <c r="AC112" i="6"/>
  <c r="AE112" i="6" s="1" a="1"/>
  <c r="AE112" i="6" s="1"/>
  <c r="E222" i="6" a="1"/>
  <c r="E222" i="6" s="1"/>
  <c r="H222" i="6" s="1"/>
  <c r="C223" i="6"/>
  <c r="C70" i="6"/>
  <c r="D69" i="6"/>
  <c r="E69" i="6" s="1"/>
  <c r="C267" i="6"/>
  <c r="G267" i="6" s="1" a="1"/>
  <c r="G267" i="6" s="1"/>
  <c r="H266" i="6"/>
  <c r="D266" i="6"/>
  <c r="E266" i="6"/>
  <c r="F106" i="6"/>
  <c r="E106" i="6"/>
  <c r="J106" i="6"/>
  <c r="L106" i="6"/>
  <c r="C107" i="6"/>
  <c r="I106" i="6"/>
  <c r="H106" i="6"/>
  <c r="G106" i="6"/>
  <c r="K106" i="6"/>
  <c r="C144" i="6"/>
  <c r="AD106" i="6" l="1"/>
  <c r="AH106" i="6" s="1"/>
  <c r="B23" i="7"/>
  <c r="E143" i="6"/>
  <c r="AF107" i="6"/>
  <c r="C24" i="7"/>
  <c r="C61" i="7" s="1"/>
  <c r="B59" i="7"/>
  <c r="N59" i="7" s="1"/>
  <c r="N22" i="7"/>
  <c r="B109" i="7"/>
  <c r="A63" i="7"/>
  <c r="A27" i="7"/>
  <c r="M106" i="6"/>
  <c r="D23" i="7" s="1"/>
  <c r="D60" i="7" s="1"/>
  <c r="E223" i="6" a="1"/>
  <c r="E223" i="6" s="1"/>
  <c r="H223" i="6" s="1"/>
  <c r="C224" i="6"/>
  <c r="C145" i="6"/>
  <c r="E144" i="6"/>
  <c r="D144" i="6"/>
  <c r="C268" i="6"/>
  <c r="G268" i="6" s="1" a="1"/>
  <c r="G268" i="6" s="1"/>
  <c r="H267" i="6"/>
  <c r="E267" i="6"/>
  <c r="D267" i="6"/>
  <c r="C71" i="6"/>
  <c r="D70" i="6"/>
  <c r="E70" i="6" s="1"/>
  <c r="C108" i="6"/>
  <c r="G107" i="6"/>
  <c r="K107" i="6"/>
  <c r="F107" i="6"/>
  <c r="I107" i="6"/>
  <c r="H107" i="6"/>
  <c r="J107" i="6"/>
  <c r="L107" i="6"/>
  <c r="E107" i="6"/>
  <c r="F266" i="6"/>
  <c r="J266" i="6" s="1"/>
  <c r="AC113" i="6"/>
  <c r="AE113" i="6" s="1" a="1"/>
  <c r="AE113" i="6" s="1"/>
  <c r="AF108" i="6" l="1"/>
  <c r="C25" i="7"/>
  <c r="C62" i="7" s="1"/>
  <c r="B60" i="7"/>
  <c r="N60" i="7" s="1"/>
  <c r="N23" i="7"/>
  <c r="AF109" i="6"/>
  <c r="C26" i="7"/>
  <c r="C63" i="7" s="1"/>
  <c r="AD107" i="6"/>
  <c r="AH107" i="6" s="1"/>
  <c r="B24" i="7"/>
  <c r="B110" i="7"/>
  <c r="A28" i="7"/>
  <c r="A64" i="7"/>
  <c r="M107" i="6"/>
  <c r="D24" i="7" s="1"/>
  <c r="D61" i="7" s="1"/>
  <c r="C109" i="6"/>
  <c r="E108" i="6"/>
  <c r="G108" i="6"/>
  <c r="F108" i="6"/>
  <c r="J108" i="6"/>
  <c r="K108" i="6"/>
  <c r="L108" i="6"/>
  <c r="I108" i="6"/>
  <c r="H108" i="6"/>
  <c r="C269" i="6"/>
  <c r="G269" i="6" s="1" a="1"/>
  <c r="G269" i="6" s="1"/>
  <c r="E268" i="6"/>
  <c r="D268" i="6"/>
  <c r="H268" i="6"/>
  <c r="AC114" i="6"/>
  <c r="AE114" i="6" s="1" a="1"/>
  <c r="AE114" i="6" s="1"/>
  <c r="C72" i="6"/>
  <c r="D71" i="6"/>
  <c r="E71" i="6" s="1"/>
  <c r="C146" i="6"/>
  <c r="E145" i="6"/>
  <c r="D145" i="6"/>
  <c r="F267" i="6"/>
  <c r="J267" i="6" s="1"/>
  <c r="E224" i="6" a="1"/>
  <c r="E224" i="6" s="1"/>
  <c r="H224" i="6" s="1"/>
  <c r="C225" i="6"/>
  <c r="AF110" i="6" l="1"/>
  <c r="C27" i="7"/>
  <c r="C64" i="7" s="1"/>
  <c r="AD108" i="6"/>
  <c r="AH108" i="6" s="1"/>
  <c r="B25" i="7"/>
  <c r="B61" i="7"/>
  <c r="N61" i="7" s="1"/>
  <c r="N24" i="7"/>
  <c r="A29" i="7"/>
  <c r="B111" i="7"/>
  <c r="A65" i="7"/>
  <c r="M108" i="6"/>
  <c r="D25" i="7" s="1"/>
  <c r="D62" i="7" s="1"/>
  <c r="F268" i="6"/>
  <c r="C110" i="6"/>
  <c r="K109" i="6"/>
  <c r="H109" i="6"/>
  <c r="G109" i="6"/>
  <c r="L109" i="6"/>
  <c r="J109" i="6"/>
  <c r="E109" i="6"/>
  <c r="I109" i="6"/>
  <c r="F109" i="6"/>
  <c r="AC115" i="6"/>
  <c r="AE115" i="6" s="1" a="1"/>
  <c r="AE115" i="6" s="1"/>
  <c r="J268" i="6"/>
  <c r="C147" i="6"/>
  <c r="E146" i="6"/>
  <c r="D146" i="6"/>
  <c r="H269" i="6"/>
  <c r="C270" i="6"/>
  <c r="G270" i="6" s="1" a="1"/>
  <c r="G270" i="6" s="1"/>
  <c r="E269" i="6"/>
  <c r="D269" i="6"/>
  <c r="C226" i="6"/>
  <c r="E225" i="6" a="1"/>
  <c r="E225" i="6" s="1"/>
  <c r="H225" i="6" s="1"/>
  <c r="C73" i="6"/>
  <c r="D72" i="6"/>
  <c r="E72" i="6"/>
  <c r="AF111" i="6" l="1"/>
  <c r="C28" i="7"/>
  <c r="C65" i="7" s="1"/>
  <c r="B62" i="7"/>
  <c r="N62" i="7" s="1"/>
  <c r="N25" i="7"/>
  <c r="AD109" i="6"/>
  <c r="AH109" i="6" s="1"/>
  <c r="B26" i="7"/>
  <c r="M109" i="6"/>
  <c r="D26" i="7" s="1"/>
  <c r="D63" i="7" s="1"/>
  <c r="B112" i="7"/>
  <c r="A30" i="7"/>
  <c r="A66" i="7"/>
  <c r="F269" i="6"/>
  <c r="J269" i="6" s="1"/>
  <c r="E270" i="6"/>
  <c r="D270" i="6"/>
  <c r="F270" i="6" s="1"/>
  <c r="C271" i="6"/>
  <c r="G271" i="6" s="1" a="1"/>
  <c r="G271" i="6" s="1"/>
  <c r="H270" i="6"/>
  <c r="AC116" i="6"/>
  <c r="AE116" i="6" s="1" a="1"/>
  <c r="AE116" i="6" s="1"/>
  <c r="D73" i="6"/>
  <c r="E73" i="6" s="1"/>
  <c r="C74" i="6"/>
  <c r="E226" i="6" a="1"/>
  <c r="E226" i="6" s="1"/>
  <c r="H226" i="6" s="1"/>
  <c r="C227" i="6"/>
  <c r="E147" i="6"/>
  <c r="D147" i="6"/>
  <c r="C148" i="6"/>
  <c r="F110" i="6"/>
  <c r="E110" i="6"/>
  <c r="C111" i="6"/>
  <c r="K110" i="6"/>
  <c r="L110" i="6"/>
  <c r="I110" i="6"/>
  <c r="G110" i="6"/>
  <c r="J110" i="6"/>
  <c r="H110" i="6"/>
  <c r="AF112" i="6" l="1"/>
  <c r="C29" i="7"/>
  <c r="C66" i="7" s="1"/>
  <c r="AD110" i="6"/>
  <c r="AH110" i="6" s="1"/>
  <c r="B27" i="7"/>
  <c r="B63" i="7"/>
  <c r="N63" i="7" s="1"/>
  <c r="N26" i="7"/>
  <c r="A67" i="7"/>
  <c r="A31" i="7"/>
  <c r="B113" i="7"/>
  <c r="M110" i="6"/>
  <c r="D27" i="7" s="1"/>
  <c r="D64" i="7" s="1"/>
  <c r="E227" i="6" a="1"/>
  <c r="E227" i="6" s="1"/>
  <c r="H227" i="6" s="1"/>
  <c r="C228" i="6"/>
  <c r="C112" i="6"/>
  <c r="K111" i="6"/>
  <c r="F111" i="6"/>
  <c r="I111" i="6"/>
  <c r="J111" i="6"/>
  <c r="H111" i="6"/>
  <c r="E111" i="6"/>
  <c r="L111" i="6"/>
  <c r="G111" i="6"/>
  <c r="E148" i="6"/>
  <c r="D148" i="6"/>
  <c r="C149" i="6"/>
  <c r="AC117" i="6"/>
  <c r="AE117" i="6" s="1" a="1"/>
  <c r="AE117" i="6" s="1"/>
  <c r="C272" i="6"/>
  <c r="G272" i="6" s="1" a="1"/>
  <c r="G272" i="6" s="1"/>
  <c r="D271" i="6"/>
  <c r="E271" i="6"/>
  <c r="H271" i="6"/>
  <c r="C75" i="6"/>
  <c r="D74" i="6"/>
  <c r="E74" i="6" s="1"/>
  <c r="J270" i="6"/>
  <c r="B64" i="7" l="1"/>
  <c r="N64" i="7" s="1"/>
  <c r="N27" i="7"/>
  <c r="AD111" i="6"/>
  <c r="AH111" i="6" s="1"/>
  <c r="B28" i="7"/>
  <c r="AF113" i="6"/>
  <c r="C30" i="7"/>
  <c r="C67" i="7" s="1"/>
  <c r="A68" i="7"/>
  <c r="B114" i="7"/>
  <c r="A32" i="7"/>
  <c r="M111" i="6"/>
  <c r="D28" i="7" s="1"/>
  <c r="D65" i="7" s="1"/>
  <c r="F271" i="6"/>
  <c r="J271" i="6" s="1"/>
  <c r="E272" i="6"/>
  <c r="D272" i="6"/>
  <c r="C273" i="6"/>
  <c r="G273" i="6" s="1" a="1"/>
  <c r="G273" i="6" s="1"/>
  <c r="H272" i="6"/>
  <c r="D75" i="6"/>
  <c r="E75" i="6" s="1"/>
  <c r="C76" i="6"/>
  <c r="C113" i="6"/>
  <c r="G112" i="6"/>
  <c r="K112" i="6"/>
  <c r="E112" i="6"/>
  <c r="H112" i="6"/>
  <c r="J112" i="6"/>
  <c r="L112" i="6"/>
  <c r="I112" i="6"/>
  <c r="F112" i="6"/>
  <c r="AC118" i="6"/>
  <c r="AE118" i="6" s="1" a="1"/>
  <c r="AE118" i="6" s="1"/>
  <c r="C229" i="6"/>
  <c r="E228" i="6" a="1"/>
  <c r="E228" i="6" s="1"/>
  <c r="H228" i="6" s="1"/>
  <c r="C150" i="6"/>
  <c r="E149" i="6"/>
  <c r="D149" i="6"/>
  <c r="B65" i="7" l="1"/>
  <c r="N65" i="7" s="1"/>
  <c r="N28" i="7"/>
  <c r="AD112" i="6"/>
  <c r="AH112" i="6" s="1"/>
  <c r="B29" i="7"/>
  <c r="AF114" i="6"/>
  <c r="C31" i="7"/>
  <c r="C68" i="7" s="1"/>
  <c r="A33" i="7"/>
  <c r="A69" i="7"/>
  <c r="B115" i="7"/>
  <c r="M112" i="6"/>
  <c r="D29" i="7" s="1"/>
  <c r="D66" i="7" s="1"/>
  <c r="F272" i="6"/>
  <c r="D76" i="6"/>
  <c r="E76" i="6" s="1"/>
  <c r="C77" i="6"/>
  <c r="AC119" i="6"/>
  <c r="AE119" i="6" s="1" a="1"/>
  <c r="AE119" i="6" s="1"/>
  <c r="E273" i="6"/>
  <c r="H273" i="6"/>
  <c r="C274" i="6"/>
  <c r="G274" i="6" s="1" a="1"/>
  <c r="G274" i="6" s="1"/>
  <c r="D273" i="6"/>
  <c r="J272" i="6"/>
  <c r="D150" i="6"/>
  <c r="E150" i="6"/>
  <c r="C151" i="6"/>
  <c r="K113" i="6"/>
  <c r="C114" i="6"/>
  <c r="G113" i="6"/>
  <c r="H113" i="6"/>
  <c r="J113" i="6"/>
  <c r="E113" i="6"/>
  <c r="L113" i="6"/>
  <c r="I113" i="6"/>
  <c r="F113" i="6"/>
  <c r="C230" i="6"/>
  <c r="E229" i="6" a="1"/>
  <c r="E229" i="6" s="1"/>
  <c r="H229" i="6" s="1"/>
  <c r="AD113" i="6" l="1"/>
  <c r="AH113" i="6" s="1"/>
  <c r="B30" i="7"/>
  <c r="AF115" i="6"/>
  <c r="C32" i="7"/>
  <c r="C69" i="7" s="1"/>
  <c r="N29" i="7"/>
  <c r="B66" i="7"/>
  <c r="N66" i="7" s="1"/>
  <c r="A70" i="7"/>
  <c r="B116" i="7"/>
  <c r="A34" i="7"/>
  <c r="M113" i="6"/>
  <c r="D30" i="7" s="1"/>
  <c r="D67" i="7" s="1"/>
  <c r="AC120" i="6"/>
  <c r="AE120" i="6" s="1" a="1"/>
  <c r="AE120" i="6" s="1"/>
  <c r="E230" i="6" a="1"/>
  <c r="E230" i="6" s="1"/>
  <c r="H230" i="6" s="1"/>
  <c r="C231" i="6"/>
  <c r="D151" i="6"/>
  <c r="C152" i="6"/>
  <c r="E151" i="6"/>
  <c r="F273" i="6"/>
  <c r="J273" i="6" s="1"/>
  <c r="H274" i="6"/>
  <c r="C275" i="6"/>
  <c r="G275" i="6" s="1" a="1"/>
  <c r="G275" i="6" s="1"/>
  <c r="D274" i="6"/>
  <c r="E274" i="6"/>
  <c r="D77" i="6"/>
  <c r="E77" i="6" s="1"/>
  <c r="C78" i="6"/>
  <c r="K114" i="6"/>
  <c r="C115" i="6"/>
  <c r="L114" i="6"/>
  <c r="E114" i="6"/>
  <c r="G114" i="6"/>
  <c r="J114" i="6"/>
  <c r="I114" i="6"/>
  <c r="H114" i="6"/>
  <c r="F114" i="6"/>
  <c r="AD114" i="6" l="1"/>
  <c r="AH114" i="6" s="1"/>
  <c r="B31" i="7"/>
  <c r="AF116" i="6"/>
  <c r="C33" i="7"/>
  <c r="C70" i="7" s="1"/>
  <c r="B67" i="7"/>
  <c r="N67" i="7" s="1"/>
  <c r="N30" i="7"/>
  <c r="A71" i="7"/>
  <c r="A35" i="7"/>
  <c r="B117" i="7"/>
  <c r="M114" i="6"/>
  <c r="D31" i="7" s="1"/>
  <c r="D68" i="7" s="1"/>
  <c r="C153" i="6"/>
  <c r="E152" i="6"/>
  <c r="D152" i="6"/>
  <c r="K115" i="6"/>
  <c r="C116" i="6"/>
  <c r="L115" i="6"/>
  <c r="I115" i="6"/>
  <c r="H115" i="6"/>
  <c r="E115" i="6"/>
  <c r="G115" i="6"/>
  <c r="F115" i="6"/>
  <c r="J115" i="6"/>
  <c r="C276" i="6"/>
  <c r="G276" i="6" s="1" a="1"/>
  <c r="G276" i="6" s="1"/>
  <c r="H275" i="6"/>
  <c r="E275" i="6"/>
  <c r="D275" i="6"/>
  <c r="C79" i="6"/>
  <c r="D78" i="6"/>
  <c r="E78" i="6" s="1"/>
  <c r="E231" i="6" a="1"/>
  <c r="E231" i="6" s="1"/>
  <c r="H231" i="6" s="1"/>
  <c r="C232" i="6"/>
  <c r="E232" i="6" s="1" a="1"/>
  <c r="E232" i="6" s="1"/>
  <c r="H232" i="6" s="1"/>
  <c r="F274" i="6"/>
  <c r="J274" i="6" s="1"/>
  <c r="AF117" i="6" l="1"/>
  <c r="C34" i="7"/>
  <c r="C71" i="7" s="1"/>
  <c r="AD115" i="6"/>
  <c r="AH115" i="6" s="1"/>
  <c r="B32" i="7"/>
  <c r="N31" i="7"/>
  <c r="B68" i="7"/>
  <c r="N68" i="7" s="1"/>
  <c r="A36" i="7"/>
  <c r="A72" i="7"/>
  <c r="B118" i="7"/>
  <c r="M115" i="6"/>
  <c r="D32" i="7" s="1"/>
  <c r="D69" i="7" s="1"/>
  <c r="C154" i="6"/>
  <c r="E153" i="6"/>
  <c r="D153" i="6"/>
  <c r="C277" i="6"/>
  <c r="G277" i="6" s="1" a="1"/>
  <c r="G277" i="6" s="1"/>
  <c r="H276" i="6"/>
  <c r="E276" i="6"/>
  <c r="D276" i="6"/>
  <c r="C80" i="6"/>
  <c r="D79" i="6"/>
  <c r="E79" i="6" s="1"/>
  <c r="C117" i="6"/>
  <c r="K116" i="6"/>
  <c r="J116" i="6"/>
  <c r="E116" i="6"/>
  <c r="G116" i="6"/>
  <c r="I116" i="6"/>
  <c r="H116" i="6"/>
  <c r="F116" i="6"/>
  <c r="L116" i="6"/>
  <c r="F275" i="6"/>
  <c r="J275" i="6" s="1"/>
  <c r="AF118" i="6" l="1"/>
  <c r="C35" i="7"/>
  <c r="C72" i="7" s="1"/>
  <c r="B69" i="7"/>
  <c r="N69" i="7" s="1"/>
  <c r="N32" i="7"/>
  <c r="AD116" i="6"/>
  <c r="AH116" i="6" s="1"/>
  <c r="B33" i="7"/>
  <c r="B119" i="7"/>
  <c r="A73" i="7"/>
  <c r="A37" i="7"/>
  <c r="M116" i="6"/>
  <c r="D33" i="7" s="1"/>
  <c r="D70" i="7" s="1"/>
  <c r="C81" i="6"/>
  <c r="D80" i="6"/>
  <c r="E80" i="6" s="1"/>
  <c r="D154" i="6"/>
  <c r="C155" i="6"/>
  <c r="E154" i="6"/>
  <c r="F276" i="6"/>
  <c r="J276" i="6" s="1"/>
  <c r="H277" i="6"/>
  <c r="C278" i="6"/>
  <c r="G278" i="6" s="1" a="1"/>
  <c r="G278" i="6" s="1"/>
  <c r="E277" i="6"/>
  <c r="D277" i="6"/>
  <c r="C118" i="6"/>
  <c r="F117" i="6"/>
  <c r="L117" i="6"/>
  <c r="K117" i="6"/>
  <c r="I117" i="6"/>
  <c r="G117" i="6"/>
  <c r="J117" i="6"/>
  <c r="H117" i="6"/>
  <c r="E117" i="6"/>
  <c r="F277" i="6" l="1"/>
  <c r="AD117" i="6"/>
  <c r="AH117" i="6" s="1"/>
  <c r="B34" i="7"/>
  <c r="B70" i="7"/>
  <c r="N70" i="7" s="1"/>
  <c r="N33" i="7"/>
  <c r="AF119" i="6"/>
  <c r="C36" i="7"/>
  <c r="C73" i="7" s="1"/>
  <c r="A74" i="7"/>
  <c r="B120" i="7"/>
  <c r="M117" i="6"/>
  <c r="D34" i="7" s="1"/>
  <c r="D71" i="7" s="1"/>
  <c r="C82" i="6"/>
  <c r="D81" i="6"/>
  <c r="E81" i="6" s="1"/>
  <c r="E278" i="6"/>
  <c r="D278" i="6"/>
  <c r="C279" i="6"/>
  <c r="G279" i="6" s="1" a="1"/>
  <c r="G279" i="6" s="1"/>
  <c r="H278" i="6"/>
  <c r="C119" i="6"/>
  <c r="E118" i="6"/>
  <c r="L118" i="6"/>
  <c r="H118" i="6"/>
  <c r="J118" i="6"/>
  <c r="F118" i="6"/>
  <c r="G118" i="6"/>
  <c r="K118" i="6"/>
  <c r="I118" i="6"/>
  <c r="E155" i="6"/>
  <c r="D155" i="6"/>
  <c r="J277" i="6"/>
  <c r="AD118" i="6" l="1"/>
  <c r="AH118" i="6" s="1"/>
  <c r="B35" i="7"/>
  <c r="N34" i="7"/>
  <c r="B71" i="7"/>
  <c r="N71" i="7" s="1"/>
  <c r="AF120" i="6"/>
  <c r="C37" i="7"/>
  <c r="C74" i="7" s="1"/>
  <c r="F278" i="6"/>
  <c r="B121" i="7"/>
  <c r="M118" i="6"/>
  <c r="D35" i="7" s="1"/>
  <c r="D72" i="7" s="1"/>
  <c r="J278" i="6"/>
  <c r="C280" i="6"/>
  <c r="G280" i="6" s="1" a="1"/>
  <c r="G280" i="6" s="1"/>
  <c r="D279" i="6"/>
  <c r="E279" i="6"/>
  <c r="H279" i="6"/>
  <c r="D82" i="6"/>
  <c r="E82" i="6" s="1"/>
  <c r="C83" i="6"/>
  <c r="F119" i="6"/>
  <c r="C120" i="6"/>
  <c r="L119" i="6"/>
  <c r="H119" i="6"/>
  <c r="K119" i="6"/>
  <c r="I119" i="6"/>
  <c r="J119" i="6"/>
  <c r="E119" i="6"/>
  <c r="G119" i="6"/>
  <c r="N35" i="7" l="1"/>
  <c r="B72" i="7"/>
  <c r="N72" i="7" s="1"/>
  <c r="AD119" i="6"/>
  <c r="AH119" i="6" s="1"/>
  <c r="B36" i="7"/>
  <c r="M119" i="6"/>
  <c r="D36" i="7" s="1"/>
  <c r="D73" i="7" s="1"/>
  <c r="K120" i="6"/>
  <c r="I120" i="6"/>
  <c r="G120" i="6"/>
  <c r="E120" i="6"/>
  <c r="F120" i="6"/>
  <c r="J120" i="6"/>
  <c r="L120" i="6"/>
  <c r="H120" i="6"/>
  <c r="F279" i="6"/>
  <c r="J279" i="6" s="1"/>
  <c r="D83" i="6"/>
  <c r="E83" i="6" s="1"/>
  <c r="H280" i="6"/>
  <c r="E280" i="6"/>
  <c r="D280" i="6"/>
  <c r="B73" i="7" l="1"/>
  <c r="N73" i="7" s="1"/>
  <c r="N36" i="7"/>
  <c r="AD120" i="6"/>
  <c r="AH120" i="6" s="1"/>
  <c r="B37" i="7"/>
  <c r="M120" i="6"/>
  <c r="D37" i="7" s="1"/>
  <c r="D74" i="7" s="1"/>
  <c r="F280" i="6"/>
  <c r="J280" i="6" s="1"/>
  <c r="N37" i="7" l="1"/>
  <c r="B74" i="7"/>
  <c r="N74" i="7" s="1"/>
  <c r="G263" i="4" a="1"/>
  <c r="G263" i="4" s="1"/>
  <c r="G262" i="4" a="1"/>
  <c r="G262" i="4" s="1"/>
  <c r="E215" i="4" a="1"/>
  <c r="E215" i="4" s="1"/>
  <c r="E214" i="4" a="1"/>
  <c r="E214" i="4" s="1"/>
  <c r="G168" i="4"/>
  <c r="G169" i="4" s="1"/>
  <c r="F47" i="4"/>
  <c r="G168" i="5"/>
  <c r="G169" i="5" s="1"/>
  <c r="G263" i="5" l="1" a="1"/>
  <c r="G263" i="5" s="1"/>
  <c r="G262" i="5" a="1"/>
  <c r="G262" i="5" s="1"/>
  <c r="O264" i="5" s="1"/>
  <c r="E215" i="5" a="1"/>
  <c r="E215" i="5" s="1"/>
  <c r="E214" i="5" a="1"/>
  <c r="E214" i="5" s="1"/>
  <c r="L215" i="5" s="1"/>
  <c r="I280" i="5"/>
  <c r="I279" i="5"/>
  <c r="I278" i="5"/>
  <c r="I277" i="5"/>
  <c r="I276" i="5"/>
  <c r="I275" i="5"/>
  <c r="I274" i="5"/>
  <c r="I273" i="5"/>
  <c r="I272" i="5"/>
  <c r="I271" i="5"/>
  <c r="I270" i="5"/>
  <c r="I269" i="5"/>
  <c r="I268" i="5"/>
  <c r="I267" i="5"/>
  <c r="I266" i="5"/>
  <c r="I265" i="5"/>
  <c r="I264" i="5"/>
  <c r="C264" i="5"/>
  <c r="C265" i="5" s="1"/>
  <c r="H265" i="5" s="1"/>
  <c r="I263" i="5"/>
  <c r="H263" i="5"/>
  <c r="E263" i="5"/>
  <c r="F263" i="5" s="1"/>
  <c r="D263" i="5"/>
  <c r="I262" i="5"/>
  <c r="Q264" i="5" s="1"/>
  <c r="H262" i="5"/>
  <c r="P264" i="5" s="1"/>
  <c r="E262" i="5"/>
  <c r="D262" i="5"/>
  <c r="F256" i="5"/>
  <c r="E256" i="5"/>
  <c r="E257" i="5" s="1"/>
  <c r="D256" i="5"/>
  <c r="D257" i="5" s="1"/>
  <c r="D258" i="5" s="1"/>
  <c r="D251" i="5"/>
  <c r="E251" i="5" s="1"/>
  <c r="O265" i="5" s="1"/>
  <c r="D250" i="5"/>
  <c r="E250" i="5" s="1"/>
  <c r="P265" i="5" s="1"/>
  <c r="D249" i="5"/>
  <c r="E249" i="5" s="1"/>
  <c r="N265" i="5" s="1"/>
  <c r="D248" i="5"/>
  <c r="E248" i="5" s="1"/>
  <c r="Q265" i="5" s="1"/>
  <c r="D247" i="5"/>
  <c r="E247" i="5" s="1"/>
  <c r="R265" i="5" s="1"/>
  <c r="F232" i="5"/>
  <c r="D232" i="5"/>
  <c r="F231" i="5"/>
  <c r="D231" i="5"/>
  <c r="F230" i="5"/>
  <c r="D230" i="5"/>
  <c r="F229" i="5"/>
  <c r="D229" i="5"/>
  <c r="F228" i="5"/>
  <c r="D228" i="5"/>
  <c r="F227" i="5"/>
  <c r="D227" i="5"/>
  <c r="F226" i="5"/>
  <c r="D226" i="5"/>
  <c r="F225" i="5"/>
  <c r="D225" i="5"/>
  <c r="F224" i="5"/>
  <c r="D224" i="5"/>
  <c r="F223" i="5"/>
  <c r="D223" i="5"/>
  <c r="F222" i="5"/>
  <c r="D222" i="5"/>
  <c r="F221" i="5"/>
  <c r="D221" i="5"/>
  <c r="F220" i="5"/>
  <c r="D220" i="5"/>
  <c r="F219" i="5"/>
  <c r="D219" i="5"/>
  <c r="F218" i="5"/>
  <c r="D218" i="5"/>
  <c r="F217" i="5"/>
  <c r="D217" i="5"/>
  <c r="F216" i="5"/>
  <c r="D216" i="5"/>
  <c r="C216" i="5"/>
  <c r="E216" i="5" s="1" a="1"/>
  <c r="E216" i="5" s="1"/>
  <c r="N215" i="5"/>
  <c r="F215" i="5"/>
  <c r="D215" i="5"/>
  <c r="F214" i="5"/>
  <c r="M215" i="5" s="1"/>
  <c r="D214" i="5"/>
  <c r="K215" i="5" s="1"/>
  <c r="K209" i="5"/>
  <c r="D209" i="5"/>
  <c r="E209" i="5" s="1"/>
  <c r="L216" i="5" s="1"/>
  <c r="D208" i="5"/>
  <c r="E208" i="5" s="1"/>
  <c r="M216" i="5" s="1"/>
  <c r="E207" i="5"/>
  <c r="K216" i="5" s="1"/>
  <c r="D207" i="5"/>
  <c r="D206" i="5"/>
  <c r="E206" i="5" s="1"/>
  <c r="N216" i="5" s="1"/>
  <c r="N217" i="5" s="1"/>
  <c r="D205" i="5"/>
  <c r="E205" i="5" s="1"/>
  <c r="O216" i="5" s="1"/>
  <c r="D193" i="5"/>
  <c r="I74" i="7" s="1"/>
  <c r="D192" i="5"/>
  <c r="D191" i="5"/>
  <c r="D190" i="5"/>
  <c r="D189" i="5"/>
  <c r="I70" i="7" s="1"/>
  <c r="D188" i="5"/>
  <c r="D187" i="5"/>
  <c r="D186" i="5"/>
  <c r="I67" i="7" s="1"/>
  <c r="D185" i="5"/>
  <c r="I66" i="7" s="1"/>
  <c r="D184" i="5"/>
  <c r="D183" i="5"/>
  <c r="I64" i="7" s="1"/>
  <c r="D182" i="5"/>
  <c r="D181" i="5"/>
  <c r="I62" i="7" s="1"/>
  <c r="D180" i="5"/>
  <c r="D179" i="5"/>
  <c r="D178" i="5"/>
  <c r="D177" i="5"/>
  <c r="C177" i="5"/>
  <c r="C178" i="5" s="1"/>
  <c r="C179" i="5" s="1"/>
  <c r="C180" i="5" s="1"/>
  <c r="C181" i="5" s="1"/>
  <c r="C182" i="5" s="1"/>
  <c r="C183" i="5" s="1"/>
  <c r="C184" i="5" s="1"/>
  <c r="C185" i="5" s="1"/>
  <c r="C186" i="5" s="1"/>
  <c r="C187" i="5" s="1"/>
  <c r="C188" i="5" s="1"/>
  <c r="C189" i="5" s="1"/>
  <c r="C190" i="5" s="1"/>
  <c r="C191" i="5" s="1"/>
  <c r="C192" i="5" s="1"/>
  <c r="C193" i="5" s="1"/>
  <c r="L176" i="5"/>
  <c r="D176" i="5"/>
  <c r="L175" i="5"/>
  <c r="D175" i="5"/>
  <c r="F168" i="5"/>
  <c r="F169" i="5" s="1"/>
  <c r="E168" i="5"/>
  <c r="E169" i="5" s="1"/>
  <c r="D168" i="5"/>
  <c r="D169" i="5" s="1"/>
  <c r="E167" i="5"/>
  <c r="F167" i="5" s="1"/>
  <c r="L140" i="5"/>
  <c r="M140" i="5" s="1"/>
  <c r="C139" i="5"/>
  <c r="C140" i="5" s="1"/>
  <c r="C141" i="5" s="1"/>
  <c r="E138" i="5"/>
  <c r="E137" i="5"/>
  <c r="E123" i="5"/>
  <c r="F123" i="5" s="1"/>
  <c r="Y116" i="5"/>
  <c r="Y113" i="5"/>
  <c r="Y108" i="5"/>
  <c r="AF107" i="5"/>
  <c r="AE107" i="5"/>
  <c r="P105" i="5"/>
  <c r="O105" i="5"/>
  <c r="N105" i="5"/>
  <c r="U104" i="5"/>
  <c r="U105" i="5" s="1"/>
  <c r="U106" i="5" s="1"/>
  <c r="U107" i="5" s="1"/>
  <c r="U108" i="5" s="1"/>
  <c r="U109" i="5" s="1"/>
  <c r="U110" i="5" s="1"/>
  <c r="U111" i="5" s="1"/>
  <c r="U112" i="5" s="1"/>
  <c r="U113" i="5" s="1"/>
  <c r="U114" i="5" s="1"/>
  <c r="U115" i="5" s="1"/>
  <c r="U116" i="5" s="1"/>
  <c r="U117" i="5" s="1"/>
  <c r="U118" i="5" s="1"/>
  <c r="U119" i="5" s="1"/>
  <c r="C104" i="5"/>
  <c r="C105" i="5" s="1"/>
  <c r="C106" i="5" s="1"/>
  <c r="Y102" i="5"/>
  <c r="E101" i="5"/>
  <c r="F101" i="5" s="1"/>
  <c r="F97" i="5" a="1"/>
  <c r="F97" i="5" s="1"/>
  <c r="F98" i="5" s="1"/>
  <c r="E97" i="5" a="1"/>
  <c r="E97" i="5" s="1"/>
  <c r="E98" i="5" s="1"/>
  <c r="D97" i="5" a="1"/>
  <c r="D97" i="5" s="1"/>
  <c r="D98" i="5" s="1"/>
  <c r="L68" i="5"/>
  <c r="C67" i="5"/>
  <c r="D67" i="5" s="1"/>
  <c r="D66" i="5"/>
  <c r="E66" i="5" s="1"/>
  <c r="D65" i="5"/>
  <c r="E65" i="5" s="1"/>
  <c r="L67" i="5" s="1"/>
  <c r="K45" i="5"/>
  <c r="L45" i="5" s="1"/>
  <c r="M45" i="5" s="1"/>
  <c r="F44" i="5"/>
  <c r="F43" i="5"/>
  <c r="C43" i="5"/>
  <c r="C44" i="5" s="1"/>
  <c r="F42" i="5"/>
  <c r="L38" i="5"/>
  <c r="K38" i="5"/>
  <c r="J38" i="5"/>
  <c r="I38" i="5"/>
  <c r="L33" i="5"/>
  <c r="K33" i="5"/>
  <c r="J33" i="5"/>
  <c r="I33" i="5"/>
  <c r="L28" i="5"/>
  <c r="K28" i="5"/>
  <c r="J28" i="5"/>
  <c r="I28" i="5"/>
  <c r="F24" i="5"/>
  <c r="F132" i="5" s="1"/>
  <c r="E24" i="5"/>
  <c r="E25" i="5" s="1"/>
  <c r="D24" i="5"/>
  <c r="D132" i="5" s="1"/>
  <c r="L23" i="5"/>
  <c r="C172" i="5" s="1"/>
  <c r="C47" i="7" s="1"/>
  <c r="K23" i="5"/>
  <c r="J23" i="5"/>
  <c r="I23" i="5"/>
  <c r="B13" i="5"/>
  <c r="T9" i="5"/>
  <c r="V8" i="5"/>
  <c r="V7" i="5"/>
  <c r="Q264" i="4"/>
  <c r="C264" i="4"/>
  <c r="G264" i="4" s="1" a="1"/>
  <c r="G264" i="4" s="1"/>
  <c r="H263" i="4"/>
  <c r="E263" i="4"/>
  <c r="D263" i="4"/>
  <c r="H262" i="4"/>
  <c r="P264" i="4" s="1"/>
  <c r="O264" i="4"/>
  <c r="E262" i="4"/>
  <c r="D262" i="4"/>
  <c r="F256" i="4"/>
  <c r="F257" i="4" s="1"/>
  <c r="F258" i="4" s="1"/>
  <c r="E256" i="4"/>
  <c r="D256" i="4"/>
  <c r="D257" i="4" s="1"/>
  <c r="D258" i="4" s="1"/>
  <c r="D251" i="4"/>
  <c r="E251" i="4" s="1"/>
  <c r="O265" i="4" s="1"/>
  <c r="D250" i="4"/>
  <c r="E250" i="4" s="1"/>
  <c r="P265" i="4" s="1"/>
  <c r="D249" i="4"/>
  <c r="E249" i="4" s="1"/>
  <c r="N265" i="4" s="1"/>
  <c r="D248" i="4"/>
  <c r="E248" i="4" s="1"/>
  <c r="Q265" i="4" s="1"/>
  <c r="Q266" i="4" s="1"/>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C217" i="4"/>
  <c r="E217" i="4" s="1" a="1"/>
  <c r="E217" i="4" s="1"/>
  <c r="F216" i="4"/>
  <c r="D216" i="4"/>
  <c r="H216" i="4" s="1"/>
  <c r="C216" i="4"/>
  <c r="E216" i="4" s="1" a="1"/>
  <c r="E216" i="4" s="1"/>
  <c r="N215" i="4"/>
  <c r="F215" i="4"/>
  <c r="D215" i="4"/>
  <c r="H215" i="4" s="1"/>
  <c r="F214" i="4"/>
  <c r="M215" i="4" s="1"/>
  <c r="L215" i="4"/>
  <c r="D214" i="4"/>
  <c r="K209" i="4"/>
  <c r="D209" i="4"/>
  <c r="E209" i="4" s="1"/>
  <c r="L216" i="4" s="1"/>
  <c r="D208" i="4"/>
  <c r="E208" i="4" s="1"/>
  <c r="M216" i="4" s="1"/>
  <c r="D207" i="4"/>
  <c r="E207" i="4" s="1"/>
  <c r="K216" i="4" s="1"/>
  <c r="D206" i="4"/>
  <c r="E206" i="4" s="1"/>
  <c r="N216" i="4" s="1"/>
  <c r="N217" i="4" s="1"/>
  <c r="D205" i="4"/>
  <c r="E205" i="4" s="1"/>
  <c r="O216" i="4" s="1"/>
  <c r="D193" i="4"/>
  <c r="I37" i="7" s="1"/>
  <c r="D192" i="4"/>
  <c r="I36" i="7" s="1"/>
  <c r="D191" i="4"/>
  <c r="D190" i="4"/>
  <c r="I34" i="7" s="1"/>
  <c r="D189" i="4"/>
  <c r="I33" i="7" s="1"/>
  <c r="D188" i="4"/>
  <c r="I32" i="7" s="1"/>
  <c r="D187" i="4"/>
  <c r="D186" i="4"/>
  <c r="D185" i="4"/>
  <c r="D184" i="4"/>
  <c r="I28" i="7" s="1"/>
  <c r="D183" i="4"/>
  <c r="I27" i="7" s="1"/>
  <c r="D182" i="4"/>
  <c r="D181" i="4"/>
  <c r="I25" i="7" s="1"/>
  <c r="D180" i="4"/>
  <c r="D179" i="4"/>
  <c r="I23" i="7" s="1"/>
  <c r="D178" i="4"/>
  <c r="I22" i="7" s="1"/>
  <c r="D177" i="4"/>
  <c r="I21" i="7" s="1"/>
  <c r="C177" i="4"/>
  <c r="C178" i="4" s="1"/>
  <c r="C179" i="4" s="1"/>
  <c r="C180" i="4" s="1"/>
  <c r="C181" i="4" s="1"/>
  <c r="C182" i="4" s="1"/>
  <c r="C183" i="4" s="1"/>
  <c r="C184" i="4" s="1"/>
  <c r="C185" i="4" s="1"/>
  <c r="C186" i="4" s="1"/>
  <c r="C187" i="4" s="1"/>
  <c r="C188" i="4" s="1"/>
  <c r="C189" i="4" s="1"/>
  <c r="C190" i="4" s="1"/>
  <c r="C191" i="4" s="1"/>
  <c r="C192" i="4" s="1"/>
  <c r="C193" i="4" s="1"/>
  <c r="L176" i="4"/>
  <c r="D176" i="4"/>
  <c r="I20" i="7" s="1"/>
  <c r="L175" i="4"/>
  <c r="D175" i="4"/>
  <c r="F168" i="4"/>
  <c r="F169" i="4" s="1"/>
  <c r="E168" i="4"/>
  <c r="E169" i="4" s="1"/>
  <c r="D168" i="4"/>
  <c r="D169" i="4" s="1"/>
  <c r="E167" i="4"/>
  <c r="F167" i="4" s="1"/>
  <c r="L140" i="4"/>
  <c r="M140" i="4" s="1"/>
  <c r="C139" i="4"/>
  <c r="E138" i="4"/>
  <c r="E137" i="4"/>
  <c r="M139" i="4" s="1"/>
  <c r="E123" i="4"/>
  <c r="F123" i="4" s="1"/>
  <c r="G123" i="4" s="1"/>
  <c r="H123" i="4" s="1"/>
  <c r="I123" i="4" s="1"/>
  <c r="AD120" i="4"/>
  <c r="AD119" i="4"/>
  <c r="AD117" i="4"/>
  <c r="AD116" i="4"/>
  <c r="AD111" i="4"/>
  <c r="AD110" i="4"/>
  <c r="AJ107" i="4"/>
  <c r="AD106" i="4"/>
  <c r="AD105" i="4"/>
  <c r="T105" i="4"/>
  <c r="S105" i="4"/>
  <c r="R105" i="4"/>
  <c r="Z104" i="4"/>
  <c r="Z105" i="4" s="1"/>
  <c r="Z106" i="4" s="1"/>
  <c r="Z107" i="4" s="1"/>
  <c r="Z108" i="4" s="1"/>
  <c r="Z109" i="4" s="1"/>
  <c r="Z110" i="4" s="1"/>
  <c r="Z111" i="4" s="1"/>
  <c r="Z112" i="4" s="1"/>
  <c r="Z113" i="4" s="1"/>
  <c r="Z114" i="4" s="1"/>
  <c r="Z115" i="4" s="1"/>
  <c r="Z116" i="4" s="1"/>
  <c r="Z117" i="4" s="1"/>
  <c r="Z118" i="4" s="1"/>
  <c r="Z119" i="4" s="1"/>
  <c r="Z120" i="4" s="1"/>
  <c r="C104" i="4"/>
  <c r="C105" i="4" s="1"/>
  <c r="C106" i="4" s="1"/>
  <c r="C107" i="4" s="1"/>
  <c r="C108" i="4" s="1"/>
  <c r="C109" i="4" s="1"/>
  <c r="C110" i="4" s="1"/>
  <c r="C111" i="4" s="1"/>
  <c r="C112" i="4" s="1"/>
  <c r="C113" i="4" s="1"/>
  <c r="C114" i="4" s="1"/>
  <c r="C115" i="4" s="1"/>
  <c r="C116" i="4" s="1"/>
  <c r="C117" i="4" s="1"/>
  <c r="C118" i="4" s="1"/>
  <c r="C119" i="4" s="1"/>
  <c r="C120" i="4" s="1"/>
  <c r="AD103" i="4"/>
  <c r="AD102" i="4"/>
  <c r="E101" i="4"/>
  <c r="F101" i="4" s="1"/>
  <c r="G101" i="4" s="1"/>
  <c r="H101" i="4" s="1"/>
  <c r="I101" i="4" s="1"/>
  <c r="I97" i="4" a="1"/>
  <c r="I97" i="4" s="1"/>
  <c r="I98" i="4" s="1"/>
  <c r="H97" i="4" a="1"/>
  <c r="H97" i="4" s="1"/>
  <c r="H98" i="4" s="1"/>
  <c r="G97" i="4" a="1"/>
  <c r="G97" i="4" s="1"/>
  <c r="G98" i="4" s="1"/>
  <c r="F97" i="4" a="1"/>
  <c r="F97" i="4" s="1"/>
  <c r="F98" i="4" s="1"/>
  <c r="F104" i="4" s="1"/>
  <c r="E97" i="4" a="1"/>
  <c r="E97" i="4" s="1"/>
  <c r="E98" i="4" s="1"/>
  <c r="D97" i="4" a="1"/>
  <c r="D97" i="4" s="1"/>
  <c r="D98" i="4" s="1"/>
  <c r="L68" i="4"/>
  <c r="C67" i="4"/>
  <c r="C68" i="4" s="1"/>
  <c r="D66" i="4"/>
  <c r="E66" i="4" s="1"/>
  <c r="D65" i="4"/>
  <c r="E65" i="4" s="1"/>
  <c r="F46" i="4"/>
  <c r="L45" i="4"/>
  <c r="M45" i="4" s="1"/>
  <c r="K45" i="4"/>
  <c r="F45" i="4"/>
  <c r="F44" i="4"/>
  <c r="C44" i="4"/>
  <c r="C45" i="4" s="1"/>
  <c r="C46" i="4" s="1"/>
  <c r="C47" i="4" s="1"/>
  <c r="F43" i="4"/>
  <c r="C43" i="4"/>
  <c r="F42" i="4"/>
  <c r="L38" i="4"/>
  <c r="K38" i="4"/>
  <c r="J38" i="4"/>
  <c r="I38" i="4"/>
  <c r="L33" i="4"/>
  <c r="K33" i="4"/>
  <c r="J33" i="4"/>
  <c r="I33" i="4"/>
  <c r="L28" i="4"/>
  <c r="K28" i="4"/>
  <c r="J28" i="4"/>
  <c r="I28" i="4"/>
  <c r="F24" i="4"/>
  <c r="F132" i="4" s="1"/>
  <c r="E24" i="4"/>
  <c r="E132" i="4" s="1"/>
  <c r="D24" i="4"/>
  <c r="L23" i="4"/>
  <c r="C172" i="4" s="1"/>
  <c r="C10" i="7" s="1"/>
  <c r="K23" i="4"/>
  <c r="J23" i="4"/>
  <c r="I23" i="4"/>
  <c r="B13" i="4"/>
  <c r="T9" i="4"/>
  <c r="V8" i="4"/>
  <c r="V7" i="4" s="1"/>
  <c r="C264" i="3"/>
  <c r="G263" i="3"/>
  <c r="E263" i="3"/>
  <c r="D263" i="3"/>
  <c r="I262" i="3"/>
  <c r="Q264" i="3" s="1"/>
  <c r="G262" i="3"/>
  <c r="O264" i="3" s="1"/>
  <c r="F262" i="3"/>
  <c r="E262" i="3"/>
  <c r="D262" i="3"/>
  <c r="D257" i="3"/>
  <c r="D258" i="3" s="1"/>
  <c r="F256" i="3"/>
  <c r="F257" i="3" s="1"/>
  <c r="F258" i="3" s="1"/>
  <c r="E256" i="3"/>
  <c r="E257" i="3" s="1"/>
  <c r="E258" i="3" s="1"/>
  <c r="D256" i="3"/>
  <c r="D251" i="3"/>
  <c r="E251" i="3" s="1"/>
  <c r="O265" i="3" s="1"/>
  <c r="D250" i="3"/>
  <c r="E250" i="3" s="1"/>
  <c r="P265" i="3" s="1"/>
  <c r="D249" i="3"/>
  <c r="E249" i="3" s="1"/>
  <c r="N265" i="3" s="1"/>
  <c r="D248" i="3"/>
  <c r="E248" i="3" s="1"/>
  <c r="Q265" i="3" s="1"/>
  <c r="E247" i="3"/>
  <c r="R265" i="3" s="1"/>
  <c r="D247" i="3"/>
  <c r="D232" i="3"/>
  <c r="D231" i="3"/>
  <c r="D230" i="3"/>
  <c r="D229" i="3"/>
  <c r="D228" i="3"/>
  <c r="D227" i="3"/>
  <c r="D226" i="3"/>
  <c r="D225" i="3"/>
  <c r="D224" i="3"/>
  <c r="D223" i="3"/>
  <c r="D222" i="3"/>
  <c r="D221" i="3"/>
  <c r="D220" i="3"/>
  <c r="D219" i="3"/>
  <c r="D218" i="3"/>
  <c r="D217" i="3"/>
  <c r="C217" i="3"/>
  <c r="C218" i="3" s="1"/>
  <c r="C219" i="3" s="1"/>
  <c r="E219" i="3" s="1"/>
  <c r="E216" i="3"/>
  <c r="H216" i="3" s="1"/>
  <c r="D216" i="3"/>
  <c r="C216" i="3"/>
  <c r="N215" i="3"/>
  <c r="M215" i="3"/>
  <c r="L215" i="3"/>
  <c r="E215" i="3"/>
  <c r="D215" i="3"/>
  <c r="F214" i="3"/>
  <c r="E214" i="3"/>
  <c r="D214" i="3"/>
  <c r="H214" i="3" s="1"/>
  <c r="O215" i="3" s="1"/>
  <c r="D209" i="3"/>
  <c r="E209" i="3" s="1"/>
  <c r="L216" i="3" s="1"/>
  <c r="D208" i="3"/>
  <c r="E208" i="3" s="1"/>
  <c r="M216" i="3" s="1"/>
  <c r="D207" i="3"/>
  <c r="E207" i="3" s="1"/>
  <c r="K216" i="3" s="1"/>
  <c r="D206" i="3"/>
  <c r="E206" i="3" s="1"/>
  <c r="N216" i="3" s="1"/>
  <c r="N217" i="3" s="1"/>
  <c r="D205" i="3"/>
  <c r="E205" i="3" s="1"/>
  <c r="O216" i="3" s="1"/>
  <c r="L177" i="3"/>
  <c r="C177" i="3"/>
  <c r="C178" i="3" s="1"/>
  <c r="C179" i="3" s="1"/>
  <c r="C180" i="3" s="1"/>
  <c r="C181" i="3" s="1"/>
  <c r="C182" i="3" s="1"/>
  <c r="C183" i="3" s="1"/>
  <c r="C184" i="3" s="1"/>
  <c r="C185" i="3" s="1"/>
  <c r="C186" i="3" s="1"/>
  <c r="C187" i="3" s="1"/>
  <c r="C188" i="3" s="1"/>
  <c r="C189" i="3" s="1"/>
  <c r="C190" i="3" s="1"/>
  <c r="C191" i="3" s="1"/>
  <c r="C192" i="3" s="1"/>
  <c r="C193" i="3" s="1"/>
  <c r="L176" i="3"/>
  <c r="L175" i="3"/>
  <c r="D175" i="3"/>
  <c r="Y102" i="3" s="1"/>
  <c r="F168" i="3"/>
  <c r="F169" i="3" s="1"/>
  <c r="C172" i="3" s="1"/>
  <c r="D47" i="7" s="1"/>
  <c r="E168" i="3"/>
  <c r="E169" i="3" s="1"/>
  <c r="D168" i="3"/>
  <c r="D169" i="3" s="1"/>
  <c r="E167" i="3"/>
  <c r="L140" i="3"/>
  <c r="C139" i="3"/>
  <c r="C140" i="3" s="1"/>
  <c r="C141" i="3" s="1"/>
  <c r="C142" i="3" s="1"/>
  <c r="C143" i="3" s="1"/>
  <c r="C144" i="3" s="1"/>
  <c r="D134" i="3"/>
  <c r="D133" i="3"/>
  <c r="D132" i="3"/>
  <c r="Y120" i="3"/>
  <c r="Y119" i="3"/>
  <c r="Y118" i="3"/>
  <c r="Y117" i="3"/>
  <c r="Y116" i="3"/>
  <c r="Y115" i="3"/>
  <c r="Y114" i="3"/>
  <c r="Y113" i="3"/>
  <c r="Y112" i="3"/>
  <c r="Y111" i="3"/>
  <c r="Y110" i="3"/>
  <c r="Y109" i="3"/>
  <c r="Y108" i="3"/>
  <c r="AE107" i="3"/>
  <c r="Y107" i="3"/>
  <c r="Y106" i="3"/>
  <c r="Y105" i="3"/>
  <c r="P105" i="3"/>
  <c r="O105" i="3"/>
  <c r="N105" i="3"/>
  <c r="Y104" i="3"/>
  <c r="U104" i="3"/>
  <c r="U105" i="3" s="1"/>
  <c r="U106" i="3" s="1"/>
  <c r="U107" i="3" s="1"/>
  <c r="U108" i="3" s="1"/>
  <c r="U109" i="3" s="1"/>
  <c r="U110" i="3" s="1"/>
  <c r="U111" i="3" s="1"/>
  <c r="U112" i="3" s="1"/>
  <c r="U113" i="3" s="1"/>
  <c r="U114" i="3" s="1"/>
  <c r="U115" i="3" s="1"/>
  <c r="U116" i="3" s="1"/>
  <c r="U117" i="3" s="1"/>
  <c r="U118" i="3" s="1"/>
  <c r="U119" i="3" s="1"/>
  <c r="U120" i="3" s="1"/>
  <c r="C104" i="3"/>
  <c r="C105" i="3" s="1"/>
  <c r="C106" i="3" s="1"/>
  <c r="C107" i="3" s="1"/>
  <c r="C108" i="3" s="1"/>
  <c r="C109" i="3" s="1"/>
  <c r="C110" i="3" s="1"/>
  <c r="C111" i="3" s="1"/>
  <c r="C112" i="3" s="1"/>
  <c r="C113" i="3" s="1"/>
  <c r="C114" i="3" s="1"/>
  <c r="C115" i="3" s="1"/>
  <c r="C116" i="3" s="1"/>
  <c r="C117" i="3" s="1"/>
  <c r="C118" i="3" s="1"/>
  <c r="C119" i="3" s="1"/>
  <c r="C120" i="3" s="1"/>
  <c r="Y103" i="3"/>
  <c r="D97" i="3" a="1"/>
  <c r="D97" i="3" s="1"/>
  <c r="D98" i="3" s="1"/>
  <c r="L68" i="3"/>
  <c r="D67" i="3"/>
  <c r="C67" i="3"/>
  <c r="C68" i="3" s="1"/>
  <c r="D68" i="3" s="1"/>
  <c r="E66" i="3"/>
  <c r="J57" i="7" s="1"/>
  <c r="D66" i="3"/>
  <c r="D65" i="3"/>
  <c r="E65" i="3" s="1"/>
  <c r="K45" i="3"/>
  <c r="L45" i="3" s="1"/>
  <c r="F42" i="3"/>
  <c r="L38" i="3"/>
  <c r="K38" i="3"/>
  <c r="J38" i="3"/>
  <c r="I38" i="3"/>
  <c r="L33" i="3"/>
  <c r="K33" i="3"/>
  <c r="J33" i="3"/>
  <c r="I33" i="3"/>
  <c r="L28" i="3"/>
  <c r="K28" i="3"/>
  <c r="J28" i="3"/>
  <c r="I28" i="3"/>
  <c r="F24" i="3"/>
  <c r="F25" i="3" s="1"/>
  <c r="E24" i="3"/>
  <c r="E25" i="3" s="1"/>
  <c r="D24" i="3"/>
  <c r="D25" i="3" s="1"/>
  <c r="L23" i="3"/>
  <c r="K23" i="3"/>
  <c r="J23" i="3"/>
  <c r="I23" i="3"/>
  <c r="B13" i="3"/>
  <c r="T9" i="3"/>
  <c r="V8" i="3"/>
  <c r="V7" i="3" s="1"/>
  <c r="I280" i="2"/>
  <c r="H280" i="2"/>
  <c r="G280" i="2"/>
  <c r="I279" i="2"/>
  <c r="H279" i="2"/>
  <c r="G279" i="2"/>
  <c r="I278" i="2"/>
  <c r="H278" i="2"/>
  <c r="G278" i="2"/>
  <c r="I277" i="2"/>
  <c r="H277" i="2"/>
  <c r="G277" i="2"/>
  <c r="I276" i="2"/>
  <c r="H276" i="2"/>
  <c r="G276" i="2"/>
  <c r="I275" i="2"/>
  <c r="H275" i="2"/>
  <c r="G275" i="2"/>
  <c r="I274" i="2"/>
  <c r="H274" i="2"/>
  <c r="G274" i="2"/>
  <c r="I273" i="2"/>
  <c r="H273" i="2"/>
  <c r="G273" i="2"/>
  <c r="I272" i="2"/>
  <c r="H272" i="2"/>
  <c r="G272" i="2"/>
  <c r="I271" i="2"/>
  <c r="H271" i="2"/>
  <c r="G271" i="2"/>
  <c r="I270" i="2"/>
  <c r="H270" i="2"/>
  <c r="G270" i="2"/>
  <c r="I269" i="2"/>
  <c r="H269" i="2"/>
  <c r="G269" i="2"/>
  <c r="I268" i="2"/>
  <c r="H268" i="2"/>
  <c r="G268" i="2"/>
  <c r="I267" i="2"/>
  <c r="H267" i="2"/>
  <c r="G267" i="2"/>
  <c r="I266" i="2"/>
  <c r="H266" i="2"/>
  <c r="G266" i="2"/>
  <c r="I265" i="2"/>
  <c r="H265" i="2"/>
  <c r="G265" i="2"/>
  <c r="P264" i="2"/>
  <c r="I264" i="2"/>
  <c r="H264" i="2"/>
  <c r="G264" i="2"/>
  <c r="E264" i="2"/>
  <c r="C264" i="2"/>
  <c r="D264" i="2" s="1"/>
  <c r="I263" i="2"/>
  <c r="H263" i="2"/>
  <c r="G263" i="2"/>
  <c r="E263" i="2"/>
  <c r="D263" i="2"/>
  <c r="F263" i="2" s="1"/>
  <c r="J263" i="2" s="1"/>
  <c r="I262" i="2"/>
  <c r="Q264" i="2" s="1"/>
  <c r="Q266" i="2" s="1"/>
  <c r="H262" i="2"/>
  <c r="G262" i="2"/>
  <c r="O264" i="2" s="1"/>
  <c r="E262" i="2"/>
  <c r="D262" i="2"/>
  <c r="F262" i="2" s="1"/>
  <c r="E257" i="2"/>
  <c r="E258" i="2" s="1"/>
  <c r="D257" i="2"/>
  <c r="D258" i="2" s="1"/>
  <c r="F256" i="2"/>
  <c r="F257" i="2" s="1"/>
  <c r="F258" i="2" s="1"/>
  <c r="E256" i="2"/>
  <c r="D256" i="2"/>
  <c r="D251" i="2"/>
  <c r="E251" i="2" s="1"/>
  <c r="O265" i="2" s="1"/>
  <c r="D250" i="2"/>
  <c r="E250" i="2" s="1"/>
  <c r="P265" i="2" s="1"/>
  <c r="E249" i="2"/>
  <c r="N265" i="2" s="1"/>
  <c r="D249" i="2"/>
  <c r="D248" i="2"/>
  <c r="E248" i="2" s="1"/>
  <c r="Q265" i="2" s="1"/>
  <c r="D247" i="2"/>
  <c r="E247" i="2" s="1"/>
  <c r="R265" i="2" s="1"/>
  <c r="D232" i="2"/>
  <c r="H232" i="2" s="1"/>
  <c r="D231" i="2"/>
  <c r="H231" i="2" s="1"/>
  <c r="D230" i="2"/>
  <c r="H230" i="2" s="1"/>
  <c r="D229" i="2"/>
  <c r="H229" i="2" s="1"/>
  <c r="D228" i="2"/>
  <c r="H228" i="2" s="1"/>
  <c r="D227" i="2"/>
  <c r="H227" i="2" s="1"/>
  <c r="D226" i="2"/>
  <c r="H226" i="2" s="1"/>
  <c r="D225" i="2"/>
  <c r="H225" i="2" s="1"/>
  <c r="H224" i="2"/>
  <c r="D224" i="2"/>
  <c r="D223" i="2"/>
  <c r="H223" i="2" s="1"/>
  <c r="D222" i="2"/>
  <c r="H222" i="2" s="1"/>
  <c r="H221" i="2"/>
  <c r="D221" i="2"/>
  <c r="D220" i="2"/>
  <c r="H220" i="2" s="1"/>
  <c r="D219" i="2"/>
  <c r="H219" i="2" s="1"/>
  <c r="H218" i="2"/>
  <c r="D218" i="2"/>
  <c r="L217" i="2"/>
  <c r="D217" i="2"/>
  <c r="H217" i="2" s="1"/>
  <c r="H216" i="2"/>
  <c r="D216" i="2"/>
  <c r="C216" i="2"/>
  <c r="C217" i="2" s="1"/>
  <c r="C218" i="2" s="1"/>
  <c r="C219" i="2" s="1"/>
  <c r="C220" i="2" s="1"/>
  <c r="C221" i="2" s="1"/>
  <c r="C222" i="2" s="1"/>
  <c r="C223" i="2" s="1"/>
  <c r="C224" i="2" s="1"/>
  <c r="C225" i="2" s="1"/>
  <c r="C226" i="2" s="1"/>
  <c r="C227" i="2" s="1"/>
  <c r="C228" i="2" s="1"/>
  <c r="C229" i="2" s="1"/>
  <c r="C230" i="2" s="1"/>
  <c r="C231" i="2" s="1"/>
  <c r="C232" i="2" s="1"/>
  <c r="N215" i="2"/>
  <c r="N217" i="2" s="1"/>
  <c r="M215" i="2"/>
  <c r="L215" i="2"/>
  <c r="K215" i="2"/>
  <c r="H215" i="2"/>
  <c r="D215" i="2"/>
  <c r="D214" i="2"/>
  <c r="H214" i="2" s="1"/>
  <c r="O215" i="2" s="1"/>
  <c r="K209" i="2"/>
  <c r="D209" i="2"/>
  <c r="E209" i="2" s="1"/>
  <c r="L216" i="2" s="1"/>
  <c r="D208" i="2"/>
  <c r="E208" i="2" s="1"/>
  <c r="M216" i="2" s="1"/>
  <c r="M217" i="2" s="1"/>
  <c r="D207" i="2"/>
  <c r="E207" i="2" s="1"/>
  <c r="K216" i="2" s="1"/>
  <c r="E206" i="2"/>
  <c r="N216" i="2" s="1"/>
  <c r="D206" i="2"/>
  <c r="D205" i="2"/>
  <c r="E205" i="2" s="1"/>
  <c r="O216" i="2" s="1"/>
  <c r="D193" i="2"/>
  <c r="D192" i="2"/>
  <c r="M36" i="7" s="1"/>
  <c r="D191" i="2"/>
  <c r="M35" i="7" s="1"/>
  <c r="D190" i="2"/>
  <c r="M34" i="7" s="1"/>
  <c r="D189" i="2"/>
  <c r="D188" i="2"/>
  <c r="M32" i="7" s="1"/>
  <c r="D187" i="2"/>
  <c r="M31" i="7" s="1"/>
  <c r="D186" i="2"/>
  <c r="M30" i="7" s="1"/>
  <c r="D185" i="2"/>
  <c r="D184" i="2"/>
  <c r="D183" i="2"/>
  <c r="M27" i="7" s="1"/>
  <c r="D182" i="2"/>
  <c r="M26" i="7" s="1"/>
  <c r="D181" i="2"/>
  <c r="M25" i="7" s="1"/>
  <c r="D180" i="2"/>
  <c r="D179" i="2"/>
  <c r="D178" i="2"/>
  <c r="M22" i="7" s="1"/>
  <c r="D177" i="2"/>
  <c r="C177" i="2"/>
  <c r="C178" i="2" s="1"/>
  <c r="C179" i="2" s="1"/>
  <c r="C180" i="2" s="1"/>
  <c r="C181" i="2" s="1"/>
  <c r="C182" i="2" s="1"/>
  <c r="C183" i="2" s="1"/>
  <c r="C184" i="2" s="1"/>
  <c r="C185" i="2" s="1"/>
  <c r="C186" i="2" s="1"/>
  <c r="C187" i="2" s="1"/>
  <c r="C188" i="2" s="1"/>
  <c r="C189" i="2" s="1"/>
  <c r="C190" i="2" s="1"/>
  <c r="C191" i="2" s="1"/>
  <c r="C192" i="2" s="1"/>
  <c r="C193" i="2" s="1"/>
  <c r="L176" i="2"/>
  <c r="L177" i="2" s="1"/>
  <c r="D176" i="2"/>
  <c r="L175" i="2"/>
  <c r="D175" i="2"/>
  <c r="E168" i="2"/>
  <c r="E169" i="2" s="1"/>
  <c r="D168" i="2"/>
  <c r="D169" i="2" s="1"/>
  <c r="D155" i="2"/>
  <c r="D154" i="2"/>
  <c r="D153" i="2"/>
  <c r="K35" i="7" s="1"/>
  <c r="D152" i="2"/>
  <c r="K34" i="7" s="1"/>
  <c r="D151" i="2"/>
  <c r="K33" i="7" s="1"/>
  <c r="D150" i="2"/>
  <c r="D149" i="2"/>
  <c r="K31" i="7" s="1"/>
  <c r="D148" i="2"/>
  <c r="D147" i="2"/>
  <c r="D146" i="2"/>
  <c r="D145" i="2"/>
  <c r="D144" i="2"/>
  <c r="K26" i="7" s="1"/>
  <c r="D143" i="2"/>
  <c r="K25" i="7" s="1"/>
  <c r="D142" i="2"/>
  <c r="D141" i="2"/>
  <c r="K23" i="7" s="1"/>
  <c r="L140" i="2"/>
  <c r="D140" i="2"/>
  <c r="K22" i="7" s="1"/>
  <c r="C140" i="2"/>
  <c r="C141" i="2" s="1"/>
  <c r="C142" i="2" s="1"/>
  <c r="C143" i="2" s="1"/>
  <c r="C144" i="2" s="1"/>
  <c r="C145" i="2" s="1"/>
  <c r="C146" i="2" s="1"/>
  <c r="C147" i="2" s="1"/>
  <c r="C148" i="2" s="1"/>
  <c r="C149" i="2" s="1"/>
  <c r="C150" i="2" s="1"/>
  <c r="C151" i="2" s="1"/>
  <c r="C152" i="2" s="1"/>
  <c r="C153" i="2" s="1"/>
  <c r="C154" i="2" s="1"/>
  <c r="C155" i="2" s="1"/>
  <c r="L139" i="2"/>
  <c r="L141" i="2" s="1"/>
  <c r="D139" i="2"/>
  <c r="C139" i="2"/>
  <c r="D138" i="2"/>
  <c r="K20" i="7" s="1"/>
  <c r="D137" i="2"/>
  <c r="D132" i="2"/>
  <c r="D124" i="2"/>
  <c r="E124" i="2" s="1"/>
  <c r="N104" i="2" s="1"/>
  <c r="N106" i="2" s="1"/>
  <c r="W120" i="2"/>
  <c r="D120" i="2"/>
  <c r="E120" i="2" s="1"/>
  <c r="L37" i="7" s="1"/>
  <c r="Y119" i="2"/>
  <c r="W119" i="2"/>
  <c r="D119" i="2"/>
  <c r="E119" i="2" s="1"/>
  <c r="L36" i="7" s="1"/>
  <c r="Y118" i="2"/>
  <c r="W118" i="2"/>
  <c r="D118" i="2"/>
  <c r="E118" i="2" s="1"/>
  <c r="L35" i="7" s="1"/>
  <c r="W117" i="2"/>
  <c r="D117" i="2"/>
  <c r="E117" i="2" s="1"/>
  <c r="L34" i="7" s="1"/>
  <c r="X116" i="2"/>
  <c r="W116" i="2"/>
  <c r="D116" i="2"/>
  <c r="E116" i="2" s="1"/>
  <c r="L33" i="7" s="1"/>
  <c r="Y115" i="2"/>
  <c r="W115" i="2"/>
  <c r="D115" i="2"/>
  <c r="E115" i="2" s="1"/>
  <c r="L32" i="7" s="1"/>
  <c r="Y114" i="2"/>
  <c r="X114" i="2"/>
  <c r="W114" i="2"/>
  <c r="D114" i="2"/>
  <c r="E114" i="2" s="1"/>
  <c r="L31" i="7" s="1"/>
  <c r="Y113" i="2"/>
  <c r="W113" i="2"/>
  <c r="D113" i="2"/>
  <c r="E113" i="2" s="1"/>
  <c r="L30" i="7" s="1"/>
  <c r="W112" i="2"/>
  <c r="D112" i="2"/>
  <c r="E112" i="2" s="1"/>
  <c r="L29" i="7" s="1"/>
  <c r="W111" i="2"/>
  <c r="D111" i="2"/>
  <c r="E111" i="2" s="1"/>
  <c r="L28" i="7" s="1"/>
  <c r="Y110" i="2"/>
  <c r="W110" i="2"/>
  <c r="E110" i="2"/>
  <c r="L27" i="7" s="1"/>
  <c r="D110" i="2"/>
  <c r="W109" i="2"/>
  <c r="D109" i="2"/>
  <c r="E109" i="2" s="1"/>
  <c r="L26" i="7" s="1"/>
  <c r="Y108" i="2"/>
  <c r="X108" i="2"/>
  <c r="W108" i="2"/>
  <c r="D108" i="2"/>
  <c r="E108" i="2" s="1"/>
  <c r="L25" i="7" s="1"/>
  <c r="AE107" i="2"/>
  <c r="W107" i="2"/>
  <c r="D107" i="2"/>
  <c r="E107" i="2" s="1"/>
  <c r="L24" i="7" s="1"/>
  <c r="X106" i="2"/>
  <c r="W106" i="2"/>
  <c r="U106" i="2"/>
  <c r="U107" i="2" s="1"/>
  <c r="U108" i="2" s="1"/>
  <c r="U109" i="2" s="1"/>
  <c r="U110" i="2" s="1"/>
  <c r="U111" i="2" s="1"/>
  <c r="U112" i="2" s="1"/>
  <c r="U113" i="2" s="1"/>
  <c r="U114" i="2" s="1"/>
  <c r="U115" i="2" s="1"/>
  <c r="U116" i="2" s="1"/>
  <c r="U117" i="2" s="1"/>
  <c r="U118" i="2" s="1"/>
  <c r="U119" i="2" s="1"/>
  <c r="U120" i="2" s="1"/>
  <c r="O106" i="2"/>
  <c r="D106" i="2"/>
  <c r="E106" i="2" s="1"/>
  <c r="L23" i="7" s="1"/>
  <c r="Y105" i="2"/>
  <c r="X105" i="2"/>
  <c r="W105" i="2"/>
  <c r="O105" i="2"/>
  <c r="N105" i="2"/>
  <c r="M105" i="2"/>
  <c r="E105" i="2"/>
  <c r="L22" i="7" s="1"/>
  <c r="D105" i="2"/>
  <c r="W104" i="2"/>
  <c r="U104" i="2"/>
  <c r="U105" i="2" s="1"/>
  <c r="D104" i="2"/>
  <c r="E104" i="2" s="1"/>
  <c r="L21" i="7" s="1"/>
  <c r="C104" i="2"/>
  <c r="C105" i="2" s="1"/>
  <c r="C106" i="2" s="1"/>
  <c r="C107" i="2" s="1"/>
  <c r="C108" i="2" s="1"/>
  <c r="C109" i="2" s="1"/>
  <c r="C110" i="2" s="1"/>
  <c r="C111" i="2" s="1"/>
  <c r="C112" i="2" s="1"/>
  <c r="C113" i="2" s="1"/>
  <c r="C114" i="2" s="1"/>
  <c r="C115" i="2" s="1"/>
  <c r="C116" i="2" s="1"/>
  <c r="C117" i="2" s="1"/>
  <c r="C118" i="2" s="1"/>
  <c r="C119" i="2" s="1"/>
  <c r="C120" i="2" s="1"/>
  <c r="X103" i="2"/>
  <c r="W103" i="2"/>
  <c r="D103" i="2"/>
  <c r="E103" i="2" s="1"/>
  <c r="L20" i="7" s="1"/>
  <c r="Y102" i="2"/>
  <c r="X102" i="2"/>
  <c r="W102" i="2"/>
  <c r="D102" i="2"/>
  <c r="E102" i="2" s="1"/>
  <c r="M104" i="2" s="1"/>
  <c r="M99" i="2"/>
  <c r="O104" i="2" s="1"/>
  <c r="D97" i="2" a="1"/>
  <c r="D97" i="2" s="1"/>
  <c r="L68" i="2"/>
  <c r="C67" i="2"/>
  <c r="C68" i="2" s="1"/>
  <c r="D66" i="2"/>
  <c r="E66" i="2" s="1"/>
  <c r="D65" i="2"/>
  <c r="E65" i="2" s="1"/>
  <c r="K45" i="2"/>
  <c r="L38" i="2"/>
  <c r="K38" i="2"/>
  <c r="J38" i="2"/>
  <c r="I38" i="2"/>
  <c r="L33" i="2"/>
  <c r="K33" i="2"/>
  <c r="J33" i="2"/>
  <c r="I33" i="2"/>
  <c r="L28" i="2"/>
  <c r="K28" i="2"/>
  <c r="J28" i="2"/>
  <c r="I28" i="2"/>
  <c r="F25" i="2"/>
  <c r="E25" i="2"/>
  <c r="D25" i="2"/>
  <c r="F24" i="2"/>
  <c r="F132" i="2" s="1"/>
  <c r="E24" i="2"/>
  <c r="E132" i="2" s="1"/>
  <c r="D24" i="2"/>
  <c r="L23" i="2"/>
  <c r="K23" i="2"/>
  <c r="J23" i="2"/>
  <c r="I23" i="2"/>
  <c r="B13" i="2"/>
  <c r="T9" i="2"/>
  <c r="V8" i="2"/>
  <c r="V7" i="2"/>
  <c r="V102" i="3" l="1"/>
  <c r="L67" i="3"/>
  <c r="L69" i="3" s="1"/>
  <c r="AA103" i="4"/>
  <c r="F20" i="7"/>
  <c r="C69" i="4"/>
  <c r="D68" i="4"/>
  <c r="E68" i="4" s="1"/>
  <c r="C69" i="2"/>
  <c r="D68" i="2"/>
  <c r="E68" i="2" s="1"/>
  <c r="Y116" i="2"/>
  <c r="M33" i="7"/>
  <c r="Y109" i="5"/>
  <c r="I63" i="7"/>
  <c r="Y117" i="5"/>
  <c r="I71" i="7"/>
  <c r="G256" i="2"/>
  <c r="H215" i="3"/>
  <c r="AD112" i="4"/>
  <c r="I29" i="7"/>
  <c r="Y118" i="5"/>
  <c r="I72" i="7"/>
  <c r="Y103" i="2"/>
  <c r="M20" i="7"/>
  <c r="X111" i="2"/>
  <c r="K28" i="7"/>
  <c r="X119" i="2"/>
  <c r="K36" i="7"/>
  <c r="V103" i="3"/>
  <c r="K215" i="3"/>
  <c r="AD113" i="4"/>
  <c r="I30" i="7"/>
  <c r="V103" i="5"/>
  <c r="F57" i="7"/>
  <c r="X103" i="5"/>
  <c r="G57" i="7"/>
  <c r="Y104" i="5"/>
  <c r="I58" i="7"/>
  <c r="Y111" i="5"/>
  <c r="I65" i="7"/>
  <c r="Y119" i="5"/>
  <c r="I73" i="7"/>
  <c r="X112" i="2"/>
  <c r="K29" i="7"/>
  <c r="X120" i="2"/>
  <c r="K37" i="7"/>
  <c r="Y104" i="2"/>
  <c r="M21" i="7"/>
  <c r="Y111" i="2"/>
  <c r="M28" i="7"/>
  <c r="E217" i="3"/>
  <c r="H217" i="3" s="1"/>
  <c r="F263" i="3"/>
  <c r="D67" i="4"/>
  <c r="AD104" i="4"/>
  <c r="AD108" i="4"/>
  <c r="AD114" i="4"/>
  <c r="I31" i="7"/>
  <c r="Y110" i="5"/>
  <c r="Y105" i="5"/>
  <c r="I59" i="7"/>
  <c r="Y112" i="2"/>
  <c r="M29" i="7"/>
  <c r="Y120" i="2"/>
  <c r="M37" i="7"/>
  <c r="AD107" i="4"/>
  <c r="I24" i="7"/>
  <c r="E47" i="7"/>
  <c r="C68" i="5"/>
  <c r="D68" i="5" s="1"/>
  <c r="E68" i="5" s="1"/>
  <c r="Y112" i="5"/>
  <c r="E139" i="5"/>
  <c r="F262" i="5"/>
  <c r="D264" i="5"/>
  <c r="G265" i="5" a="1"/>
  <c r="G265" i="5" s="1"/>
  <c r="AC103" i="4"/>
  <c r="G20" i="7"/>
  <c r="F262" i="4"/>
  <c r="N264" i="4" s="1"/>
  <c r="Y106" i="5"/>
  <c r="I60" i="7"/>
  <c r="Y114" i="5"/>
  <c r="I68" i="7"/>
  <c r="E264" i="5"/>
  <c r="G264" i="5" a="1"/>
  <c r="G264" i="5" s="1"/>
  <c r="X118" i="2"/>
  <c r="X109" i="2"/>
  <c r="X117" i="2"/>
  <c r="X107" i="2"/>
  <c r="K24" i="7"/>
  <c r="X115" i="2"/>
  <c r="K32" i="7"/>
  <c r="O266" i="2"/>
  <c r="C265" i="2"/>
  <c r="C266" i="2" s="1"/>
  <c r="E266" i="2" s="1"/>
  <c r="C131" i="3"/>
  <c r="AD115" i="4"/>
  <c r="AD109" i="4"/>
  <c r="I26" i="7"/>
  <c r="W116" i="5" a="1"/>
  <c r="W116" i="5" s="1"/>
  <c r="W112" i="5" a="1"/>
  <c r="W112" i="5" s="1"/>
  <c r="W106" i="5" a="1"/>
  <c r="W106" i="5" s="1"/>
  <c r="W111" i="5" a="1"/>
  <c r="W111" i="5" s="1"/>
  <c r="W117" i="5" a="1"/>
  <c r="W117" i="5" s="1"/>
  <c r="W115" i="5" a="1"/>
  <c r="W115" i="5" s="1"/>
  <c r="W118" i="5" a="1"/>
  <c r="W118" i="5" s="1"/>
  <c r="W107" i="5" a="1"/>
  <c r="W107" i="5" s="1"/>
  <c r="W113" i="5" a="1"/>
  <c r="W113" i="5" s="1"/>
  <c r="W119" i="5" a="1"/>
  <c r="W119" i="5" s="1"/>
  <c r="W103" i="5" a="1"/>
  <c r="W103" i="5" s="1"/>
  <c r="Z103" i="5" s="1"/>
  <c r="W109" i="5" a="1"/>
  <c r="W109" i="5" s="1"/>
  <c r="W114" i="5" a="1"/>
  <c r="W114" i="5" s="1"/>
  <c r="W102" i="5" a="1"/>
  <c r="W102" i="5" s="1"/>
  <c r="W110" i="5" a="1"/>
  <c r="W110" i="5" s="1"/>
  <c r="W108" i="5" a="1"/>
  <c r="W108" i="5" s="1"/>
  <c r="W104" i="5" a="1"/>
  <c r="W104" i="5" s="1"/>
  <c r="W105" i="5" a="1"/>
  <c r="W105" i="5" s="1"/>
  <c r="Y107" i="5"/>
  <c r="I61" i="7"/>
  <c r="Y115" i="5"/>
  <c r="I69" i="7"/>
  <c r="X104" i="2"/>
  <c r="K21" i="7"/>
  <c r="X110" i="2"/>
  <c r="K27" i="7"/>
  <c r="V103" i="2"/>
  <c r="AF106" i="2" s="1"/>
  <c r="J20" i="7"/>
  <c r="X113" i="2"/>
  <c r="K30" i="7"/>
  <c r="Y109" i="2"/>
  <c r="C172" i="2"/>
  <c r="D10" i="7" s="1"/>
  <c r="E10" i="7" s="1"/>
  <c r="Y106" i="2"/>
  <c r="M23" i="7"/>
  <c r="Y117" i="2"/>
  <c r="Y107" i="2"/>
  <c r="M24" i="7"/>
  <c r="F264" i="2"/>
  <c r="J264" i="2" s="1"/>
  <c r="AB105" i="4" a="1"/>
  <c r="AB105" i="4" s="1"/>
  <c r="AB111" i="4" a="1"/>
  <c r="AB111" i="4" s="1"/>
  <c r="AB116" i="4" a="1"/>
  <c r="AB116" i="4" s="1"/>
  <c r="AB106" i="4" a="1"/>
  <c r="AB106" i="4" s="1"/>
  <c r="AB107" i="4" a="1"/>
  <c r="AB107" i="4" s="1"/>
  <c r="AB112" i="4" a="1"/>
  <c r="AB112" i="4" s="1"/>
  <c r="AB117" i="4" a="1"/>
  <c r="AB117" i="4" s="1"/>
  <c r="AB114" i="4" a="1"/>
  <c r="AB114" i="4" s="1"/>
  <c r="AB118" i="4" a="1"/>
  <c r="AB118" i="4" s="1"/>
  <c r="AB103" i="4" a="1"/>
  <c r="AB103" i="4" s="1"/>
  <c r="AE103" i="4" s="1"/>
  <c r="AB108" i="4" a="1"/>
  <c r="AB108" i="4" s="1"/>
  <c r="AB113" i="4" a="1"/>
  <c r="AB113" i="4" s="1"/>
  <c r="AB119" i="4" a="1"/>
  <c r="AB119" i="4" s="1"/>
  <c r="AB104" i="4" a="1"/>
  <c r="AB104" i="4" s="1"/>
  <c r="AB109" i="4" a="1"/>
  <c r="AB109" i="4" s="1"/>
  <c r="AB115" i="4" a="1"/>
  <c r="AB115" i="4" s="1"/>
  <c r="AB120" i="4" a="1"/>
  <c r="AB120" i="4" s="1"/>
  <c r="AB110" i="4" a="1"/>
  <c r="AB110" i="4" s="1"/>
  <c r="AB102" i="4" a="1"/>
  <c r="AB102" i="4" s="1"/>
  <c r="L177" i="4"/>
  <c r="AD118" i="4"/>
  <c r="I35" i="7"/>
  <c r="Y120" i="5"/>
  <c r="Y103" i="5"/>
  <c r="I57" i="7"/>
  <c r="D25" i="5"/>
  <c r="L217" i="5"/>
  <c r="K217" i="3"/>
  <c r="H214" i="4"/>
  <c r="O215" i="4" s="1"/>
  <c r="O217" i="4"/>
  <c r="AC102" i="4"/>
  <c r="E25" i="4"/>
  <c r="M141" i="4"/>
  <c r="O266" i="4"/>
  <c r="P266" i="4"/>
  <c r="M217" i="4"/>
  <c r="O266" i="5"/>
  <c r="M217" i="5"/>
  <c r="P266" i="5"/>
  <c r="L69" i="5"/>
  <c r="J263" i="5"/>
  <c r="G256" i="5"/>
  <c r="F257" i="5"/>
  <c r="F258" i="5" s="1"/>
  <c r="F25" i="5"/>
  <c r="G124" i="4"/>
  <c r="G116" i="4"/>
  <c r="G115" i="4"/>
  <c r="G114" i="4"/>
  <c r="G113" i="4"/>
  <c r="G107" i="4"/>
  <c r="G105" i="4"/>
  <c r="G103" i="4"/>
  <c r="G106" i="4"/>
  <c r="G109" i="4"/>
  <c r="G104" i="4"/>
  <c r="G117" i="4"/>
  <c r="G119" i="4"/>
  <c r="G108" i="4"/>
  <c r="G112" i="4"/>
  <c r="G118" i="4"/>
  <c r="G110" i="4"/>
  <c r="G120" i="4"/>
  <c r="G111" i="4"/>
  <c r="G102" i="4"/>
  <c r="C70" i="4"/>
  <c r="D69" i="4"/>
  <c r="E69" i="4" s="1"/>
  <c r="I108" i="4"/>
  <c r="I120" i="4"/>
  <c r="I111" i="4"/>
  <c r="I110" i="4"/>
  <c r="I109" i="4"/>
  <c r="I124" i="4"/>
  <c r="I118" i="4"/>
  <c r="I116" i="4"/>
  <c r="I107" i="4"/>
  <c r="I103" i="4"/>
  <c r="I115" i="4"/>
  <c r="I114" i="4"/>
  <c r="I113" i="4"/>
  <c r="I112" i="4"/>
  <c r="I106" i="4"/>
  <c r="I102" i="4"/>
  <c r="I119" i="4"/>
  <c r="I117" i="4"/>
  <c r="I105" i="4"/>
  <c r="I104" i="4"/>
  <c r="H120" i="4"/>
  <c r="H116" i="4"/>
  <c r="H112" i="4"/>
  <c r="H105" i="4"/>
  <c r="H119" i="4"/>
  <c r="H118" i="4"/>
  <c r="H117" i="4"/>
  <c r="H124" i="4"/>
  <c r="H109" i="4"/>
  <c r="H104" i="4"/>
  <c r="H102" i="4"/>
  <c r="H110" i="4"/>
  <c r="H115" i="4"/>
  <c r="H113" i="4"/>
  <c r="H111" i="4"/>
  <c r="H108" i="4"/>
  <c r="H114" i="4"/>
  <c r="H107" i="4"/>
  <c r="H103" i="4"/>
  <c r="H106" i="4"/>
  <c r="AA102" i="4"/>
  <c r="L67" i="4"/>
  <c r="L69" i="4" s="1"/>
  <c r="D118" i="4"/>
  <c r="D114" i="4"/>
  <c r="D110" i="4"/>
  <c r="D107" i="4"/>
  <c r="D117" i="4"/>
  <c r="D116" i="4"/>
  <c r="D115" i="4"/>
  <c r="D120" i="4"/>
  <c r="D119" i="4"/>
  <c r="D111" i="4"/>
  <c r="D124" i="4"/>
  <c r="D106" i="4"/>
  <c r="D102" i="4"/>
  <c r="R97" i="4" a="1"/>
  <c r="R97" i="4" s="1"/>
  <c r="T104" i="4" s="1"/>
  <c r="T106" i="4" s="1"/>
  <c r="D109" i="4"/>
  <c r="D105" i="4"/>
  <c r="D103" i="4"/>
  <c r="D108" i="4"/>
  <c r="D104" i="4"/>
  <c r="D113" i="4"/>
  <c r="D112" i="4"/>
  <c r="E109" i="4"/>
  <c r="E120" i="4"/>
  <c r="E119" i="4"/>
  <c r="E118" i="4"/>
  <c r="E124" i="4"/>
  <c r="E110" i="4"/>
  <c r="E106" i="4"/>
  <c r="E102" i="4"/>
  <c r="E107" i="4"/>
  <c r="E105" i="4"/>
  <c r="E103" i="4"/>
  <c r="E108" i="4"/>
  <c r="E112" i="4"/>
  <c r="E104" i="4"/>
  <c r="E113" i="4"/>
  <c r="E117" i="4"/>
  <c r="E116" i="4"/>
  <c r="E115" i="4"/>
  <c r="E114" i="4"/>
  <c r="E111" i="4"/>
  <c r="U120" i="5"/>
  <c r="W120" i="5" s="1" a="1"/>
  <c r="W120" i="5" s="1"/>
  <c r="F102" i="4"/>
  <c r="F106" i="4"/>
  <c r="F118" i="4"/>
  <c r="F119" i="4"/>
  <c r="F120" i="4"/>
  <c r="J262" i="4"/>
  <c r="R264" i="4" s="1"/>
  <c r="R266" i="4" s="1"/>
  <c r="J262" i="5"/>
  <c r="R264" i="5" s="1"/>
  <c r="R266" i="5" s="1"/>
  <c r="N264" i="5"/>
  <c r="N266" i="5" s="1"/>
  <c r="C69" i="5"/>
  <c r="N97" i="5" a="1"/>
  <c r="N97" i="5" s="1"/>
  <c r="P104" i="5" s="1"/>
  <c r="P106" i="5" s="1"/>
  <c r="D124" i="5"/>
  <c r="D103" i="5"/>
  <c r="D106" i="5"/>
  <c r="D104" i="5"/>
  <c r="D105" i="5"/>
  <c r="D102" i="5"/>
  <c r="E104" i="5"/>
  <c r="E106" i="5"/>
  <c r="E102" i="5"/>
  <c r="E103" i="5"/>
  <c r="E124" i="5"/>
  <c r="E105" i="5"/>
  <c r="F114" i="4"/>
  <c r="F25" i="4"/>
  <c r="F124" i="5"/>
  <c r="F103" i="5"/>
  <c r="F106" i="5"/>
  <c r="F102" i="5"/>
  <c r="F105" i="5"/>
  <c r="F104" i="5"/>
  <c r="C218" i="4"/>
  <c r="E218" i="4" s="1" a="1"/>
  <c r="E218" i="4" s="1"/>
  <c r="H217" i="4"/>
  <c r="E67" i="4"/>
  <c r="K215" i="4"/>
  <c r="K217" i="4" s="1"/>
  <c r="N266" i="4"/>
  <c r="F117" i="4"/>
  <c r="F113" i="4"/>
  <c r="F109" i="4"/>
  <c r="F112" i="4"/>
  <c r="F111" i="4"/>
  <c r="F110" i="4"/>
  <c r="F108" i="4"/>
  <c r="F105" i="4"/>
  <c r="F124" i="4"/>
  <c r="F115" i="4"/>
  <c r="F103" i="4"/>
  <c r="E139" i="4"/>
  <c r="C140" i="4"/>
  <c r="E257" i="4"/>
  <c r="G256" i="4"/>
  <c r="H264" i="4"/>
  <c r="C265" i="4"/>
  <c r="G265" i="4" s="1" a="1"/>
  <c r="G265" i="4" s="1"/>
  <c r="E264" i="4"/>
  <c r="C142" i="5"/>
  <c r="E141" i="5"/>
  <c r="F116" i="4"/>
  <c r="D25" i="4"/>
  <c r="D132" i="4"/>
  <c r="D139" i="4" s="1"/>
  <c r="F107" i="4"/>
  <c r="L217" i="4"/>
  <c r="D264" i="4"/>
  <c r="F264" i="4" s="1"/>
  <c r="C107" i="5"/>
  <c r="E107" i="5" s="1"/>
  <c r="M139" i="5"/>
  <c r="M141" i="5" s="1"/>
  <c r="X102" i="5"/>
  <c r="F263" i="4"/>
  <c r="J263" i="4" s="1"/>
  <c r="V102" i="5"/>
  <c r="H215" i="5"/>
  <c r="E258" i="5"/>
  <c r="G257" i="5"/>
  <c r="E140" i="5"/>
  <c r="K217" i="5"/>
  <c r="E67" i="5"/>
  <c r="Q266" i="5"/>
  <c r="C266" i="5"/>
  <c r="G266" i="5" s="1" a="1"/>
  <c r="G266" i="5" s="1"/>
  <c r="E132" i="5"/>
  <c r="D139" i="5" s="1"/>
  <c r="C217" i="5"/>
  <c r="E217" i="5" s="1" a="1"/>
  <c r="E217" i="5" s="1"/>
  <c r="L177" i="5"/>
  <c r="H216" i="5"/>
  <c r="D265" i="5"/>
  <c r="E265" i="5"/>
  <c r="H214" i="5"/>
  <c r="O215" i="5" s="1"/>
  <c r="O217" i="5" s="1"/>
  <c r="H264" i="5"/>
  <c r="M106" i="2"/>
  <c r="D124" i="3"/>
  <c r="E124" i="3" s="1"/>
  <c r="O104" i="3" s="1"/>
  <c r="O106" i="3" s="1"/>
  <c r="D120" i="3"/>
  <c r="E120" i="3" s="1"/>
  <c r="L74" i="7" s="1"/>
  <c r="W116" i="3"/>
  <c r="D112" i="3"/>
  <c r="E112" i="3" s="1"/>
  <c r="L66" i="7" s="1"/>
  <c r="D119" i="3"/>
  <c r="E119" i="3" s="1"/>
  <c r="L73" i="7" s="1"/>
  <c r="W115" i="3"/>
  <c r="D111" i="3"/>
  <c r="E111" i="3" s="1"/>
  <c r="L65" i="7" s="1"/>
  <c r="W108" i="3"/>
  <c r="D105" i="3"/>
  <c r="E105" i="3" s="1"/>
  <c r="L59" i="7" s="1"/>
  <c r="W102" i="3"/>
  <c r="D118" i="3"/>
  <c r="E118" i="3" s="1"/>
  <c r="L72" i="7" s="1"/>
  <c r="W114" i="3"/>
  <c r="D110" i="3"/>
  <c r="E110" i="3" s="1"/>
  <c r="L64" i="7" s="1"/>
  <c r="W105" i="3"/>
  <c r="W103" i="3"/>
  <c r="D117" i="3"/>
  <c r="E117" i="3" s="1"/>
  <c r="L71" i="7" s="1"/>
  <c r="D109" i="3"/>
  <c r="E109" i="3" s="1"/>
  <c r="L63" i="7" s="1"/>
  <c r="D104" i="3"/>
  <c r="E104" i="3" s="1"/>
  <c r="L58" i="7" s="1"/>
  <c r="W118" i="3"/>
  <c r="W110" i="3"/>
  <c r="D113" i="3"/>
  <c r="E113" i="3" s="1"/>
  <c r="L67" i="7" s="1"/>
  <c r="D102" i="3"/>
  <c r="E102" i="3" s="1"/>
  <c r="N104" i="3" s="1"/>
  <c r="N106" i="3" s="1"/>
  <c r="W119" i="3"/>
  <c r="D114" i="3"/>
  <c r="E114" i="3" s="1"/>
  <c r="L68" i="7" s="1"/>
  <c r="W111" i="3"/>
  <c r="W107" i="3"/>
  <c r="W106" i="3"/>
  <c r="W104" i="3"/>
  <c r="D115" i="3"/>
  <c r="E115" i="3" s="1"/>
  <c r="L69" i="7" s="1"/>
  <c r="N97" i="3"/>
  <c r="P104" i="3" s="1"/>
  <c r="P106" i="3" s="1"/>
  <c r="W120" i="3"/>
  <c r="W112" i="3"/>
  <c r="D116" i="3"/>
  <c r="E116" i="3" s="1"/>
  <c r="L70" i="7" s="1"/>
  <c r="W113" i="3"/>
  <c r="D103" i="3"/>
  <c r="E103" i="3" s="1"/>
  <c r="W117" i="3"/>
  <c r="W109" i="3"/>
  <c r="D108" i="3"/>
  <c r="E108" i="3" s="1"/>
  <c r="L62" i="7" s="1"/>
  <c r="D107" i="3"/>
  <c r="E107" i="3" s="1"/>
  <c r="L61" i="7" s="1"/>
  <c r="D106" i="3"/>
  <c r="E106" i="3" s="1"/>
  <c r="L60" i="7" s="1"/>
  <c r="N264" i="2"/>
  <c r="N266" i="2" s="1"/>
  <c r="J262" i="2"/>
  <c r="R264" i="2" s="1"/>
  <c r="R266" i="2" s="1"/>
  <c r="C145" i="3"/>
  <c r="D144" i="3"/>
  <c r="V102" i="2"/>
  <c r="Z102" i="2" s="1"/>
  <c r="AE106" i="2" s="1"/>
  <c r="AE108" i="2" s="1"/>
  <c r="L67" i="2"/>
  <c r="L69" i="2" s="1"/>
  <c r="C267" i="2"/>
  <c r="J254" i="3"/>
  <c r="D138" i="3"/>
  <c r="D137" i="3"/>
  <c r="D140" i="3"/>
  <c r="D139" i="3"/>
  <c r="D142" i="3"/>
  <c r="K217" i="2"/>
  <c r="G258" i="2"/>
  <c r="J254" i="2" s="1"/>
  <c r="O217" i="2"/>
  <c r="D69" i="2"/>
  <c r="E69" i="2" s="1"/>
  <c r="C70" i="2"/>
  <c r="P266" i="2"/>
  <c r="N264" i="3"/>
  <c r="N266" i="3" s="1"/>
  <c r="O266" i="3"/>
  <c r="D265" i="2"/>
  <c r="E67" i="3"/>
  <c r="D143" i="3"/>
  <c r="L217" i="3"/>
  <c r="E218" i="3"/>
  <c r="H218" i="3" s="1"/>
  <c r="Q266" i="3"/>
  <c r="G257" i="2"/>
  <c r="E265" i="2"/>
  <c r="O217" i="3"/>
  <c r="M217" i="3"/>
  <c r="D67" i="2"/>
  <c r="E67" i="2" s="1"/>
  <c r="E68" i="3"/>
  <c r="D141" i="3"/>
  <c r="H219" i="3"/>
  <c r="C220" i="3"/>
  <c r="C69" i="3"/>
  <c r="D264" i="3"/>
  <c r="E264" i="3"/>
  <c r="G264" i="3"/>
  <c r="C265" i="3"/>
  <c r="V105" i="2" l="1"/>
  <c r="Z105" i="2" s="1"/>
  <c r="J22" i="7"/>
  <c r="V106" i="2"/>
  <c r="Z106" i="2" s="1"/>
  <c r="J23" i="7"/>
  <c r="V105" i="5"/>
  <c r="F59" i="7"/>
  <c r="C105" i="7"/>
  <c r="C104" i="7"/>
  <c r="F10" i="7"/>
  <c r="C106" i="7"/>
  <c r="C107" i="7"/>
  <c r="C108" i="7"/>
  <c r="C109" i="7"/>
  <c r="C110" i="7"/>
  <c r="C111" i="7"/>
  <c r="C112" i="7"/>
  <c r="C113" i="7"/>
  <c r="C114" i="7"/>
  <c r="C115" i="7"/>
  <c r="C116" i="7"/>
  <c r="C117" i="7"/>
  <c r="C118" i="7"/>
  <c r="C119" i="7"/>
  <c r="C120" i="7"/>
  <c r="C121" i="7"/>
  <c r="X105" i="5"/>
  <c r="Z105" i="5" s="1"/>
  <c r="G59" i="7"/>
  <c r="V104" i="3"/>
  <c r="J58" i="7"/>
  <c r="X103" i="3"/>
  <c r="Z103" i="3" s="1"/>
  <c r="K57" i="7"/>
  <c r="L57" i="7"/>
  <c r="Z103" i="2"/>
  <c r="AA105" i="4"/>
  <c r="F22" i="7"/>
  <c r="D266" i="2"/>
  <c r="X104" i="5"/>
  <c r="G58" i="7"/>
  <c r="G258" i="5"/>
  <c r="J254" i="5" s="1"/>
  <c r="X107" i="3"/>
  <c r="K61" i="7"/>
  <c r="J109" i="4"/>
  <c r="H26" i="7" s="1"/>
  <c r="X106" i="3"/>
  <c r="K60" i="7"/>
  <c r="V104" i="5"/>
  <c r="F58" i="7"/>
  <c r="AA106" i="4"/>
  <c r="F23" i="7"/>
  <c r="F47" i="7"/>
  <c r="E105" i="7"/>
  <c r="E104" i="7"/>
  <c r="E106" i="7"/>
  <c r="E107" i="7"/>
  <c r="E108" i="7"/>
  <c r="E109" i="7"/>
  <c r="E110" i="7"/>
  <c r="E111" i="7"/>
  <c r="E112" i="7"/>
  <c r="E113" i="7"/>
  <c r="E114" i="7"/>
  <c r="E115" i="7"/>
  <c r="E116" i="7"/>
  <c r="E117" i="7"/>
  <c r="E118" i="7"/>
  <c r="E119" i="7"/>
  <c r="E120" i="7"/>
  <c r="E121" i="7"/>
  <c r="X104" i="3"/>
  <c r="K58" i="7"/>
  <c r="AA104" i="4"/>
  <c r="F21" i="7"/>
  <c r="O21" i="7" s="1"/>
  <c r="P21" i="7" s="1"/>
  <c r="Q21" i="7" s="1"/>
  <c r="R21" i="7" s="1"/>
  <c r="V105" i="3"/>
  <c r="J59" i="7"/>
  <c r="X105" i="3"/>
  <c r="Z105" i="3" s="1"/>
  <c r="K59" i="7"/>
  <c r="V104" i="2"/>
  <c r="Z104" i="2" s="1"/>
  <c r="J21" i="7"/>
  <c r="X108" i="3"/>
  <c r="K62" i="7"/>
  <c r="X109" i="3"/>
  <c r="K63" i="7"/>
  <c r="X106" i="5"/>
  <c r="G60" i="7"/>
  <c r="AC104" i="4"/>
  <c r="G21" i="7"/>
  <c r="F264" i="5"/>
  <c r="J264" i="5" s="1"/>
  <c r="J105" i="4"/>
  <c r="H22" i="7" s="1"/>
  <c r="J117" i="4"/>
  <c r="H34" i="7" s="1"/>
  <c r="J114" i="4"/>
  <c r="H31" i="7" s="1"/>
  <c r="J113" i="4"/>
  <c r="H30" i="7" s="1"/>
  <c r="J104" i="4"/>
  <c r="H21" i="7" s="1"/>
  <c r="J124" i="4"/>
  <c r="J111" i="4"/>
  <c r="H28" i="7" s="1"/>
  <c r="J118" i="4"/>
  <c r="H35" i="7" s="1"/>
  <c r="J108" i="4"/>
  <c r="H25" i="7" s="1"/>
  <c r="J119" i="4"/>
  <c r="H36" i="7" s="1"/>
  <c r="J112" i="4"/>
  <c r="H29" i="7" s="1"/>
  <c r="J103" i="4"/>
  <c r="H20" i="7" s="1"/>
  <c r="O20" i="7" s="1"/>
  <c r="P20" i="7" s="1"/>
  <c r="Q20" i="7" s="1"/>
  <c r="R20" i="7" s="1"/>
  <c r="J120" i="4"/>
  <c r="H37" i="7" s="1"/>
  <c r="J115" i="4"/>
  <c r="H32" i="7" s="1"/>
  <c r="J107" i="4"/>
  <c r="H24" i="7" s="1"/>
  <c r="J106" i="4"/>
  <c r="H23" i="7" s="1"/>
  <c r="J102" i="4"/>
  <c r="J116" i="4"/>
  <c r="H33" i="7" s="1"/>
  <c r="J110" i="4"/>
  <c r="H27" i="7" s="1"/>
  <c r="Z104" i="3"/>
  <c r="J264" i="4"/>
  <c r="AE102" i="4"/>
  <c r="AJ106" i="4" s="1"/>
  <c r="AJ108" i="4" s="1"/>
  <c r="G102" i="5"/>
  <c r="G106" i="5"/>
  <c r="G124" i="5"/>
  <c r="G105" i="5"/>
  <c r="G104" i="5"/>
  <c r="G103" i="5"/>
  <c r="Z104" i="5"/>
  <c r="C218" i="5"/>
  <c r="E218" i="5" s="1" a="1"/>
  <c r="E218" i="5" s="1"/>
  <c r="H217" i="5"/>
  <c r="D141" i="5"/>
  <c r="E266" i="5"/>
  <c r="H266" i="5"/>
  <c r="D266" i="5"/>
  <c r="C267" i="5"/>
  <c r="G267" i="5" s="1" a="1"/>
  <c r="G267" i="5" s="1"/>
  <c r="D142" i="5"/>
  <c r="E142" i="5"/>
  <c r="C143" i="5"/>
  <c r="F107" i="5"/>
  <c r="C71" i="4"/>
  <c r="D70" i="4"/>
  <c r="E70" i="4" s="1"/>
  <c r="G257" i="4"/>
  <c r="E258" i="4"/>
  <c r="G258" i="4" s="1"/>
  <c r="J254" i="4" s="1"/>
  <c r="D69" i="5"/>
  <c r="E69" i="5" s="1"/>
  <c r="C70" i="5"/>
  <c r="D137" i="4"/>
  <c r="L139" i="4" s="1"/>
  <c r="L141" i="4" s="1"/>
  <c r="D138" i="4"/>
  <c r="C141" i="4"/>
  <c r="E140" i="4"/>
  <c r="D140" i="4"/>
  <c r="AE104" i="4"/>
  <c r="H218" i="4"/>
  <c r="C219" i="4"/>
  <c r="E219" i="4" s="1" a="1"/>
  <c r="E219" i="4" s="1"/>
  <c r="D137" i="5"/>
  <c r="C108" i="5"/>
  <c r="F265" i="5"/>
  <c r="J265" i="5" s="1"/>
  <c r="D138" i="5"/>
  <c r="D140" i="5"/>
  <c r="Z102" i="5"/>
  <c r="AE106" i="5" s="1"/>
  <c r="AE108" i="5" s="1"/>
  <c r="H265" i="4"/>
  <c r="C266" i="4"/>
  <c r="G266" i="4" s="1" a="1"/>
  <c r="G266" i="4" s="1"/>
  <c r="E265" i="4"/>
  <c r="D265" i="4"/>
  <c r="D107" i="5"/>
  <c r="D265" i="3"/>
  <c r="H265" i="3"/>
  <c r="C266" i="3"/>
  <c r="G265" i="3"/>
  <c r="E265" i="3"/>
  <c r="C221" i="3"/>
  <c r="E220" i="3"/>
  <c r="H220" i="3" s="1"/>
  <c r="C70" i="3"/>
  <c r="D69" i="3"/>
  <c r="E69" i="3" s="1"/>
  <c r="X102" i="3"/>
  <c r="Z102" i="3" s="1"/>
  <c r="AE106" i="3" s="1"/>
  <c r="AE108" i="3" s="1"/>
  <c r="L139" i="3"/>
  <c r="L141" i="3" s="1"/>
  <c r="H262" i="3"/>
  <c r="H263" i="3"/>
  <c r="J263" i="3" s="1"/>
  <c r="D145" i="3"/>
  <c r="C146" i="3"/>
  <c r="C71" i="2"/>
  <c r="D70" i="2"/>
  <c r="E70" i="2" s="1"/>
  <c r="F264" i="3"/>
  <c r="J264" i="3" s="1"/>
  <c r="F265" i="2"/>
  <c r="J265" i="2" s="1"/>
  <c r="D267" i="2"/>
  <c r="E267" i="2"/>
  <c r="C268" i="2"/>
  <c r="H264" i="3"/>
  <c r="F266" i="2"/>
  <c r="J266" i="2" s="1"/>
  <c r="H105" i="7" l="1"/>
  <c r="T21" i="7"/>
  <c r="T20" i="7"/>
  <c r="H104" i="7"/>
  <c r="H57" i="7"/>
  <c r="O57" i="7" s="1"/>
  <c r="P57" i="7" s="1"/>
  <c r="Q57" i="7" s="1"/>
  <c r="R57" i="7" s="1"/>
  <c r="H59" i="7"/>
  <c r="O59" i="7" s="1"/>
  <c r="P59" i="7" s="1"/>
  <c r="Q59" i="7" s="1"/>
  <c r="R59" i="7" s="1"/>
  <c r="H61" i="7"/>
  <c r="H63" i="7"/>
  <c r="H65" i="7"/>
  <c r="H67" i="7"/>
  <c r="H69" i="7"/>
  <c r="H71" i="7"/>
  <c r="H73" i="7"/>
  <c r="H58" i="7"/>
  <c r="O58" i="7" s="1"/>
  <c r="P58" i="7" s="1"/>
  <c r="Q58" i="7" s="1"/>
  <c r="R58" i="7" s="1"/>
  <c r="H60" i="7"/>
  <c r="H62" i="7"/>
  <c r="H64" i="7"/>
  <c r="H66" i="7"/>
  <c r="H68" i="7"/>
  <c r="H70" i="7"/>
  <c r="H72" i="7"/>
  <c r="H74" i="7"/>
  <c r="X110" i="3"/>
  <c r="K64" i="7"/>
  <c r="X107" i="5"/>
  <c r="G61" i="7"/>
  <c r="V106" i="5"/>
  <c r="Z106" i="5" s="1"/>
  <c r="F60" i="7"/>
  <c r="AF106" i="3"/>
  <c r="V106" i="3"/>
  <c r="Z106" i="3" s="1"/>
  <c r="J60" i="7"/>
  <c r="AC105" i="4"/>
  <c r="AE105" i="4" s="1"/>
  <c r="G22" i="7"/>
  <c r="O22" i="7" s="1"/>
  <c r="P22" i="7" s="1"/>
  <c r="Q22" i="7" s="1"/>
  <c r="R22" i="7" s="1"/>
  <c r="AA107" i="4"/>
  <c r="F24" i="7"/>
  <c r="V107" i="2"/>
  <c r="Z107" i="2" s="1"/>
  <c r="J24" i="7"/>
  <c r="F265" i="4"/>
  <c r="G107" i="5"/>
  <c r="F266" i="5"/>
  <c r="J266" i="5" s="1"/>
  <c r="C72" i="4"/>
  <c r="E71" i="4"/>
  <c r="D71" i="4"/>
  <c r="J265" i="4"/>
  <c r="C109" i="5"/>
  <c r="E108" i="5"/>
  <c r="F108" i="5"/>
  <c r="D108" i="5"/>
  <c r="E141" i="4"/>
  <c r="C142" i="4"/>
  <c r="D141" i="4"/>
  <c r="C220" i="4"/>
  <c r="E220" i="4" s="1" a="1"/>
  <c r="E220" i="4" s="1"/>
  <c r="H219" i="4"/>
  <c r="H267" i="5"/>
  <c r="E267" i="5"/>
  <c r="D267" i="5"/>
  <c r="F267" i="5" s="1"/>
  <c r="C268" i="5"/>
  <c r="G268" i="5" s="1" a="1"/>
  <c r="G268" i="5" s="1"/>
  <c r="L139" i="5"/>
  <c r="L141" i="5" s="1"/>
  <c r="AF106" i="5"/>
  <c r="AF108" i="5" s="1"/>
  <c r="D266" i="4"/>
  <c r="H266" i="4"/>
  <c r="E266" i="4"/>
  <c r="C267" i="4"/>
  <c r="G267" i="4" s="1" a="1"/>
  <c r="G267" i="4" s="1"/>
  <c r="H218" i="5"/>
  <c r="C219" i="5"/>
  <c r="E219" i="5" s="1" a="1"/>
  <c r="E219" i="5" s="1"/>
  <c r="C71" i="5"/>
  <c r="D70" i="5"/>
  <c r="E70" i="5" s="1"/>
  <c r="C144" i="5"/>
  <c r="D143" i="5"/>
  <c r="E143" i="5"/>
  <c r="E221" i="3"/>
  <c r="H221" i="3" s="1"/>
  <c r="C222" i="3"/>
  <c r="E268" i="2"/>
  <c r="C269" i="2"/>
  <c r="D268" i="2"/>
  <c r="F268" i="2" s="1"/>
  <c r="J268" i="2" s="1"/>
  <c r="C147" i="3"/>
  <c r="D146" i="3"/>
  <c r="D70" i="3"/>
  <c r="E70" i="3" s="1"/>
  <c r="C71" i="3"/>
  <c r="F267" i="2"/>
  <c r="J267" i="2" s="1"/>
  <c r="P264" i="3"/>
  <c r="P266" i="3" s="1"/>
  <c r="J262" i="3"/>
  <c r="R264" i="3" s="1"/>
  <c r="R266" i="3" s="1"/>
  <c r="H266" i="3"/>
  <c r="C267" i="3"/>
  <c r="G266" i="3"/>
  <c r="E266" i="3"/>
  <c r="D266" i="3"/>
  <c r="F266" i="3" s="1"/>
  <c r="C72" i="2"/>
  <c r="D71" i="2"/>
  <c r="E71" i="2" s="1"/>
  <c r="F265" i="3"/>
  <c r="J265" i="3" s="1"/>
  <c r="J106" i="7" l="1"/>
  <c r="T59" i="7"/>
  <c r="T58" i="7"/>
  <c r="J105" i="7"/>
  <c r="V108" i="2"/>
  <c r="Z108" i="2" s="1"/>
  <c r="J25" i="7"/>
  <c r="T22" i="7"/>
  <c r="H106" i="7"/>
  <c r="V107" i="5"/>
  <c r="Z107" i="5" s="1"/>
  <c r="F61" i="7"/>
  <c r="T57" i="7"/>
  <c r="J104" i="7"/>
  <c r="AA108" i="4"/>
  <c r="F25" i="7"/>
  <c r="AC106" i="4"/>
  <c r="AE106" i="4" s="1"/>
  <c r="G23" i="7"/>
  <c r="O23" i="7" s="1"/>
  <c r="P23" i="7" s="1"/>
  <c r="Q23" i="7" s="1"/>
  <c r="R23" i="7" s="1"/>
  <c r="O60" i="7"/>
  <c r="P60" i="7" s="1"/>
  <c r="Q60" i="7" s="1"/>
  <c r="R60" i="7" s="1"/>
  <c r="V107" i="3"/>
  <c r="Z107" i="3" s="1"/>
  <c r="J61" i="7"/>
  <c r="X108" i="5"/>
  <c r="G62" i="7"/>
  <c r="X111" i="3"/>
  <c r="K65" i="7"/>
  <c r="F266" i="4"/>
  <c r="G108" i="5"/>
  <c r="C221" i="4"/>
  <c r="E221" i="4" s="1" a="1"/>
  <c r="E221" i="4" s="1"/>
  <c r="H220" i="4"/>
  <c r="C72" i="5"/>
  <c r="D71" i="5"/>
  <c r="E71" i="5" s="1"/>
  <c r="J266" i="4"/>
  <c r="H219" i="5"/>
  <c r="C220" i="5"/>
  <c r="E220" i="5" s="1" a="1"/>
  <c r="E220" i="5" s="1"/>
  <c r="C269" i="5"/>
  <c r="G269" i="5" s="1" a="1"/>
  <c r="G269" i="5" s="1"/>
  <c r="H268" i="5"/>
  <c r="E268" i="5"/>
  <c r="D268" i="5"/>
  <c r="F268" i="5" s="1"/>
  <c r="C143" i="4"/>
  <c r="E142" i="4"/>
  <c r="D142" i="4"/>
  <c r="C110" i="5"/>
  <c r="E109" i="5"/>
  <c r="F109" i="5"/>
  <c r="D109" i="5"/>
  <c r="E267" i="4"/>
  <c r="C268" i="4"/>
  <c r="G268" i="4" s="1" a="1"/>
  <c r="G268" i="4" s="1"/>
  <c r="H267" i="4"/>
  <c r="D267" i="4"/>
  <c r="J267" i="5"/>
  <c r="C145" i="5"/>
  <c r="E144" i="5"/>
  <c r="D144" i="5"/>
  <c r="C73" i="4"/>
  <c r="D72" i="4"/>
  <c r="E72" i="4" s="1"/>
  <c r="D267" i="3"/>
  <c r="C268" i="3"/>
  <c r="H267" i="3"/>
  <c r="G267" i="3"/>
  <c r="E267" i="3"/>
  <c r="E269" i="2"/>
  <c r="D269" i="2"/>
  <c r="F269" i="2" s="1"/>
  <c r="J269" i="2" s="1"/>
  <c r="C270" i="2"/>
  <c r="C148" i="3"/>
  <c r="D147" i="3"/>
  <c r="D72" i="2"/>
  <c r="E72" i="2" s="1"/>
  <c r="C73" i="2"/>
  <c r="J266" i="3"/>
  <c r="C223" i="3"/>
  <c r="E222" i="3"/>
  <c r="H222" i="3" s="1"/>
  <c r="C72" i="3"/>
  <c r="D71" i="3"/>
  <c r="E71" i="3" s="1"/>
  <c r="V108" i="5" l="1"/>
  <c r="Z108" i="5" s="1"/>
  <c r="F62" i="7"/>
  <c r="X112" i="3"/>
  <c r="K66" i="7"/>
  <c r="V108" i="3"/>
  <c r="Z108" i="3" s="1"/>
  <c r="J62" i="7"/>
  <c r="AC107" i="4"/>
  <c r="AE107" i="4" s="1"/>
  <c r="G24" i="7"/>
  <c r="O24" i="7" s="1"/>
  <c r="P24" i="7" s="1"/>
  <c r="Q24" i="7" s="1"/>
  <c r="R24" i="7" s="1"/>
  <c r="AA109" i="4"/>
  <c r="F26" i="7"/>
  <c r="X109" i="5"/>
  <c r="G63" i="7"/>
  <c r="J107" i="7"/>
  <c r="T60" i="7"/>
  <c r="O61" i="7"/>
  <c r="P61" i="7" s="1"/>
  <c r="Q61" i="7" s="1"/>
  <c r="R61" i="7" s="1"/>
  <c r="V109" i="2"/>
  <c r="Z109" i="2" s="1"/>
  <c r="J26" i="7"/>
  <c r="T23" i="7"/>
  <c r="H107" i="7"/>
  <c r="G109" i="5"/>
  <c r="C221" i="5"/>
  <c r="E221" i="5" s="1" a="1"/>
  <c r="E221" i="5" s="1"/>
  <c r="H220" i="5"/>
  <c r="C111" i="5"/>
  <c r="E110" i="5"/>
  <c r="D110" i="5"/>
  <c r="F110" i="5"/>
  <c r="C146" i="5"/>
  <c r="D145" i="5"/>
  <c r="E145" i="5"/>
  <c r="C144" i="4"/>
  <c r="D143" i="4"/>
  <c r="E143" i="4"/>
  <c r="J268" i="5"/>
  <c r="D73" i="4"/>
  <c r="E73" i="4" s="1"/>
  <c r="C74" i="4"/>
  <c r="E268" i="4"/>
  <c r="C269" i="4"/>
  <c r="G269" i="4" s="1" a="1"/>
  <c r="G269" i="4" s="1"/>
  <c r="H268" i="4"/>
  <c r="D268" i="4"/>
  <c r="F267" i="4"/>
  <c r="J267" i="4" s="1"/>
  <c r="C73" i="5"/>
  <c r="D72" i="5"/>
  <c r="E72" i="5" s="1"/>
  <c r="E269" i="5"/>
  <c r="D269" i="5"/>
  <c r="C270" i="5"/>
  <c r="G270" i="5" s="1" a="1"/>
  <c r="G270" i="5" s="1"/>
  <c r="H269" i="5"/>
  <c r="H221" i="4"/>
  <c r="C222" i="4"/>
  <c r="E222" i="4" s="1" a="1"/>
  <c r="E222" i="4" s="1"/>
  <c r="E270" i="2"/>
  <c r="D270" i="2"/>
  <c r="F270" i="2" s="1"/>
  <c r="J270" i="2" s="1"/>
  <c r="C271" i="2"/>
  <c r="E223" i="3"/>
  <c r="H223" i="3" s="1"/>
  <c r="C224" i="3"/>
  <c r="C74" i="2"/>
  <c r="D73" i="2"/>
  <c r="E73" i="2" s="1"/>
  <c r="E268" i="3"/>
  <c r="D268" i="3"/>
  <c r="C269" i="3"/>
  <c r="H268" i="3"/>
  <c r="G268" i="3"/>
  <c r="C73" i="3"/>
  <c r="D72" i="3"/>
  <c r="E72" i="3" s="1"/>
  <c r="C149" i="3"/>
  <c r="D148" i="3"/>
  <c r="F267" i="3"/>
  <c r="J267" i="3" s="1"/>
  <c r="T61" i="7" l="1"/>
  <c r="J108" i="7"/>
  <c r="X110" i="5"/>
  <c r="G64" i="7"/>
  <c r="V110" i="2"/>
  <c r="Z110" i="2" s="1"/>
  <c r="J27" i="7"/>
  <c r="V109" i="5"/>
  <c r="Z109" i="5" s="1"/>
  <c r="F63" i="7"/>
  <c r="AA110" i="4"/>
  <c r="F27" i="7"/>
  <c r="O62" i="7"/>
  <c r="P62" i="7" s="1"/>
  <c r="Q62" i="7" s="1"/>
  <c r="R62" i="7" s="1"/>
  <c r="F268" i="3"/>
  <c r="J268" i="3" s="1"/>
  <c r="V109" i="3"/>
  <c r="Z109" i="3" s="1"/>
  <c r="J63" i="7"/>
  <c r="X113" i="3"/>
  <c r="K67" i="7"/>
  <c r="AC108" i="4"/>
  <c r="AE108" i="4" s="1"/>
  <c r="G25" i="7"/>
  <c r="O25" i="7" s="1"/>
  <c r="P25" i="7" s="1"/>
  <c r="Q25" i="7" s="1"/>
  <c r="R25" i="7" s="1"/>
  <c r="T24" i="7"/>
  <c r="H108" i="7"/>
  <c r="G110" i="5"/>
  <c r="F269" i="5"/>
  <c r="J269" i="5" s="1"/>
  <c r="E269" i="4"/>
  <c r="D269" i="4"/>
  <c r="C270" i="4"/>
  <c r="G270" i="4" s="1" a="1"/>
  <c r="G270" i="4" s="1"/>
  <c r="H269" i="4"/>
  <c r="E144" i="4"/>
  <c r="D144" i="4"/>
  <c r="C145" i="4"/>
  <c r="H222" i="4"/>
  <c r="C223" i="4"/>
  <c r="E223" i="4" s="1" a="1"/>
  <c r="E223" i="4" s="1"/>
  <c r="C75" i="4"/>
  <c r="D74" i="4"/>
  <c r="E74" i="4" s="1"/>
  <c r="C112" i="5"/>
  <c r="F111" i="5"/>
  <c r="E111" i="5"/>
  <c r="D111" i="5"/>
  <c r="D73" i="5"/>
  <c r="E73" i="5" s="1"/>
  <c r="C74" i="5"/>
  <c r="E146" i="5"/>
  <c r="C147" i="5"/>
  <c r="D146" i="5"/>
  <c r="C222" i="5"/>
  <c r="E222" i="5" s="1" a="1"/>
  <c r="E222" i="5" s="1"/>
  <c r="H221" i="5"/>
  <c r="E270" i="5"/>
  <c r="C271" i="5"/>
  <c r="G271" i="5" s="1" a="1"/>
  <c r="G271" i="5" s="1"/>
  <c r="D270" i="5"/>
  <c r="H270" i="5"/>
  <c r="F268" i="4"/>
  <c r="J268" i="4" s="1"/>
  <c r="C75" i="2"/>
  <c r="D74" i="2"/>
  <c r="E74" i="2" s="1"/>
  <c r="C225" i="3"/>
  <c r="E224" i="3"/>
  <c r="H224" i="3" s="1"/>
  <c r="E271" i="2"/>
  <c r="D271" i="2"/>
  <c r="F271" i="2" s="1"/>
  <c r="J271" i="2" s="1"/>
  <c r="C272" i="2"/>
  <c r="C74" i="3"/>
  <c r="D73" i="3"/>
  <c r="E73" i="3" s="1"/>
  <c r="E269" i="3"/>
  <c r="D269" i="3"/>
  <c r="C270" i="3"/>
  <c r="H269" i="3"/>
  <c r="G269" i="3"/>
  <c r="D149" i="3"/>
  <c r="C150" i="3"/>
  <c r="O63" i="7" l="1"/>
  <c r="P63" i="7" s="1"/>
  <c r="Q63" i="7" s="1"/>
  <c r="R63" i="7" s="1"/>
  <c r="V110" i="5"/>
  <c r="Z110" i="5" s="1"/>
  <c r="F64" i="7"/>
  <c r="O64" i="7" s="1"/>
  <c r="P64" i="7" s="1"/>
  <c r="Q64" i="7" s="1"/>
  <c r="R64" i="7" s="1"/>
  <c r="T62" i="7"/>
  <c r="J109" i="7"/>
  <c r="V111" i="2"/>
  <c r="Z111" i="2" s="1"/>
  <c r="J28" i="7"/>
  <c r="F269" i="3"/>
  <c r="J269" i="3" s="1"/>
  <c r="V110" i="3"/>
  <c r="Z110" i="3" s="1"/>
  <c r="J64" i="7"/>
  <c r="AC109" i="4"/>
  <c r="AE109" i="4" s="1"/>
  <c r="G26" i="7"/>
  <c r="O26" i="7" s="1"/>
  <c r="P26" i="7" s="1"/>
  <c r="Q26" i="7" s="1"/>
  <c r="R26" i="7" s="1"/>
  <c r="T25" i="7"/>
  <c r="H109" i="7"/>
  <c r="X114" i="3"/>
  <c r="K68" i="7"/>
  <c r="AA111" i="4"/>
  <c r="F28" i="7"/>
  <c r="X111" i="5"/>
  <c r="G65" i="7"/>
  <c r="F269" i="4"/>
  <c r="J269" i="4" s="1"/>
  <c r="G111" i="5"/>
  <c r="E270" i="4"/>
  <c r="H270" i="4"/>
  <c r="D270" i="4"/>
  <c r="C271" i="4"/>
  <c r="G271" i="4" s="1" a="1"/>
  <c r="G271" i="4" s="1"/>
  <c r="C76" i="4"/>
  <c r="D75" i="4"/>
  <c r="E75" i="4" s="1"/>
  <c r="H222" i="5"/>
  <c r="C223" i="5"/>
  <c r="E223" i="5" s="1" a="1"/>
  <c r="E223" i="5" s="1"/>
  <c r="H223" i="4"/>
  <c r="C224" i="4"/>
  <c r="E224" i="4" s="1" a="1"/>
  <c r="E224" i="4" s="1"/>
  <c r="E145" i="4"/>
  <c r="C146" i="4"/>
  <c r="D145" i="4"/>
  <c r="C272" i="5"/>
  <c r="G272" i="5" s="1" a="1"/>
  <c r="G272" i="5" s="1"/>
  <c r="D271" i="5"/>
  <c r="E271" i="5"/>
  <c r="H271" i="5"/>
  <c r="C113" i="5"/>
  <c r="E112" i="5"/>
  <c r="F112" i="5"/>
  <c r="D112" i="5"/>
  <c r="E147" i="5"/>
  <c r="D147" i="5"/>
  <c r="C148" i="5"/>
  <c r="F270" i="5"/>
  <c r="J270" i="5" s="1"/>
  <c r="D74" i="5"/>
  <c r="E74" i="5" s="1"/>
  <c r="C75" i="5"/>
  <c r="E272" i="2"/>
  <c r="D272" i="2"/>
  <c r="F272" i="2" s="1"/>
  <c r="J272" i="2" s="1"/>
  <c r="C273" i="2"/>
  <c r="G270" i="3"/>
  <c r="E270" i="3"/>
  <c r="D270" i="3"/>
  <c r="F270" i="3" s="1"/>
  <c r="C271" i="3"/>
  <c r="H270" i="3"/>
  <c r="E225" i="3"/>
  <c r="H225" i="3" s="1"/>
  <c r="C226" i="3"/>
  <c r="C151" i="3"/>
  <c r="D150" i="3"/>
  <c r="C75" i="3"/>
  <c r="D74" i="3"/>
  <c r="E74" i="3" s="1"/>
  <c r="D75" i="2"/>
  <c r="E75" i="2"/>
  <c r="C76" i="2"/>
  <c r="AA112" i="4" l="1"/>
  <c r="F29" i="7"/>
  <c r="T26" i="7"/>
  <c r="H110" i="7"/>
  <c r="X112" i="5"/>
  <c r="G66" i="7"/>
  <c r="V112" i="2"/>
  <c r="Z112" i="2" s="1"/>
  <c r="J29" i="7"/>
  <c r="AC110" i="4"/>
  <c r="AE110" i="4" s="1"/>
  <c r="G27" i="7"/>
  <c r="O27" i="7" s="1"/>
  <c r="P27" i="7" s="1"/>
  <c r="Q27" i="7" s="1"/>
  <c r="R27" i="7" s="1"/>
  <c r="V111" i="3"/>
  <c r="Z111" i="3" s="1"/>
  <c r="J65" i="7"/>
  <c r="V111" i="5"/>
  <c r="Z111" i="5" s="1"/>
  <c r="F65" i="7"/>
  <c r="O65" i="7" s="1"/>
  <c r="P65" i="7" s="1"/>
  <c r="Q65" i="7" s="1"/>
  <c r="R65" i="7" s="1"/>
  <c r="J111" i="7"/>
  <c r="T64" i="7"/>
  <c r="X115" i="3"/>
  <c r="K69" i="7"/>
  <c r="T63" i="7"/>
  <c r="J110" i="7"/>
  <c r="G112" i="5"/>
  <c r="E271" i="4"/>
  <c r="C272" i="4"/>
  <c r="G272" i="4" s="1" a="1"/>
  <c r="G272" i="4" s="1"/>
  <c r="H271" i="4"/>
  <c r="D271" i="4"/>
  <c r="F270" i="4"/>
  <c r="J270" i="4" s="1"/>
  <c r="C76" i="5"/>
  <c r="D75" i="5"/>
  <c r="E75" i="5" s="1"/>
  <c r="F271" i="5"/>
  <c r="J271" i="5" s="1"/>
  <c r="C114" i="5"/>
  <c r="E113" i="5"/>
  <c r="D113" i="5"/>
  <c r="F113" i="5"/>
  <c r="C225" i="4"/>
  <c r="E225" i="4" s="1" a="1"/>
  <c r="E225" i="4" s="1"/>
  <c r="H224" i="4"/>
  <c r="C77" i="4"/>
  <c r="D76" i="4"/>
  <c r="E76" i="4" s="1"/>
  <c r="C273" i="5"/>
  <c r="G273" i="5" s="1" a="1"/>
  <c r="G273" i="5" s="1"/>
  <c r="D272" i="5"/>
  <c r="E272" i="5"/>
  <c r="H272" i="5"/>
  <c r="H223" i="5"/>
  <c r="C224" i="5"/>
  <c r="E224" i="5" s="1" a="1"/>
  <c r="E224" i="5" s="1"/>
  <c r="E148" i="5"/>
  <c r="D148" i="5"/>
  <c r="C149" i="5"/>
  <c r="C147" i="4"/>
  <c r="E146" i="4"/>
  <c r="D146" i="4"/>
  <c r="H271" i="3"/>
  <c r="G271" i="3"/>
  <c r="E271" i="3"/>
  <c r="D271" i="3"/>
  <c r="C272" i="3"/>
  <c r="D75" i="3"/>
  <c r="E75" i="3" s="1"/>
  <c r="C76" i="3"/>
  <c r="J270" i="3"/>
  <c r="C152" i="3"/>
  <c r="D151" i="3"/>
  <c r="D76" i="2"/>
  <c r="C77" i="2"/>
  <c r="E76" i="2"/>
  <c r="C227" i="3"/>
  <c r="E226" i="3"/>
  <c r="H226" i="3" s="1"/>
  <c r="E273" i="2"/>
  <c r="D273" i="2"/>
  <c r="F273" i="2" s="1"/>
  <c r="J273" i="2" s="1"/>
  <c r="C274" i="2"/>
  <c r="X116" i="3" l="1"/>
  <c r="K70" i="7"/>
  <c r="V112" i="3"/>
  <c r="Z112" i="3" s="1"/>
  <c r="J66" i="7"/>
  <c r="V113" i="2"/>
  <c r="Z113" i="2" s="1"/>
  <c r="J30" i="7"/>
  <c r="T65" i="7"/>
  <c r="J112" i="7"/>
  <c r="F271" i="3"/>
  <c r="J271" i="3" s="1"/>
  <c r="AA113" i="4"/>
  <c r="F30" i="7"/>
  <c r="X113" i="5"/>
  <c r="G67" i="7"/>
  <c r="V112" i="5"/>
  <c r="Z112" i="5" s="1"/>
  <c r="F66" i="7"/>
  <c r="O66" i="7" s="1"/>
  <c r="P66" i="7" s="1"/>
  <c r="Q66" i="7" s="1"/>
  <c r="R66" i="7" s="1"/>
  <c r="T27" i="7"/>
  <c r="H111" i="7"/>
  <c r="AC111" i="4"/>
  <c r="AE111" i="4" s="1"/>
  <c r="G28" i="7"/>
  <c r="O28" i="7" s="1"/>
  <c r="P28" i="7" s="1"/>
  <c r="Q28" i="7" s="1"/>
  <c r="R28" i="7" s="1"/>
  <c r="F271" i="4"/>
  <c r="J271" i="4" s="1"/>
  <c r="G113" i="5"/>
  <c r="C150" i="5"/>
  <c r="D149" i="5"/>
  <c r="E149" i="5"/>
  <c r="F272" i="5"/>
  <c r="J272" i="5" s="1"/>
  <c r="H273" i="5"/>
  <c r="E273" i="5"/>
  <c r="D273" i="5"/>
  <c r="F273" i="5" s="1"/>
  <c r="C274" i="5"/>
  <c r="G274" i="5" s="1" a="1"/>
  <c r="G274" i="5" s="1"/>
  <c r="C77" i="5"/>
  <c r="D76" i="5"/>
  <c r="E76" i="5" s="1"/>
  <c r="H224" i="5"/>
  <c r="C225" i="5"/>
  <c r="E225" i="5" s="1" a="1"/>
  <c r="E225" i="5" s="1"/>
  <c r="D77" i="4"/>
  <c r="C78" i="4"/>
  <c r="E77" i="4"/>
  <c r="C226" i="4"/>
  <c r="E226" i="4" s="1" a="1"/>
  <c r="E226" i="4" s="1"/>
  <c r="H225" i="4"/>
  <c r="C115" i="5"/>
  <c r="D114" i="5"/>
  <c r="E114" i="5"/>
  <c r="F114" i="5"/>
  <c r="E272" i="4"/>
  <c r="C273" i="4"/>
  <c r="G273" i="4" s="1" a="1"/>
  <c r="G273" i="4" s="1"/>
  <c r="H272" i="4"/>
  <c r="D272" i="4"/>
  <c r="F272" i="4" s="1"/>
  <c r="E147" i="4"/>
  <c r="D147" i="4"/>
  <c r="C148" i="4"/>
  <c r="C77" i="3"/>
  <c r="D76" i="3"/>
  <c r="E76" i="3" s="1"/>
  <c r="E227" i="3"/>
  <c r="H227" i="3" s="1"/>
  <c r="C228" i="3"/>
  <c r="D77" i="2"/>
  <c r="E77" i="2" s="1"/>
  <c r="C78" i="2"/>
  <c r="H272" i="3"/>
  <c r="G272" i="3"/>
  <c r="E272" i="3"/>
  <c r="D272" i="3"/>
  <c r="F272" i="3" s="1"/>
  <c r="C273" i="3"/>
  <c r="E274" i="2"/>
  <c r="D274" i="2"/>
  <c r="C275" i="2"/>
  <c r="C153" i="3"/>
  <c r="D152" i="3"/>
  <c r="V113" i="5" l="1"/>
  <c r="Z113" i="5" s="1"/>
  <c r="F67" i="7"/>
  <c r="O67" i="7" s="1"/>
  <c r="P67" i="7" s="1"/>
  <c r="Q67" i="7" s="1"/>
  <c r="R67" i="7" s="1"/>
  <c r="F274" i="2"/>
  <c r="J274" i="2" s="1"/>
  <c r="T66" i="7"/>
  <c r="J113" i="7"/>
  <c r="T28" i="7"/>
  <c r="H112" i="7"/>
  <c r="V113" i="3"/>
  <c r="Z113" i="3" s="1"/>
  <c r="J67" i="7"/>
  <c r="X117" i="3"/>
  <c r="K71" i="7"/>
  <c r="V114" i="2"/>
  <c r="Z114" i="2" s="1"/>
  <c r="J31" i="7"/>
  <c r="AA114" i="4"/>
  <c r="F31" i="7"/>
  <c r="AC112" i="4"/>
  <c r="AE112" i="4" s="1"/>
  <c r="G29" i="7"/>
  <c r="O29" i="7" s="1"/>
  <c r="P29" i="7" s="1"/>
  <c r="Q29" i="7" s="1"/>
  <c r="R29" i="7" s="1"/>
  <c r="X114" i="5"/>
  <c r="G68" i="7"/>
  <c r="J272" i="3"/>
  <c r="J272" i="4"/>
  <c r="G114" i="5"/>
  <c r="C79" i="4"/>
  <c r="D78" i="4"/>
  <c r="E78" i="4" s="1"/>
  <c r="H274" i="5"/>
  <c r="E274" i="5"/>
  <c r="D274" i="5"/>
  <c r="C275" i="5"/>
  <c r="G275" i="5" s="1" a="1"/>
  <c r="G275" i="5" s="1"/>
  <c r="C226" i="5"/>
  <c r="E226" i="5" s="1" a="1"/>
  <c r="E226" i="5" s="1"/>
  <c r="H225" i="5"/>
  <c r="J273" i="5"/>
  <c r="E273" i="4"/>
  <c r="D273" i="4"/>
  <c r="C274" i="4"/>
  <c r="G274" i="4" s="1" a="1"/>
  <c r="G274" i="4" s="1"/>
  <c r="H273" i="4"/>
  <c r="C116" i="5"/>
  <c r="E115" i="5"/>
  <c r="D115" i="5"/>
  <c r="F115" i="5"/>
  <c r="D148" i="4"/>
  <c r="C149" i="4"/>
  <c r="E148" i="4"/>
  <c r="H226" i="4"/>
  <c r="C227" i="4"/>
  <c r="E227" i="4" s="1" a="1"/>
  <c r="E227" i="4" s="1"/>
  <c r="D77" i="5"/>
  <c r="C78" i="5"/>
  <c r="E77" i="5"/>
  <c r="D150" i="5"/>
  <c r="E150" i="5"/>
  <c r="C151" i="5"/>
  <c r="D275" i="2"/>
  <c r="E275" i="2"/>
  <c r="C276" i="2"/>
  <c r="C79" i="2"/>
  <c r="D78" i="2"/>
  <c r="E78" i="2" s="1"/>
  <c r="C274" i="3"/>
  <c r="H273" i="3"/>
  <c r="G273" i="3"/>
  <c r="E273" i="3"/>
  <c r="D273" i="3"/>
  <c r="C229" i="3"/>
  <c r="E228" i="3"/>
  <c r="H228" i="3" s="1"/>
  <c r="D153" i="3"/>
  <c r="C154" i="3"/>
  <c r="C78" i="3"/>
  <c r="D77" i="3"/>
  <c r="E77" i="3" s="1"/>
  <c r="V114" i="3" l="1"/>
  <c r="Z114" i="3" s="1"/>
  <c r="J68" i="7"/>
  <c r="F274" i="5"/>
  <c r="J274" i="5" s="1"/>
  <c r="X118" i="3"/>
  <c r="K72" i="7"/>
  <c r="V114" i="5"/>
  <c r="Z114" i="5" s="1"/>
  <c r="F68" i="7"/>
  <c r="O68" i="7" s="1"/>
  <c r="P68" i="7" s="1"/>
  <c r="Q68" i="7" s="1"/>
  <c r="R68" i="7" s="1"/>
  <c r="F273" i="3"/>
  <c r="V115" i="2"/>
  <c r="Z115" i="2" s="1"/>
  <c r="J32" i="7"/>
  <c r="T29" i="7"/>
  <c r="H113" i="7"/>
  <c r="T67" i="7"/>
  <c r="J114" i="7"/>
  <c r="AC113" i="4"/>
  <c r="AE113" i="4" s="1"/>
  <c r="G30" i="7"/>
  <c r="O30" i="7" s="1"/>
  <c r="P30" i="7" s="1"/>
  <c r="Q30" i="7" s="1"/>
  <c r="R30" i="7" s="1"/>
  <c r="X115" i="5"/>
  <c r="G69" i="7"/>
  <c r="AA115" i="4"/>
  <c r="F32" i="7"/>
  <c r="F273" i="4"/>
  <c r="J273" i="4" s="1"/>
  <c r="G115" i="5"/>
  <c r="H275" i="5"/>
  <c r="E275" i="5"/>
  <c r="D275" i="5"/>
  <c r="C276" i="5"/>
  <c r="G276" i="5" s="1" a="1"/>
  <c r="G276" i="5" s="1"/>
  <c r="H227" i="4"/>
  <c r="C228" i="4"/>
  <c r="E228" i="4" s="1" a="1"/>
  <c r="E228" i="4" s="1"/>
  <c r="E274" i="4"/>
  <c r="H274" i="4"/>
  <c r="D274" i="4"/>
  <c r="F274" i="4" s="1"/>
  <c r="C275" i="4"/>
  <c r="G275" i="4" s="1" a="1"/>
  <c r="G275" i="4" s="1"/>
  <c r="C79" i="5"/>
  <c r="D78" i="5"/>
  <c r="E78" i="5" s="1"/>
  <c r="C152" i="5"/>
  <c r="E151" i="5"/>
  <c r="D151" i="5"/>
  <c r="C150" i="4"/>
  <c r="D149" i="4"/>
  <c r="E149" i="4"/>
  <c r="C117" i="5"/>
  <c r="F116" i="5"/>
  <c r="D116" i="5"/>
  <c r="E116" i="5"/>
  <c r="C227" i="5"/>
  <c r="E227" i="5" s="1" a="1"/>
  <c r="E227" i="5" s="1"/>
  <c r="H226" i="5"/>
  <c r="C80" i="4"/>
  <c r="D79" i="4"/>
  <c r="E79" i="4" s="1"/>
  <c r="E229" i="3"/>
  <c r="H229" i="3" s="1"/>
  <c r="C230" i="3"/>
  <c r="C80" i="2"/>
  <c r="D79" i="2"/>
  <c r="E79" i="2" s="1"/>
  <c r="J273" i="3"/>
  <c r="D276" i="2"/>
  <c r="E276" i="2"/>
  <c r="C277" i="2"/>
  <c r="D78" i="3"/>
  <c r="E78" i="3" s="1"/>
  <c r="C79" i="3"/>
  <c r="C155" i="3"/>
  <c r="D155" i="3" s="1"/>
  <c r="D154" i="3"/>
  <c r="C275" i="3"/>
  <c r="H274" i="3"/>
  <c r="G274" i="3"/>
  <c r="E274" i="3"/>
  <c r="D274" i="3"/>
  <c r="F274" i="3" s="1"/>
  <c r="F275" i="2"/>
  <c r="J275" i="2" s="1"/>
  <c r="T68" i="7" l="1"/>
  <c r="J115" i="7"/>
  <c r="X116" i="5"/>
  <c r="G70" i="7"/>
  <c r="X119" i="3"/>
  <c r="K73" i="7"/>
  <c r="V116" i="2"/>
  <c r="Z116" i="2" s="1"/>
  <c r="J33" i="7"/>
  <c r="X120" i="3"/>
  <c r="K74" i="7"/>
  <c r="V115" i="5"/>
  <c r="Z115" i="5" s="1"/>
  <c r="F69" i="7"/>
  <c r="O69" i="7" s="1"/>
  <c r="P69" i="7" s="1"/>
  <c r="Q69" i="7" s="1"/>
  <c r="R69" i="7" s="1"/>
  <c r="AA116" i="4"/>
  <c r="F33" i="7"/>
  <c r="AC114" i="4"/>
  <c r="AE114" i="4" s="1"/>
  <c r="G31" i="7"/>
  <c r="O31" i="7" s="1"/>
  <c r="P31" i="7" s="1"/>
  <c r="Q31" i="7" s="1"/>
  <c r="R31" i="7" s="1"/>
  <c r="V115" i="3"/>
  <c r="Z115" i="3" s="1"/>
  <c r="J69" i="7"/>
  <c r="T30" i="7"/>
  <c r="H114" i="7"/>
  <c r="G116" i="5"/>
  <c r="F275" i="5"/>
  <c r="J275" i="5" s="1"/>
  <c r="H227" i="5"/>
  <c r="C228" i="5"/>
  <c r="E228" i="5" s="1" a="1"/>
  <c r="E228" i="5" s="1"/>
  <c r="C80" i="5"/>
  <c r="D79" i="5"/>
  <c r="E79" i="5" s="1"/>
  <c r="C229" i="4"/>
  <c r="E229" i="4" s="1" a="1"/>
  <c r="E229" i="4" s="1"/>
  <c r="H228" i="4"/>
  <c r="C151" i="4"/>
  <c r="E150" i="4"/>
  <c r="D150" i="4"/>
  <c r="E275" i="4"/>
  <c r="D275" i="4"/>
  <c r="C276" i="4"/>
  <c r="G276" i="4" s="1" a="1"/>
  <c r="G276" i="4" s="1"/>
  <c r="H275" i="4"/>
  <c r="C277" i="5"/>
  <c r="G277" i="5" s="1" a="1"/>
  <c r="G277" i="5" s="1"/>
  <c r="H276" i="5"/>
  <c r="E276" i="5"/>
  <c r="D276" i="5"/>
  <c r="J274" i="4"/>
  <c r="C153" i="5"/>
  <c r="E152" i="5"/>
  <c r="D152" i="5"/>
  <c r="C81" i="4"/>
  <c r="D80" i="4"/>
  <c r="E80" i="4" s="1"/>
  <c r="C118" i="5"/>
  <c r="D117" i="5"/>
  <c r="F117" i="5"/>
  <c r="E117" i="5"/>
  <c r="D275" i="3"/>
  <c r="C276" i="3"/>
  <c r="H275" i="3"/>
  <c r="G275" i="3"/>
  <c r="E275" i="3"/>
  <c r="F276" i="2"/>
  <c r="J276" i="2" s="1"/>
  <c r="J274" i="3"/>
  <c r="D79" i="3"/>
  <c r="E79" i="3" s="1"/>
  <c r="C80" i="3"/>
  <c r="D80" i="2"/>
  <c r="E80" i="2" s="1"/>
  <c r="C81" i="2"/>
  <c r="C231" i="3"/>
  <c r="E230" i="3"/>
  <c r="H230" i="3" s="1"/>
  <c r="D277" i="2"/>
  <c r="F277" i="2" s="1"/>
  <c r="J277" i="2" s="1"/>
  <c r="E277" i="2"/>
  <c r="C278" i="2"/>
  <c r="V117" i="2" l="1"/>
  <c r="Z117" i="2" s="1"/>
  <c r="J34" i="7"/>
  <c r="AC115" i="4"/>
  <c r="AE115" i="4" s="1"/>
  <c r="G32" i="7"/>
  <c r="O32" i="7" s="1"/>
  <c r="P32" i="7" s="1"/>
  <c r="Q32" i="7" s="1"/>
  <c r="R32" i="7" s="1"/>
  <c r="AA117" i="4"/>
  <c r="F34" i="7"/>
  <c r="J116" i="7"/>
  <c r="T69" i="7"/>
  <c r="V116" i="5"/>
  <c r="Z116" i="5" s="1"/>
  <c r="F70" i="7"/>
  <c r="V116" i="3"/>
  <c r="Z116" i="3" s="1"/>
  <c r="J70" i="7"/>
  <c r="F275" i="4"/>
  <c r="F275" i="3"/>
  <c r="J275" i="3" s="1"/>
  <c r="X117" i="5"/>
  <c r="G71" i="7"/>
  <c r="T31" i="7"/>
  <c r="H115" i="7"/>
  <c r="G117" i="5"/>
  <c r="F276" i="5"/>
  <c r="J276" i="5"/>
  <c r="C119" i="5"/>
  <c r="E118" i="5"/>
  <c r="F118" i="5"/>
  <c r="D118" i="5"/>
  <c r="E276" i="4"/>
  <c r="D276" i="4"/>
  <c r="C277" i="4"/>
  <c r="G277" i="4" s="1" a="1"/>
  <c r="G277" i="4" s="1"/>
  <c r="H276" i="4"/>
  <c r="J275" i="4"/>
  <c r="C81" i="5"/>
  <c r="D80" i="5"/>
  <c r="E80" i="5" s="1"/>
  <c r="C82" i="4"/>
  <c r="D81" i="4"/>
  <c r="E81" i="4" s="1"/>
  <c r="C230" i="4"/>
  <c r="E230" i="4" s="1" a="1"/>
  <c r="E230" i="4" s="1"/>
  <c r="H229" i="4"/>
  <c r="C229" i="5"/>
  <c r="E229" i="5" s="1" a="1"/>
  <c r="E229" i="5" s="1"/>
  <c r="H228" i="5"/>
  <c r="E277" i="5"/>
  <c r="D277" i="5"/>
  <c r="C278" i="5"/>
  <c r="G278" i="5" s="1" a="1"/>
  <c r="G278" i="5" s="1"/>
  <c r="H277" i="5"/>
  <c r="D153" i="5"/>
  <c r="C154" i="5"/>
  <c r="E153" i="5"/>
  <c r="C152" i="4"/>
  <c r="E151" i="4"/>
  <c r="D151" i="4"/>
  <c r="C81" i="3"/>
  <c r="D80" i="3"/>
  <c r="E80" i="3" s="1"/>
  <c r="C82" i="2"/>
  <c r="D81" i="2"/>
  <c r="E81" i="2" s="1"/>
  <c r="E231" i="3"/>
  <c r="H231" i="3" s="1"/>
  <c r="C232" i="3"/>
  <c r="E232" i="3" s="1"/>
  <c r="H232" i="3" s="1"/>
  <c r="D278" i="2"/>
  <c r="E278" i="2"/>
  <c r="C279" i="2"/>
  <c r="E276" i="3"/>
  <c r="D276" i="3"/>
  <c r="F276" i="3" s="1"/>
  <c r="C277" i="3"/>
  <c r="H276" i="3"/>
  <c r="G276" i="3"/>
  <c r="V117" i="5" l="1"/>
  <c r="Z117" i="5" s="1"/>
  <c r="F71" i="7"/>
  <c r="V117" i="3"/>
  <c r="Z117" i="3" s="1"/>
  <c r="J71" i="7"/>
  <c r="X118" i="5"/>
  <c r="G72" i="7"/>
  <c r="O70" i="7"/>
  <c r="P70" i="7" s="1"/>
  <c r="Q70" i="7" s="1"/>
  <c r="R70" i="7" s="1"/>
  <c r="V118" i="2"/>
  <c r="Z118" i="2" s="1"/>
  <c r="J35" i="7"/>
  <c r="AA118" i="4"/>
  <c r="F35" i="7"/>
  <c r="T32" i="7"/>
  <c r="H116" i="7"/>
  <c r="AC116" i="4"/>
  <c r="AE116" i="4" s="1"/>
  <c r="G33" i="7"/>
  <c r="O33" i="7" s="1"/>
  <c r="P33" i="7" s="1"/>
  <c r="Q33" i="7" s="1"/>
  <c r="R33" i="7" s="1"/>
  <c r="F276" i="4"/>
  <c r="G118" i="5"/>
  <c r="F277" i="5"/>
  <c r="J277" i="5" s="1"/>
  <c r="E278" i="5"/>
  <c r="C279" i="5"/>
  <c r="G279" i="5" s="1" a="1"/>
  <c r="G279" i="5" s="1"/>
  <c r="D278" i="5"/>
  <c r="F278" i="5" s="1"/>
  <c r="H278" i="5"/>
  <c r="E277" i="4"/>
  <c r="D277" i="4"/>
  <c r="H277" i="4"/>
  <c r="C278" i="4"/>
  <c r="G278" i="4" s="1" a="1"/>
  <c r="G278" i="4" s="1"/>
  <c r="D81" i="5"/>
  <c r="E81" i="5" s="1"/>
  <c r="C82" i="5"/>
  <c r="H230" i="4"/>
  <c r="C231" i="4"/>
  <c r="E231" i="4" s="1" a="1"/>
  <c r="E231" i="4" s="1"/>
  <c r="J276" i="4"/>
  <c r="C153" i="4"/>
  <c r="E152" i="4"/>
  <c r="D152" i="4"/>
  <c r="C83" i="4"/>
  <c r="D82" i="4"/>
  <c r="E82" i="4" s="1"/>
  <c r="C120" i="5"/>
  <c r="F119" i="5"/>
  <c r="D119" i="5"/>
  <c r="E119" i="5"/>
  <c r="C155" i="5"/>
  <c r="E154" i="5"/>
  <c r="D154" i="5"/>
  <c r="C230" i="5"/>
  <c r="E230" i="5" s="1" a="1"/>
  <c r="E230" i="5" s="1"/>
  <c r="H229" i="5"/>
  <c r="E277" i="3"/>
  <c r="D277" i="3"/>
  <c r="C278" i="3"/>
  <c r="H277" i="3"/>
  <c r="G277" i="3"/>
  <c r="C83" i="2"/>
  <c r="D82" i="2"/>
  <c r="E82" i="2" s="1"/>
  <c r="J276" i="3"/>
  <c r="E279" i="2"/>
  <c r="C280" i="2"/>
  <c r="D279" i="2"/>
  <c r="F278" i="2"/>
  <c r="J278" i="2" s="1"/>
  <c r="C82" i="3"/>
  <c r="D81" i="3"/>
  <c r="E81" i="3" s="1"/>
  <c r="V118" i="3" l="1"/>
  <c r="Z118" i="3" s="1"/>
  <c r="J72" i="7"/>
  <c r="V119" i="2"/>
  <c r="Z119" i="2" s="1"/>
  <c r="J36" i="7"/>
  <c r="T33" i="7"/>
  <c r="H117" i="7"/>
  <c r="J117" i="7"/>
  <c r="T70" i="7"/>
  <c r="AA119" i="4"/>
  <c r="F36" i="7"/>
  <c r="X119" i="5"/>
  <c r="G73" i="7"/>
  <c r="V118" i="5"/>
  <c r="Z118" i="5" s="1"/>
  <c r="F72" i="7"/>
  <c r="O72" i="7" s="1"/>
  <c r="P72" i="7" s="1"/>
  <c r="Q72" i="7" s="1"/>
  <c r="R72" i="7" s="1"/>
  <c r="F279" i="2"/>
  <c r="J279" i="2" s="1"/>
  <c r="AC117" i="4"/>
  <c r="AE117" i="4" s="1"/>
  <c r="G34" i="7"/>
  <c r="O34" i="7" s="1"/>
  <c r="P34" i="7" s="1"/>
  <c r="Q34" i="7" s="1"/>
  <c r="R34" i="7" s="1"/>
  <c r="O71" i="7"/>
  <c r="P71" i="7" s="1"/>
  <c r="Q71" i="7" s="1"/>
  <c r="R71" i="7" s="1"/>
  <c r="G119" i="5"/>
  <c r="E155" i="5"/>
  <c r="D155" i="5"/>
  <c r="C232" i="4"/>
  <c r="H231" i="4"/>
  <c r="D83" i="4"/>
  <c r="E83" i="4" s="1"/>
  <c r="J278" i="5"/>
  <c r="C231" i="5"/>
  <c r="E231" i="5" s="1" a="1"/>
  <c r="E231" i="5" s="1"/>
  <c r="H230" i="5"/>
  <c r="E278" i="4"/>
  <c r="D278" i="4"/>
  <c r="C279" i="4"/>
  <c r="G279" i="4" s="1" a="1"/>
  <c r="G279" i="4" s="1"/>
  <c r="H278" i="4"/>
  <c r="C280" i="5"/>
  <c r="G280" i="5" s="1" a="1"/>
  <c r="G280" i="5" s="1"/>
  <c r="D279" i="5"/>
  <c r="E279" i="5"/>
  <c r="H279" i="5"/>
  <c r="D82" i="5"/>
  <c r="E82" i="5" s="1"/>
  <c r="C83" i="5"/>
  <c r="E153" i="4"/>
  <c r="C154" i="4"/>
  <c r="D153" i="4"/>
  <c r="F120" i="5"/>
  <c r="E120" i="5"/>
  <c r="D120" i="5"/>
  <c r="G120" i="5" s="1"/>
  <c r="F277" i="4"/>
  <c r="J277" i="4" s="1"/>
  <c r="G278" i="3"/>
  <c r="E278" i="3"/>
  <c r="D278" i="3"/>
  <c r="F278" i="3" s="1"/>
  <c r="C279" i="3"/>
  <c r="H278" i="3"/>
  <c r="F277" i="3"/>
  <c r="J277" i="3" s="1"/>
  <c r="D83" i="2"/>
  <c r="E83" i="2"/>
  <c r="D82" i="3"/>
  <c r="E82" i="3" s="1"/>
  <c r="C83" i="3"/>
  <c r="E280" i="2"/>
  <c r="D280" i="2"/>
  <c r="F280" i="2" s="1"/>
  <c r="J280" i="2" s="1"/>
  <c r="AA120" i="4" l="1"/>
  <c r="F37" i="7"/>
  <c r="V119" i="5"/>
  <c r="Z119" i="5" s="1"/>
  <c r="F73" i="7"/>
  <c r="O73" i="7" s="1"/>
  <c r="P73" i="7" s="1"/>
  <c r="Q73" i="7" s="1"/>
  <c r="R73" i="7" s="1"/>
  <c r="V119" i="3"/>
  <c r="Z119" i="3" s="1"/>
  <c r="J73" i="7"/>
  <c r="F278" i="4"/>
  <c r="H232" i="4"/>
  <c r="E232" i="4" a="1"/>
  <c r="E232" i="4" s="1"/>
  <c r="AC118" i="4"/>
  <c r="AE118" i="4" s="1"/>
  <c r="G35" i="7"/>
  <c r="O35" i="7" s="1"/>
  <c r="P35" i="7" s="1"/>
  <c r="Q35" i="7" s="1"/>
  <c r="R35" i="7" s="1"/>
  <c r="V120" i="2"/>
  <c r="Z120" i="2" s="1"/>
  <c r="J37" i="7"/>
  <c r="J119" i="7"/>
  <c r="T72" i="7"/>
  <c r="X120" i="5"/>
  <c r="G74" i="7"/>
  <c r="J118" i="7"/>
  <c r="T71" i="7"/>
  <c r="T34" i="7"/>
  <c r="H118" i="7"/>
  <c r="F279" i="5"/>
  <c r="J279" i="5" s="1"/>
  <c r="H231" i="5"/>
  <c r="C232" i="5"/>
  <c r="D83" i="5"/>
  <c r="E83" i="5" s="1"/>
  <c r="H280" i="5"/>
  <c r="E280" i="5"/>
  <c r="D280" i="5"/>
  <c r="J278" i="4"/>
  <c r="E279" i="4"/>
  <c r="D279" i="4"/>
  <c r="C280" i="4"/>
  <c r="G280" i="4" s="1" a="1"/>
  <c r="G280" i="4" s="1"/>
  <c r="H279" i="4"/>
  <c r="C155" i="4"/>
  <c r="E154" i="4"/>
  <c r="D154" i="4"/>
  <c r="H279" i="3"/>
  <c r="G279" i="3"/>
  <c r="E279" i="3"/>
  <c r="D279" i="3"/>
  <c r="C280" i="3"/>
  <c r="D83" i="3"/>
  <c r="E83" i="3" s="1"/>
  <c r="J278" i="3"/>
  <c r="F279" i="4" l="1"/>
  <c r="J120" i="7"/>
  <c r="T73" i="7"/>
  <c r="V120" i="3"/>
  <c r="Z120" i="3" s="1"/>
  <c r="J74" i="7"/>
  <c r="T35" i="7"/>
  <c r="H119" i="7"/>
  <c r="AC119" i="4"/>
  <c r="AE119" i="4" s="1"/>
  <c r="G36" i="7"/>
  <c r="O36" i="7" s="1"/>
  <c r="P36" i="7" s="1"/>
  <c r="Q36" i="7" s="1"/>
  <c r="R36" i="7" s="1"/>
  <c r="V120" i="5"/>
  <c r="Z120" i="5" s="1"/>
  <c r="F74" i="7"/>
  <c r="O74" i="7" s="1"/>
  <c r="P74" i="7" s="1"/>
  <c r="Q74" i="7" s="1"/>
  <c r="R74" i="7" s="1"/>
  <c r="F279" i="3"/>
  <c r="J279" i="3" s="1"/>
  <c r="E232" i="5" a="1"/>
  <c r="E232" i="5" s="1"/>
  <c r="H232" i="5" s="1"/>
  <c r="F280" i="5"/>
  <c r="J280" i="5" s="1"/>
  <c r="J279" i="4"/>
  <c r="D155" i="4"/>
  <c r="E155" i="4"/>
  <c r="E280" i="4"/>
  <c r="D280" i="4"/>
  <c r="F280" i="4" s="1"/>
  <c r="H280" i="4"/>
  <c r="H280" i="3"/>
  <c r="G280" i="3"/>
  <c r="E280" i="3"/>
  <c r="D280" i="3"/>
  <c r="AC120" i="4" l="1"/>
  <c r="AE120" i="4" s="1"/>
  <c r="G37" i="7"/>
  <c r="O37" i="7" s="1"/>
  <c r="P37" i="7" s="1"/>
  <c r="Q37" i="7" s="1"/>
  <c r="R37" i="7" s="1"/>
  <c r="T36" i="7"/>
  <c r="H120" i="7"/>
  <c r="T74" i="7"/>
  <c r="J121" i="7"/>
  <c r="J280" i="4"/>
  <c r="F280" i="3"/>
  <c r="J280" i="3" s="1"/>
  <c r="N104" i="5"/>
  <c r="N106" i="5" s="1"/>
  <c r="AG106" i="5"/>
  <c r="O104" i="5"/>
  <c r="O106" i="5" s="1"/>
  <c r="R104" i="4"/>
  <c r="R106" i="4" s="1"/>
  <c r="AK106" i="4"/>
  <c r="S104" i="4"/>
  <c r="S106" i="4" s="1"/>
  <c r="T104" i="6"/>
  <c r="AO106" i="6" s="1"/>
  <c r="U104" i="6"/>
  <c r="U106" i="6" s="1"/>
  <c r="T37" i="7" l="1"/>
  <c r="H121" i="7"/>
  <c r="T10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<sst xmlns="http://schemas.openxmlformats.org/spreadsheetml/2006/main" count="1426" uniqueCount="204">
  <si>
    <t>TABLE OF CONSTANTS</t>
  </si>
  <si>
    <t>TABLE OF CONVERSIONS (ENERGY)</t>
  </si>
  <si>
    <t>TABLE OF CONVERSIONS (DISTANCE)</t>
  </si>
  <si>
    <t>TABLE OF CONVERSIONS (MASS)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</si>
  <si>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</si>
  <si>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t xml:space="preserve">                      out
in</t>
  </si>
  <si>
    <t>hartree</t>
  </si>
  <si>
    <t>eV</t>
  </si>
  <si>
    <r>
      <t>cm</t>
    </r>
    <r>
      <rPr>
        <b/>
        <vertAlign val="superscript"/>
        <sz val="14"/>
        <color theme="1"/>
        <rFont val="Aptos Narrow"/>
        <scheme val="minor"/>
      </rPr>
      <t>-1</t>
    </r>
  </si>
  <si>
    <t>kcal/mol</t>
  </si>
  <si>
    <t>kJ/mol</t>
  </si>
  <si>
    <r>
      <t>o</t>
    </r>
    <r>
      <rPr>
        <b/>
        <sz val="14"/>
        <color theme="1"/>
        <rFont val="Aptos Narrow"/>
        <scheme val="minor"/>
      </rPr>
      <t>K</t>
    </r>
  </si>
  <si>
    <t>J</t>
  </si>
  <si>
    <t>Hz</t>
  </si>
  <si>
    <t xml:space="preserve">                   out
in</t>
  </si>
  <si>
    <t>a0</t>
  </si>
  <si>
    <t>angstrom</t>
  </si>
  <si>
    <t>m</t>
  </si>
  <si>
    <r>
      <t>m</t>
    </r>
    <r>
      <rPr>
        <b/>
        <vertAlign val="subscript"/>
        <sz val="14"/>
        <color theme="1"/>
        <rFont val="Aptos Narrow (Body)"/>
      </rPr>
      <t>e</t>
    </r>
  </si>
  <si>
    <t>kg</t>
  </si>
  <si>
    <t>u</t>
  </si>
  <si>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</si>
  <si>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</si>
  <si>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</si>
  <si>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</si>
  <si>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</si>
  <si>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</si>
  <si>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r>
      <rPr>
        <b/>
        <sz val="14"/>
        <color theme="1"/>
        <rFont val="Aptos Narrow"/>
        <scheme val="minor"/>
      </rPr>
      <t>Tamb</t>
    </r>
    <r>
      <rPr>
        <sz val="14"/>
        <color theme="1"/>
        <rFont val="Aptos Narrow"/>
        <scheme val="minor"/>
      </rPr>
      <t xml:space="preserve"> [ K ]</t>
    </r>
  </si>
  <si>
    <r>
      <rPr>
        <b/>
        <sz val="14"/>
        <color theme="1"/>
        <rFont val="Aptos Narrow"/>
        <scheme val="minor"/>
      </rPr>
      <t>h</t>
    </r>
    <r>
      <rPr>
        <sz val="14"/>
        <color theme="1"/>
        <rFont val="Aptos Narrow"/>
        <scheme val="minor"/>
      </rPr>
      <t xml:space="preserve"> [ J s ]</t>
    </r>
  </si>
  <si>
    <r>
      <rPr>
        <b/>
        <sz val="14"/>
        <color theme="1"/>
        <rFont val="Aptos Narrow"/>
        <scheme val="minor"/>
      </rPr>
      <t xml:space="preserve">P </t>
    </r>
    <r>
      <rPr>
        <sz val="14"/>
        <color theme="1"/>
        <rFont val="Aptos Narrow"/>
        <scheme val="minor"/>
      </rPr>
      <t>[ atm ]</t>
    </r>
  </si>
  <si>
    <r>
      <rPr>
        <b/>
        <sz val="14"/>
        <color theme="1"/>
        <rFont val="Aptos Narrow"/>
        <scheme val="minor"/>
      </rPr>
      <t xml:space="preserve">P </t>
    </r>
    <r>
      <rPr>
        <sz val="14"/>
        <color theme="1"/>
        <rFont val="Aptos Narrow"/>
        <scheme val="minor"/>
      </rPr>
      <t>[ Pa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</si>
  <si>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</si>
  <si>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t>EXPERIMENTAL DATA - H</t>
  </si>
  <si>
    <t>Temperature [ K ]</t>
  </si>
  <si>
    <t xml:space="preserve">Principal Moments of Inertia </t>
  </si>
  <si>
    <t>Zero-point Correction [ Hartree/Particle ]</t>
  </si>
  <si>
    <t>INTERNAL ENERGY, HEAT CAPACITY,ENTROPY</t>
  </si>
  <si>
    <t>x</t>
  </si>
  <si>
    <t>y</t>
  </si>
  <si>
    <t>z</t>
  </si>
  <si>
    <t>Hartree</t>
  </si>
  <si>
    <t>E (Thermal) [KCal/Mol]</t>
  </si>
  <si>
    <r>
      <t>C</t>
    </r>
    <r>
      <rPr>
        <b/>
        <vertAlign val="subscript"/>
        <sz val="14"/>
        <rFont val="Calibri"/>
        <family val="2"/>
      </rPr>
      <t>V</t>
    </r>
    <r>
      <rPr>
        <b/>
        <sz val="14"/>
        <rFont val="Calibri"/>
        <family val="2"/>
      </rPr>
      <t xml:space="preserve"> [Cal/Mol-Kelvin]</t>
    </r>
  </si>
  <si>
    <t>S [Cal/Mol-Kelvin]</t>
  </si>
  <si>
    <r>
      <t>[ amu Å</t>
    </r>
    <r>
      <rPr>
        <b/>
        <vertAlign val="superscript"/>
        <sz val="14"/>
        <color theme="1"/>
        <rFont val="Aptos Narrow (Body)"/>
      </rPr>
      <t xml:space="preserve">2 </t>
    </r>
    <r>
      <rPr>
        <b/>
        <sz val="14"/>
        <color theme="1"/>
        <rFont val="Aptos Narrow"/>
        <family val="2"/>
        <scheme val="minor"/>
      </rPr>
      <t>]</t>
    </r>
  </si>
  <si>
    <t>Total</t>
  </si>
  <si>
    <t>Pressure [Atm]</t>
  </si>
  <si>
    <r>
      <t>[ kg Å</t>
    </r>
    <r>
      <rPr>
        <b/>
        <vertAlign val="superscript"/>
        <sz val="14"/>
        <color theme="1"/>
        <rFont val="Aptos Narrow (Body)"/>
      </rPr>
      <t>2</t>
    </r>
    <r>
      <rPr>
        <b/>
        <sz val="14"/>
        <color theme="1"/>
        <rFont val="Aptos Narrow"/>
        <family val="2"/>
        <scheme val="minor"/>
      </rPr>
      <t xml:space="preserve"> ]</t>
    </r>
  </si>
  <si>
    <t>Electronic</t>
  </si>
  <si>
    <r>
      <t>[ kg m</t>
    </r>
    <r>
      <rPr>
        <b/>
        <vertAlign val="superscript"/>
        <sz val="14"/>
        <color theme="1"/>
        <rFont val="Aptos Narrow (Body)"/>
      </rPr>
      <t>2</t>
    </r>
    <r>
      <rPr>
        <b/>
        <sz val="14"/>
        <color theme="1"/>
        <rFont val="Aptos Narrow"/>
        <family val="2"/>
        <scheme val="minor"/>
      </rPr>
      <t xml:space="preserve"> ]</t>
    </r>
  </si>
  <si>
    <t>Translational</t>
  </si>
  <si>
    <t>Thermal Correction to Energy [ Hartree/Particle ]</t>
  </si>
  <si>
    <t>Rotational</t>
  </si>
  <si>
    <t>Molecular Mass [ amu ]</t>
  </si>
  <si>
    <t>Rotational Temperatures [ K ]</t>
  </si>
  <si>
    <t>Vibrational</t>
  </si>
  <si>
    <t>-</t>
  </si>
  <si>
    <t>Rotational Symmetry Number</t>
  </si>
  <si>
    <t>MOLECULAR PARTITION FUNCTION</t>
  </si>
  <si>
    <t>Rotational Constants [ GHZ ]</t>
  </si>
  <si>
    <t>Thermal Correction to Enthalpy [ Hartree/Particle ]</t>
  </si>
  <si>
    <t>Q</t>
  </si>
  <si>
    <t>Log10(Q)</t>
  </si>
  <si>
    <t>Ln(Q)</t>
  </si>
  <si>
    <t>Total Bot</t>
  </si>
  <si>
    <t>Zero-point Vibrational Energy</t>
  </si>
  <si>
    <t>Thermal Correction to Gibbs Free Energy [ Hartree/Particle ]</t>
  </si>
  <si>
    <t>Total V=0</t>
  </si>
  <si>
    <t xml:space="preserve"> [ J/mol ]</t>
  </si>
  <si>
    <t>Vib (Bot)</t>
  </si>
  <si>
    <t xml:space="preserve"> [ Kcal/mol ]</t>
  </si>
  <si>
    <t>Vib (V=0)</t>
  </si>
  <si>
    <t>Vibrational Temperatures
 [ K ]</t>
  </si>
  <si>
    <t>Harmonic 
Frequencies 
[ cm^-1 ]</t>
  </si>
  <si>
    <t>Harmonic 
Frequencies 
[ Hz ]</t>
  </si>
  <si>
    <t>Reduced Masses [ amu ]</t>
  </si>
  <si>
    <t>Energies SCF [ Hartree ]</t>
  </si>
  <si>
    <t>THEORETICAL DATA - H</t>
  </si>
  <si>
    <t xml:space="preserve"> from theory...</t>
  </si>
  <si>
    <t>1. TRANSLATIONAL P.F.</t>
  </si>
  <si>
    <t>Temperatures[K]</t>
  </si>
  <si>
    <r>
      <t>Volume [ m</t>
    </r>
    <r>
      <rPr>
        <b/>
        <vertAlign val="superscript"/>
        <sz val="14"/>
        <color rgb="FFFF0000"/>
        <rFont val="Aptos Narrow (Body)"/>
      </rPr>
      <t>3</t>
    </r>
    <r>
      <rPr>
        <b/>
        <sz val="14"/>
        <color rgb="FFFF0000"/>
        <rFont val="Aptos Narrow (Body)"/>
      </rPr>
      <t xml:space="preserve"> ]</t>
    </r>
  </si>
  <si>
    <r>
      <t>Q</t>
    </r>
    <r>
      <rPr>
        <b/>
        <vertAlign val="subscript"/>
        <sz val="14"/>
        <color rgb="FFFF0000"/>
        <rFont val="Aptos Narrow (Body)"/>
      </rPr>
      <t>transl</t>
    </r>
  </si>
  <si>
    <t>COMPARISON AT 298.15 K (Gaussian output is actually set at 298.15 K)</t>
  </si>
  <si>
    <t>298.15 K</t>
  </si>
  <si>
    <t>Theoretical</t>
  </si>
  <si>
    <t>Gaussian</t>
  </si>
  <si>
    <t>P. Error</t>
  </si>
  <si>
    <t>2. VIBRATIONAL 𝜐=0  P.F.</t>
  </si>
  <si>
    <t>TOTAL P.F</t>
  </si>
  <si>
    <t>Harmonic Freq.</t>
  </si>
  <si>
    <r>
      <t>[ cm</t>
    </r>
    <r>
      <rPr>
        <b/>
        <vertAlign val="superscript"/>
        <sz val="14"/>
        <color rgb="FFFF0000"/>
        <rFont val="Aptos Narrow (Body)"/>
      </rPr>
      <t>-1</t>
    </r>
    <r>
      <rPr>
        <b/>
        <sz val="14"/>
        <color rgb="FFFF0000"/>
        <rFont val="Aptos Narrow (Body)"/>
      </rPr>
      <t xml:space="preserve"> ]</t>
    </r>
  </si>
  <si>
    <t>[ Hz ]</t>
  </si>
  <si>
    <t>ZPE[kcal/mol]</t>
  </si>
  <si>
    <r>
      <t>Q</t>
    </r>
    <r>
      <rPr>
        <b/>
        <vertAlign val="subscript"/>
        <sz val="20"/>
        <color rgb="FFFF0000"/>
        <rFont val="Aptos Narrow (Body)"/>
      </rPr>
      <t>i,vib</t>
    </r>
    <r>
      <rPr>
        <b/>
        <vertAlign val="superscript"/>
        <sz val="20"/>
        <color rgb="FFFF0000"/>
        <rFont val="Aptos Narrow (Body)"/>
      </rPr>
      <t>𝜐=0</t>
    </r>
  </si>
  <si>
    <r>
      <t>Q</t>
    </r>
    <r>
      <rPr>
        <b/>
        <vertAlign val="subscript"/>
        <sz val="20"/>
        <color theme="1"/>
        <rFont val="Aptos Narrow (Body)"/>
      </rPr>
      <t>tot</t>
    </r>
  </si>
  <si>
    <t xml:space="preserve">                               i
T[K]</t>
  </si>
  <si>
    <r>
      <t>Q</t>
    </r>
    <r>
      <rPr>
        <b/>
        <vertAlign val="subscript"/>
        <sz val="14"/>
        <color rgb="FFFF0000"/>
        <rFont val="Aptos Narrow (Body)"/>
      </rPr>
      <t>TRANLS</t>
    </r>
  </si>
  <si>
    <r>
      <t>Q</t>
    </r>
    <r>
      <rPr>
        <b/>
        <vertAlign val="subscript"/>
        <sz val="14"/>
        <color rgb="FFFF0000"/>
        <rFont val="Aptos Narrow (Body)"/>
      </rPr>
      <t>VIB</t>
    </r>
  </si>
  <si>
    <r>
      <t>Q</t>
    </r>
    <r>
      <rPr>
        <b/>
        <vertAlign val="subscript"/>
        <sz val="14"/>
        <color rgb="FFFF0000"/>
        <rFont val="Aptos Narrow (Body)"/>
      </rPr>
      <t>ROT</t>
    </r>
  </si>
  <si>
    <r>
      <rPr>
        <b/>
        <sz val="14"/>
        <color rgb="FFFF0000"/>
        <rFont val="Aptos Narrow (Body)"/>
      </rPr>
      <t>g</t>
    </r>
    <r>
      <rPr>
        <b/>
        <vertAlign val="subscript"/>
        <sz val="14"/>
        <color rgb="FFFF0000"/>
        <rFont val="Aptos Narrow (Body)"/>
      </rPr>
      <t>EL</t>
    </r>
  </si>
  <si>
    <r>
      <t>Q</t>
    </r>
    <r>
      <rPr>
        <b/>
        <vertAlign val="subscript"/>
        <sz val="14"/>
        <color rgb="FFFF0000"/>
        <rFont val="Aptos Narrow (Body)"/>
      </rPr>
      <t>TOT</t>
    </r>
  </si>
  <si>
    <r>
      <t>Q</t>
    </r>
    <r>
      <rPr>
        <b/>
        <vertAlign val="subscript"/>
        <sz val="14"/>
        <color rgb="FFFF0000"/>
        <rFont val="Aptos Narrow (Body)"/>
      </rPr>
      <t>vib</t>
    </r>
    <r>
      <rPr>
        <b/>
        <vertAlign val="superscript"/>
        <sz val="14"/>
        <color rgb="FFFF0000"/>
        <rFont val="Aptos Narrow (Body)"/>
      </rPr>
      <t>𝜐=0</t>
    </r>
  </si>
  <si>
    <r>
      <t>Q</t>
    </r>
    <r>
      <rPr>
        <b/>
        <vertAlign val="subscript"/>
        <sz val="14"/>
        <color rgb="FFFF0000"/>
        <rFont val="Aptos Narrow (Body)"/>
      </rPr>
      <t>vib</t>
    </r>
  </si>
  <si>
    <t>ZPE</t>
  </si>
  <si>
    <r>
      <t>x Q</t>
    </r>
    <r>
      <rPr>
        <b/>
        <vertAlign val="subscript"/>
        <sz val="14"/>
        <color rgb="FFFF0000"/>
        <rFont val="Aptos Narrow (Body)"/>
      </rPr>
      <t>vib</t>
    </r>
  </si>
  <si>
    <r>
      <t>x Q</t>
    </r>
    <r>
      <rPr>
        <b/>
        <vertAlign val="subscript"/>
        <sz val="14"/>
        <color rgb="FFFF0000"/>
        <rFont val="Aptos Narrow (Body)"/>
      </rPr>
      <t>vib</t>
    </r>
    <r>
      <rPr>
        <b/>
        <vertAlign val="superscript"/>
        <sz val="14"/>
        <color rgb="FFFF0000"/>
        <rFont val="Aptos Narrow (Body)"/>
      </rPr>
      <t>𝜐=0</t>
    </r>
  </si>
  <si>
    <r>
      <t>Q</t>
    </r>
    <r>
      <rPr>
        <b/>
        <vertAlign val="subscript"/>
        <sz val="20"/>
        <color rgb="FFFF0000"/>
        <rFont val="Aptos Narrow (Body)"/>
      </rPr>
      <t>i,vib</t>
    </r>
  </si>
  <si>
    <t>3. ROTATIONAL P.F.</t>
  </si>
  <si>
    <r>
      <t>[ kg m</t>
    </r>
    <r>
      <rPr>
        <b/>
        <vertAlign val="superscript"/>
        <sz val="14"/>
        <color rgb="FFFF0000"/>
        <rFont val="Aptos Narrow (Body)"/>
      </rPr>
      <t>2</t>
    </r>
    <r>
      <rPr>
        <b/>
        <sz val="14"/>
        <color rgb="FFFF0000"/>
        <rFont val="Aptos Narrow"/>
        <family val="2"/>
        <scheme val="minor"/>
      </rPr>
      <t xml:space="preserve"> ]</t>
    </r>
  </si>
  <si>
    <r>
      <t>Q</t>
    </r>
    <r>
      <rPr>
        <b/>
        <vertAlign val="subscript"/>
        <sz val="14"/>
        <color rgb="FFFF0000"/>
        <rFont val="Aptos Narrow (Body)"/>
      </rPr>
      <t>rot</t>
    </r>
  </si>
  <si>
    <t>4. ELECTRONIC P.F.</t>
  </si>
  <si>
    <t xml:space="preserve">Energies SCF </t>
  </si>
  <si>
    <t>final</t>
  </si>
  <si>
    <t>[ Hartree ]</t>
  </si>
  <si>
    <t>[ J ]</t>
  </si>
  <si>
    <r>
      <t>E</t>
    </r>
    <r>
      <rPr>
        <b/>
        <vertAlign val="subscript"/>
        <sz val="14"/>
        <color rgb="FFFF0000"/>
        <rFont val="Aptos Narrow (Body)"/>
      </rPr>
      <t>el</t>
    </r>
    <r>
      <rPr>
        <b/>
        <sz val="14"/>
        <color rgb="FFFF0000"/>
        <rFont val="Aptos Narrow"/>
        <scheme val="minor"/>
      </rPr>
      <t xml:space="preserve"> [ J ]</t>
    </r>
  </si>
  <si>
    <r>
      <t>Q</t>
    </r>
    <r>
      <rPr>
        <b/>
        <vertAlign val="subscript"/>
        <sz val="14"/>
        <color rgb="FFFF0000"/>
        <rFont val="Aptos Narrow (Body)"/>
      </rPr>
      <t>el</t>
    </r>
  </si>
  <si>
    <t>CONTRIBUTES</t>
  </si>
  <si>
    <t>5. HEAT CAPACITY</t>
  </si>
  <si>
    <t>TRANS.</t>
  </si>
  <si>
    <t>VIBR.</t>
  </si>
  <si>
    <t>ROT.</t>
  </si>
  <si>
    <t>ELECT.</t>
  </si>
  <si>
    <t>Heat Capacity (V=const)</t>
  </si>
  <si>
    <t>[Cal/Mol-Kelvin]</t>
  </si>
  <si>
    <t>[ J mol-1 K -1 ]</t>
  </si>
  <si>
    <t xml:space="preserve">Translation </t>
  </si>
  <si>
    <t>Vibration</t>
  </si>
  <si>
    <t>Rotation</t>
  </si>
  <si>
    <t>Electron</t>
  </si>
  <si>
    <t>TOT</t>
  </si>
  <si>
    <t>6. ENTROPY</t>
  </si>
  <si>
    <t>Entropy</t>
  </si>
  <si>
    <t>ϑrot</t>
  </si>
  <si>
    <t>Vtilde</t>
  </si>
  <si>
    <t>Transl. Factor (A)</t>
  </si>
  <si>
    <r>
      <t>EXPERIMENTAL DATA - H</t>
    </r>
    <r>
      <rPr>
        <b/>
        <vertAlign val="subscript"/>
        <sz val="22"/>
        <color theme="1"/>
        <rFont val="Aptos Narrow (Body)"/>
      </rPr>
      <t>2</t>
    </r>
  </si>
  <si>
    <t>Rotational Temperature [ K ]</t>
  </si>
  <si>
    <r>
      <t>THEORETICAL DATA - CH</t>
    </r>
    <r>
      <rPr>
        <b/>
        <vertAlign val="subscript"/>
        <sz val="22"/>
        <color theme="1"/>
        <rFont val="Aptos Narrow (Body)"/>
      </rPr>
      <t>3</t>
    </r>
  </si>
  <si>
    <r>
      <t>Moment of Inertia [kg m</t>
    </r>
    <r>
      <rPr>
        <b/>
        <vertAlign val="superscript"/>
        <sz val="14"/>
        <color rgb="FFFF0000"/>
        <rFont val="Aptos Narrow (Body)"/>
      </rPr>
      <t>2</t>
    </r>
    <r>
      <rPr>
        <b/>
        <sz val="14"/>
        <color rgb="FFFF0000"/>
        <rFont val="Aptos Narrow"/>
        <scheme val="minor"/>
      </rPr>
      <t>]</t>
    </r>
  </si>
  <si>
    <r>
      <t>m</t>
    </r>
    <r>
      <rPr>
        <b/>
        <vertAlign val="subscript"/>
        <sz val="14"/>
        <color rgb="FFFF0000"/>
        <rFont val="Aptos Narrow (Body)"/>
      </rPr>
      <t>a</t>
    </r>
    <r>
      <rPr>
        <b/>
        <sz val="14"/>
        <color rgb="FFFF0000"/>
        <rFont val="Aptos Narrow"/>
        <family val="2"/>
        <scheme val="minor"/>
      </rPr>
      <t xml:space="preserve"> [kg]</t>
    </r>
  </si>
  <si>
    <r>
      <t>m</t>
    </r>
    <r>
      <rPr>
        <b/>
        <vertAlign val="subscript"/>
        <sz val="14"/>
        <color rgb="FFFF0000"/>
        <rFont val="Aptos Narrow (Body)"/>
      </rPr>
      <t>b</t>
    </r>
    <r>
      <rPr>
        <b/>
        <sz val="14"/>
        <color rgb="FFFF0000"/>
        <rFont val="Aptos Narrow"/>
        <scheme val="minor"/>
      </rPr>
      <t xml:space="preserve"> [kg]</t>
    </r>
  </si>
  <si>
    <r>
      <t>r</t>
    </r>
    <r>
      <rPr>
        <b/>
        <vertAlign val="subscript"/>
        <sz val="14"/>
        <color rgb="FFFF0000"/>
        <rFont val="Aptos Narrow (Body)"/>
      </rPr>
      <t>e</t>
    </r>
    <r>
      <rPr>
        <b/>
        <sz val="14"/>
        <color rgb="FFFF0000"/>
        <rFont val="Aptos Narrow"/>
        <scheme val="minor"/>
      </rPr>
      <t xml:space="preserve"> [m]</t>
    </r>
  </si>
  <si>
    <r>
      <t>Q</t>
    </r>
    <r>
      <rPr>
        <b/>
        <vertAlign val="subscript"/>
        <sz val="14"/>
        <color rgb="FFFF0000"/>
        <rFont val="Aptos Narrow (Body)"/>
      </rPr>
      <t>rot</t>
    </r>
    <r>
      <rPr>
        <b/>
        <sz val="14"/>
        <color rgb="FFFF0000"/>
        <rFont val="Aptos Narrow"/>
        <scheme val="minor"/>
      </rPr>
      <t xml:space="preserve"> and 𝜎=2</t>
    </r>
  </si>
  <si>
    <t>𝜎=2 and (1)</t>
  </si>
  <si>
    <t>Theoretical 𝜎</t>
  </si>
  <si>
    <r>
      <t>Q</t>
    </r>
    <r>
      <rPr>
        <b/>
        <vertAlign val="subscript"/>
        <sz val="14"/>
        <color rgb="FFFF0000"/>
        <rFont val="Aptos Narrow (Body)"/>
      </rPr>
      <t>ROT</t>
    </r>
    <r>
      <rPr>
        <b/>
        <sz val="14"/>
        <color rgb="FFFF0000"/>
        <rFont val="Aptos Narrow"/>
        <family val="2"/>
        <scheme val="minor"/>
      </rPr>
      <t>(2)</t>
    </r>
  </si>
  <si>
    <r>
      <t>EXPERIMENTAL DATA - CH</t>
    </r>
    <r>
      <rPr>
        <b/>
        <vertAlign val="subscript"/>
        <sz val="22"/>
        <color theme="1"/>
        <rFont val="Aptos Narrow (Body)"/>
      </rPr>
      <t>3</t>
    </r>
  </si>
  <si>
    <r>
      <t>Q</t>
    </r>
    <r>
      <rPr>
        <b/>
        <vertAlign val="subscript"/>
        <sz val="20"/>
        <color rgb="FFFF0000"/>
        <rFont val="Aptos Narrow (Body)"/>
      </rPr>
      <t>i,vib</t>
    </r>
    <r>
      <rPr>
        <b/>
        <vertAlign val="superscript"/>
        <sz val="20"/>
        <color rgb="FFFF0000"/>
        <rFont val="Aptos Narrow (Body)"/>
      </rPr>
      <t>𝜐=0</t>
    </r>
    <r>
      <rPr>
        <b/>
        <sz val="20"/>
        <color rgb="FFFF0000"/>
        <rFont val="Aptos Narrow (Body)"/>
      </rPr>
      <t xml:space="preserve">	</t>
    </r>
  </si>
  <si>
    <t>x Qrot(1) - 298.15K</t>
  </si>
  <si>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</si>
  <si>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𝜎=6</t>
    </r>
  </si>
  <si>
    <t>𝜎=2 and (2)</t>
  </si>
  <si>
    <r>
      <t>THEORETICAL DATA - NH</t>
    </r>
    <r>
      <rPr>
        <b/>
        <vertAlign val="subscript"/>
        <sz val="22"/>
        <color theme="1"/>
        <rFont val="Aptos Narrow (Body)"/>
      </rPr>
      <t>2</t>
    </r>
  </si>
  <si>
    <r>
      <t>EXPERIMENTAL DATA - NH</t>
    </r>
    <r>
      <rPr>
        <b/>
        <vertAlign val="subscript"/>
        <sz val="22"/>
        <color theme="1"/>
        <rFont val="Aptos Narrow (Body)"/>
      </rPr>
      <t>2</t>
    </r>
  </si>
  <si>
    <t>𝜎=1 and (1)</t>
  </si>
  <si>
    <t>𝜎=1 and (2)</t>
  </si>
  <si>
    <r>
      <t>Q</t>
    </r>
    <r>
      <rPr>
        <b/>
        <vertAlign val="subscript"/>
        <sz val="14"/>
        <color rgb="FFFF0000"/>
        <rFont val="Aptos Narrow (Body)"/>
      </rPr>
      <t>rot</t>
    </r>
    <r>
      <rPr>
        <b/>
        <sz val="14"/>
        <color rgb="FFFF0000"/>
        <rFont val="Aptos Narrow"/>
        <scheme val="minor"/>
      </rPr>
      <t>(1) and 𝜎=1</t>
    </r>
  </si>
  <si>
    <r>
      <t>Q</t>
    </r>
    <r>
      <rPr>
        <b/>
        <vertAlign val="subscript"/>
        <sz val="14"/>
        <color rgb="FFFF0000"/>
        <rFont val="Aptos Narrow (Body)"/>
      </rPr>
      <t>rot</t>
    </r>
    <r>
      <rPr>
        <b/>
        <sz val="14"/>
        <color rgb="FFFF0000"/>
        <rFont val="Aptos Narrow"/>
        <scheme val="minor"/>
      </rPr>
      <t>(2) and 𝜎=1</t>
    </r>
  </si>
  <si>
    <t>COMPARISON AT 300 K (Gaussian output is actually set at 300 K)</t>
  </si>
  <si>
    <t>300 K</t>
  </si>
  <si>
    <t>2. VIBRATIONAL  P.F.</t>
  </si>
  <si>
    <r>
      <t>Q</t>
    </r>
    <r>
      <rPr>
        <b/>
        <vertAlign val="subscript"/>
        <sz val="14"/>
        <color rgb="FFFF0000"/>
        <rFont val="Aptos Narrow (Body)"/>
      </rPr>
      <t>EL</t>
    </r>
  </si>
  <si>
    <t>x Qrot(1) - 300 K</t>
  </si>
  <si>
    <t>𝜎=1and (2)</t>
  </si>
  <si>
    <r>
      <t>EXPERIMENTAL DATA - NH</t>
    </r>
    <r>
      <rPr>
        <b/>
        <vertAlign val="subscript"/>
        <sz val="22"/>
        <color theme="1"/>
        <rFont val="Aptos Narrow (Body)"/>
      </rPr>
      <t>3</t>
    </r>
  </si>
  <si>
    <r>
      <t>THEORETICAL DATA - NH</t>
    </r>
    <r>
      <rPr>
        <b/>
        <vertAlign val="subscript"/>
        <sz val="22"/>
        <color theme="1"/>
        <rFont val="Aptos Narrow (Body)"/>
      </rPr>
      <t>3</t>
    </r>
  </si>
  <si>
    <t>Choice for scanning coordinate</t>
  </si>
  <si>
    <t>E (Hartree)</t>
  </si>
  <si>
    <t>E (kcal/mol)</t>
  </si>
  <si>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 xml:space="preserve">≠ </t>
    </r>
    <r>
      <rPr>
        <sz val="12"/>
        <color theme="1"/>
        <rFont val="Aptos Narrow"/>
        <family val="2"/>
        <scheme val="minor"/>
      </rPr>
      <t>[J]</t>
    </r>
  </si>
  <si>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 xml:space="preserve">H </t>
    </r>
    <r>
      <rPr>
        <sz val="12"/>
        <color theme="1"/>
        <rFont val="Aptos Narrow"/>
        <family val="2"/>
        <scheme val="minor"/>
      </rPr>
      <t>[J]</t>
    </r>
  </si>
  <si>
    <t>Ea [J]</t>
  </si>
  <si>
    <r>
      <t>E</t>
    </r>
    <r>
      <rPr>
        <b/>
        <vertAlign val="subscript"/>
        <sz val="14"/>
        <color theme="1"/>
        <rFont val="Aptos Narrow (Body)"/>
      </rPr>
      <t>a</t>
    </r>
    <r>
      <rPr>
        <b/>
        <sz val="14"/>
        <color theme="1"/>
        <rFont val="Aptos Narrow"/>
        <scheme val="minor"/>
      </rPr>
      <t>[kcal/mol]</t>
    </r>
  </si>
  <si>
    <t>TS</t>
  </si>
  <si>
    <t>H</t>
  </si>
  <si>
    <t>Temp</t>
  </si>
  <si>
    <r>
      <t>Q</t>
    </r>
    <r>
      <rPr>
        <vertAlign val="superscript"/>
        <sz val="12"/>
        <color theme="1"/>
        <rFont val="Aptos Narrow (Body)"/>
      </rPr>
      <t>trasl</t>
    </r>
  </si>
  <si>
    <r>
      <t>Q</t>
    </r>
    <r>
      <rPr>
        <vertAlign val="superscript"/>
        <sz val="12"/>
        <color theme="1"/>
        <rFont val="Aptos Narrow (Body)"/>
      </rPr>
      <t>rot</t>
    </r>
  </si>
  <si>
    <r>
      <t>Q</t>
    </r>
    <r>
      <rPr>
        <vertAlign val="superscript"/>
        <sz val="12"/>
        <color theme="1"/>
        <rFont val="Aptos Narrow (Body)"/>
      </rPr>
      <t>vib(𝜐=0)</t>
    </r>
  </si>
  <si>
    <r>
      <t>g</t>
    </r>
    <r>
      <rPr>
        <vertAlign val="superscript"/>
        <sz val="12"/>
        <color theme="1"/>
        <rFont val="Aptos Narrow (Body)"/>
      </rPr>
      <t>el</t>
    </r>
  </si>
  <si>
    <r>
      <t>Q</t>
    </r>
    <r>
      <rPr>
        <vertAlign val="subscript"/>
        <sz val="12"/>
        <color theme="1"/>
        <rFont val="Aptos Narrow (Body)"/>
      </rPr>
      <t>≠</t>
    </r>
  </si>
  <si>
    <r>
      <t>Q</t>
    </r>
    <r>
      <rPr>
        <vertAlign val="subscript"/>
        <sz val="12"/>
        <color theme="1"/>
        <rFont val="Aptos Narrow (Body)"/>
      </rPr>
      <t>R</t>
    </r>
  </si>
  <si>
    <r>
      <t>k</t>
    </r>
    <r>
      <rPr>
        <vertAlign val="subscript"/>
        <sz val="12"/>
        <color theme="1"/>
        <rFont val="Aptos Narrow (Body)"/>
      </rPr>
      <t>c</t>
    </r>
    <r>
      <rPr>
        <sz val="12"/>
        <color theme="1"/>
        <rFont val="Aptos Narrow"/>
        <family val="2"/>
        <scheme val="minor"/>
      </rPr>
      <t>[s</t>
    </r>
    <r>
      <rPr>
        <vertAlign val="superscript"/>
        <sz val="12"/>
        <color theme="1"/>
        <rFont val="Aptos Narrow (Body)"/>
      </rPr>
      <t>-1</t>
    </r>
    <r>
      <rPr>
        <sz val="12"/>
        <color theme="1"/>
        <rFont val="Aptos Narrow"/>
        <family val="2"/>
        <scheme val="minor"/>
      </rPr>
      <t>]</t>
    </r>
  </si>
  <si>
    <r>
      <t>k</t>
    </r>
    <r>
      <rPr>
        <vertAlign val="subscript"/>
        <sz val="12"/>
        <color theme="1"/>
        <rFont val="Aptos Narrow (Body)"/>
      </rPr>
      <t>c</t>
    </r>
    <r>
      <rPr>
        <sz val="12"/>
        <color theme="1"/>
        <rFont val="Aptos Narrow"/>
        <family val="2"/>
        <scheme val="minor"/>
      </rPr>
      <t>[m</t>
    </r>
    <r>
      <rPr>
        <vertAlign val="superscript"/>
        <sz val="12"/>
        <color theme="1"/>
        <rFont val="Aptos Narrow (Body)"/>
      </rPr>
      <t>3</t>
    </r>
    <r>
      <rPr>
        <sz val="12"/>
        <color theme="1"/>
        <rFont val="Aptos Narrow"/>
        <family val="2"/>
        <scheme val="minor"/>
      </rPr>
      <t>mol</t>
    </r>
    <r>
      <rPr>
        <vertAlign val="superscript"/>
        <sz val="12"/>
        <color theme="1"/>
        <rFont val="Aptos Narrow (Body)"/>
      </rPr>
      <t>-1</t>
    </r>
    <r>
      <rPr>
        <sz val="12"/>
        <color theme="1"/>
        <rFont val="Aptos Narrow"/>
        <family val="2"/>
        <scheme val="minor"/>
      </rPr>
      <t xml:space="preserve"> s</t>
    </r>
    <r>
      <rPr>
        <vertAlign val="superscript"/>
        <sz val="12"/>
        <color theme="1"/>
        <rFont val="Aptos Narrow (Body)"/>
      </rPr>
      <t>-1</t>
    </r>
    <r>
      <rPr>
        <sz val="12"/>
        <color theme="1"/>
        <rFont val="Aptos Narrow"/>
        <family val="2"/>
        <scheme val="minor"/>
      </rPr>
      <t>]</t>
    </r>
  </si>
  <si>
    <r>
      <t>k</t>
    </r>
    <r>
      <rPr>
        <vertAlign val="subscript"/>
        <sz val="12"/>
        <color theme="1"/>
        <rFont val="Aptos Narrow (Body)"/>
      </rPr>
      <t>c</t>
    </r>
    <r>
      <rPr>
        <sz val="12"/>
        <color theme="1"/>
        <rFont val="Aptos Narrow"/>
        <family val="2"/>
        <scheme val="minor"/>
      </rPr>
      <t>[cm</t>
    </r>
    <r>
      <rPr>
        <vertAlign val="superscript"/>
        <sz val="12"/>
        <color theme="1"/>
        <rFont val="Aptos Narrow (Body)"/>
      </rPr>
      <t>3</t>
    </r>
    <r>
      <rPr>
        <sz val="12"/>
        <color theme="1"/>
        <rFont val="Aptos Narrow"/>
        <family val="2"/>
        <scheme val="minor"/>
      </rPr>
      <t>molecule</t>
    </r>
    <r>
      <rPr>
        <vertAlign val="superscript"/>
        <sz val="12"/>
        <color theme="1"/>
        <rFont val="Aptos Narrow (Body)"/>
      </rPr>
      <t>-1</t>
    </r>
    <r>
      <rPr>
        <sz val="12"/>
        <color theme="1"/>
        <rFont val="Aptos Narrow"/>
        <family val="2"/>
        <scheme val="minor"/>
      </rPr>
      <t xml:space="preserve"> s</t>
    </r>
    <r>
      <rPr>
        <vertAlign val="superscript"/>
        <sz val="12"/>
        <color theme="1"/>
        <rFont val="Aptos Narrow (Body)"/>
      </rPr>
      <t>-1</t>
    </r>
    <r>
      <rPr>
        <sz val="12"/>
        <color theme="1"/>
        <rFont val="Aptos Narrow"/>
        <family val="2"/>
        <scheme val="minor"/>
      </rPr>
      <t>]</t>
    </r>
  </si>
  <si>
    <r>
      <t>k</t>
    </r>
    <r>
      <rPr>
        <vertAlign val="subscript"/>
        <sz val="12"/>
        <color theme="1"/>
        <rFont val="Aptos Narrow (Body)"/>
      </rPr>
      <t>c</t>
    </r>
    <r>
      <rPr>
        <sz val="12"/>
        <color theme="1"/>
        <rFont val="Aptos Narrow"/>
        <family val="2"/>
        <scheme val="minor"/>
      </rPr>
      <t xml:space="preserve"> exp [cm</t>
    </r>
    <r>
      <rPr>
        <vertAlign val="superscript"/>
        <sz val="12"/>
        <color theme="1"/>
        <rFont val="Aptos Narrow (Body)"/>
      </rPr>
      <t>3</t>
    </r>
    <r>
      <rPr>
        <sz val="12"/>
        <color theme="1"/>
        <rFont val="Aptos Narrow"/>
        <family val="2"/>
        <scheme val="minor"/>
      </rPr>
      <t>molecule</t>
    </r>
    <r>
      <rPr>
        <vertAlign val="superscript"/>
        <sz val="12"/>
        <color theme="1"/>
        <rFont val="Aptos Narrow (Body)"/>
      </rPr>
      <t>-1</t>
    </r>
    <r>
      <rPr>
        <sz val="12"/>
        <color theme="1"/>
        <rFont val="Aptos Narrow"/>
        <family val="2"/>
        <scheme val="minor"/>
      </rPr>
      <t xml:space="preserve"> s</t>
    </r>
    <r>
      <rPr>
        <vertAlign val="superscript"/>
        <sz val="12"/>
        <color theme="1"/>
        <rFont val="Aptos Narrow (Body)"/>
      </rPr>
      <t>-1</t>
    </r>
    <r>
      <rPr>
        <sz val="12"/>
        <color theme="1"/>
        <rFont val="Aptos Narrow"/>
        <family val="2"/>
        <scheme val="minor"/>
      </rPr>
      <t>]</t>
    </r>
  </si>
  <si>
    <t>err %</t>
  </si>
  <si>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 xml:space="preserve">H2 </t>
    </r>
    <r>
      <rPr>
        <sz val="12"/>
        <color theme="1"/>
        <rFont val="Aptos Narrow"/>
        <family val="2"/>
        <scheme val="minor"/>
      </rPr>
      <t>[J]</t>
    </r>
  </si>
  <si>
    <r>
      <t>H</t>
    </r>
    <r>
      <rPr>
        <b/>
        <vertAlign val="subscript"/>
        <sz val="12"/>
        <color theme="1"/>
        <rFont val="Aptos Narrow (Body)"/>
      </rPr>
      <t>2</t>
    </r>
  </si>
  <si>
    <t>QUANTUM TUNNELING CORRECTIONS</t>
  </si>
  <si>
    <r>
      <t>Q</t>
    </r>
    <r>
      <rPr>
        <vertAlign val="subscript"/>
        <sz val="14"/>
        <color theme="1"/>
        <rFont val="Cambria Math"/>
        <family val="1"/>
      </rPr>
      <t>tunnel</t>
    </r>
    <r>
      <rPr>
        <sz val="14"/>
        <color theme="1"/>
        <rFont val="Cambria Math"/>
        <family val="1"/>
      </rPr>
      <t xml:space="preserve"> - FORWARD</t>
    </r>
  </si>
  <si>
    <t>Qtunnel - BACKWARD</t>
  </si>
  <si>
    <t>kc corrected - FORWARD</t>
  </si>
  <si>
    <t>kc corrected - BACKWARD</t>
  </si>
  <si>
    <r>
      <t>FORWARD : 𝑁𝐻</t>
    </r>
    <r>
      <rPr>
        <b/>
        <vertAlign val="subscript"/>
        <sz val="14"/>
        <color theme="1"/>
        <rFont val="Aptos Narrow (Body)"/>
      </rPr>
      <t>3</t>
    </r>
    <r>
      <rPr>
        <b/>
        <sz val="14"/>
        <color theme="1"/>
        <rFont val="Aptos Narrow"/>
        <scheme val="minor"/>
      </rPr>
      <t>+𝐻→𝑁𝐻</t>
    </r>
    <r>
      <rPr>
        <b/>
        <vertAlign val="subscript"/>
        <sz val="14"/>
        <color theme="1"/>
        <rFont val="Aptos Narrow (Body)"/>
      </rPr>
      <t>2</t>
    </r>
    <r>
      <rPr>
        <b/>
        <sz val="14"/>
        <color theme="1"/>
        <rFont val="Aptos Narrow"/>
        <scheme val="minor"/>
      </rPr>
      <t>+𝐻</t>
    </r>
    <r>
      <rPr>
        <b/>
        <vertAlign val="subscript"/>
        <sz val="14"/>
        <color theme="1"/>
        <rFont val="Aptos Narrow (Body)"/>
      </rPr>
      <t>2</t>
    </r>
  </si>
  <si>
    <r>
      <t>BACKWARD :  𝑁𝐻</t>
    </r>
    <r>
      <rPr>
        <b/>
        <vertAlign val="subscript"/>
        <sz val="14"/>
        <color theme="1"/>
        <rFont val="Aptos Narrow (Body)"/>
      </rPr>
      <t>2</t>
    </r>
    <r>
      <rPr>
        <b/>
        <sz val="14"/>
        <color theme="1"/>
        <rFont val="Aptos Narrow"/>
        <scheme val="minor"/>
      </rPr>
      <t>+𝐻</t>
    </r>
    <r>
      <rPr>
        <b/>
        <vertAlign val="subscript"/>
        <sz val="14"/>
        <color theme="1"/>
        <rFont val="Aptos Narrow (Body)"/>
      </rPr>
      <t>2</t>
    </r>
    <r>
      <rPr>
        <b/>
        <sz val="14"/>
        <color theme="1"/>
        <rFont val="Aptos Narrow"/>
        <scheme val="minor"/>
      </rPr>
      <t>→𝑁𝐻</t>
    </r>
    <r>
      <rPr>
        <b/>
        <vertAlign val="subscript"/>
        <sz val="14"/>
        <color theme="1"/>
        <rFont val="Aptos Narrow (Body)"/>
      </rPr>
      <t>3</t>
    </r>
    <r>
      <rPr>
        <b/>
        <sz val="14"/>
        <color theme="1"/>
        <rFont val="Aptos Narrow"/>
        <scheme val="minor"/>
      </rPr>
      <t>+𝐻</t>
    </r>
  </si>
  <si>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 xml:space="preserve">NH3 </t>
    </r>
    <r>
      <rPr>
        <sz val="12"/>
        <color theme="1"/>
        <rFont val="Aptos Narrow"/>
        <family val="2"/>
        <scheme val="minor"/>
      </rPr>
      <t>[J]</t>
    </r>
  </si>
  <si>
    <r>
      <t>NH</t>
    </r>
    <r>
      <rPr>
        <b/>
        <vertAlign val="subscript"/>
        <sz val="12"/>
        <color theme="1"/>
        <rFont val="Aptos Narrow (Body)"/>
      </rPr>
      <t>3</t>
    </r>
  </si>
  <si>
    <r>
      <t>NH</t>
    </r>
    <r>
      <rPr>
        <b/>
        <vertAlign val="subscript"/>
        <sz val="12"/>
        <color theme="1"/>
        <rFont val="Aptos Narrow (Body)"/>
      </rPr>
      <t>2</t>
    </r>
  </si>
  <si>
    <r>
      <t>(𝐸</t>
    </r>
    <r>
      <rPr>
        <vertAlign val="subscript"/>
        <sz val="12"/>
        <color theme="1"/>
        <rFont val="Aptos Narrow (Body)"/>
      </rPr>
      <t>𝑒𝑙</t>
    </r>
    <r>
      <rPr>
        <sz val="12"/>
        <color theme="1"/>
        <rFont val="Aptos Narrow"/>
        <family val="2"/>
        <scheme val="minor"/>
      </rPr>
      <t>+𝑍𝑃𝐸)</t>
    </r>
    <r>
      <rPr>
        <vertAlign val="subscript"/>
        <sz val="12"/>
        <color theme="1"/>
        <rFont val="Aptos Narrow (Body)"/>
      </rPr>
      <t>N</t>
    </r>
    <r>
      <rPr>
        <vertAlign val="subscript"/>
        <sz val="12"/>
        <color theme="1"/>
        <rFont val="Aptos Narrow"/>
        <family val="2"/>
        <scheme val="minor"/>
      </rPr>
      <t>H2</t>
    </r>
    <r>
      <rPr>
        <vertAlign val="subscript"/>
        <sz val="12"/>
        <color theme="1"/>
        <rFont val="Aptos Narrow (Body)"/>
      </rPr>
      <t xml:space="preserve"> </t>
    </r>
    <r>
      <rPr>
        <sz val="12"/>
        <color theme="1"/>
        <rFont val="Aptos Narrow"/>
        <family val="2"/>
        <scheme val="minor"/>
      </rPr>
      <t>[J]</t>
    </r>
  </si>
  <si>
    <t>hh6</t>
  </si>
  <si>
    <t>hn3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</si>
</sst>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57">
    <font>
      <sz val="12"/>
      <color theme="1"/>
      <name val="Aptos Narrow"/>
      <family val="2"/>
      <scheme val="minor"/>
    </font>
    <font>
      <b/>
      <sz val="12"/>
      <color theme="1"/>
      <name val="Aptos Narrow"/>
      <family val="2"/>
      <scheme val="minor"/>
    </font>
    <font>
      <sz val="12"/>
      <color theme="1"/>
      <name val="Aptos Narrow"/>
      <scheme val="minor"/>
    </font>
    <font>
      <sz val="14"/>
      <color theme="1"/>
      <name val="Aptos Narrow"/>
      <scheme val="minor"/>
    </font>
    <font>
      <b/>
      <sz val="16"/>
      <color theme="1"/>
      <name val="Aptos Narrow"/>
      <scheme val="minor"/>
    </font>
    <font>
      <b/>
      <sz val="14"/>
      <color theme="1"/>
      <name val="Aptos Narrow"/>
      <scheme val="minor"/>
    </font>
    <font>
      <sz val="14"/>
      <color theme="1"/>
      <name val="Aptos Narrow"/>
      <family val="2"/>
      <scheme val="minor"/>
    </font>
    <font>
      <b/>
      <vertAlign val="subscript"/>
      <sz val="14"/>
      <color theme="1"/>
      <name val="Aptos Narrow"/>
      <scheme val="minor"/>
    </font>
    <font>
      <vertAlign val="superscript"/>
      <sz val="14"/>
      <color theme="1"/>
      <name val="Aptos Narrow"/>
      <scheme val="minor"/>
    </font>
    <font>
      <sz val="14"/>
      <color theme="1"/>
      <name val="Aptos Narrow (Corpo)"/>
    </font>
    <font>
      <sz val="14"/>
      <color rgb="FF202122"/>
      <name val="Aptos Narrow"/>
      <scheme val="minor"/>
    </font>
    <font>
      <b/>
      <sz val="10"/>
      <color theme="1"/>
      <name val="Aptos Narrow (Body)"/>
    </font>
    <font>
      <b/>
      <vertAlign val="superscript"/>
      <sz val="14"/>
      <color theme="1"/>
      <name val="Aptos Narrow"/>
      <scheme val="minor"/>
    </font>
    <font>
      <b/>
      <vertAlign val="subscript"/>
      <sz val="14"/>
      <color theme="1"/>
      <name val="Aptos Narrow (Body)"/>
    </font>
    <font>
      <sz val="14"/>
      <color rgb="FF000000"/>
      <name val="Aptos Narrow"/>
      <scheme val="minor"/>
    </font>
    <font>
      <b/>
      <sz val="14"/>
      <color rgb="FF202122"/>
      <name val="Aptos Narrow"/>
      <scheme val="minor"/>
    </font>
    <font>
      <b/>
      <vertAlign val="subscrip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sz val="14"/>
      <color rgb="FF202122"/>
      <name val="Arial"/>
      <family val="2"/>
    </font>
    <font>
      <b/>
      <vertAlign val="subscript"/>
      <sz val="14"/>
      <color theme="1"/>
      <name val="Aptos Narrow (Corpo)"/>
    </font>
    <font>
      <vertAlign val="superscript"/>
      <sz val="14"/>
      <color theme="1"/>
      <name val="Aptos Narrow (Body)"/>
    </font>
    <font>
      <b/>
      <sz val="22"/>
      <color theme="1"/>
      <name val="Aptos Narrow"/>
      <scheme val="minor"/>
    </font>
    <font>
      <b/>
      <sz val="14"/>
      <color rgb="FFFF0000"/>
      <name val="Aptos Narrow"/>
      <scheme val="minor"/>
    </font>
    <font>
      <b/>
      <sz val="14"/>
      <color rgb="FFFF0000"/>
      <name val="Aptos Narrow (Body)"/>
    </font>
    <font>
      <b/>
      <sz val="14"/>
      <name val="Calibri"/>
      <family val="2"/>
    </font>
    <font>
      <b/>
      <vertAlign val="subscript"/>
      <sz val="14"/>
      <name val="Calibri"/>
      <family val="2"/>
    </font>
    <font>
      <b/>
      <sz val="14"/>
      <color theme="1"/>
      <name val="Aptos Narrow"/>
      <family val="2"/>
      <scheme val="minor"/>
    </font>
    <font>
      <b/>
      <vertAlign val="superscript"/>
      <sz val="14"/>
      <color theme="1"/>
      <name val="Aptos Narrow (Body)"/>
    </font>
    <font>
      <b/>
      <sz val="14"/>
      <color rgb="FFFF0000"/>
      <name val="Calibri"/>
      <family val="2"/>
    </font>
    <font>
      <b/>
      <sz val="12"/>
      <color theme="1"/>
      <name val="Aptos Narrow"/>
      <scheme val="minor"/>
    </font>
    <font>
      <sz val="14"/>
      <color theme="1"/>
      <name val="Calibri"/>
      <family val="2"/>
    </font>
    <font>
      <b/>
      <sz val="20"/>
      <color theme="1"/>
      <name val="Aptos Narrow (Body)"/>
    </font>
    <font>
      <sz val="20"/>
      <color theme="1"/>
      <name val="Aptos Narrow"/>
      <family val="2"/>
      <scheme val="minor"/>
    </font>
    <font>
      <b/>
      <vertAlign val="superscript"/>
      <sz val="14"/>
      <color rgb="FFFF0000"/>
      <name val="Aptos Narrow (Body)"/>
    </font>
    <font>
      <b/>
      <vertAlign val="subscript"/>
      <sz val="14"/>
      <color rgb="FFFF0000"/>
      <name val="Aptos Narrow (Body)"/>
    </font>
    <font>
      <b/>
      <sz val="16"/>
      <color theme="1"/>
      <name val="Aptos Narrow (Body)"/>
    </font>
    <font>
      <b/>
      <sz val="20"/>
      <color rgb="FFFF0000"/>
      <name val="Aptos Narrow (Body)"/>
    </font>
    <font>
      <b/>
      <vertAlign val="subscript"/>
      <sz val="20"/>
      <color rgb="FFFF0000"/>
      <name val="Aptos Narrow (Body)"/>
    </font>
    <font>
      <b/>
      <vertAlign val="superscript"/>
      <sz val="20"/>
      <color rgb="FFFF0000"/>
      <name val="Aptos Narrow (Body)"/>
    </font>
    <font>
      <b/>
      <sz val="20"/>
      <color theme="1"/>
      <name val="Aptos Narrow"/>
      <scheme val="minor"/>
    </font>
    <font>
      <b/>
      <vertAlign val="subscript"/>
      <sz val="20"/>
      <color theme="1"/>
      <name val="Aptos Narrow (Body)"/>
    </font>
    <font>
      <b/>
      <sz val="14"/>
      <color rgb="FFFF0000"/>
      <name val="Aptos Narrow"/>
      <family val="2"/>
      <scheme val="minor"/>
    </font>
    <font>
      <sz val="14"/>
      <color rgb="FFFF0000"/>
      <name val="Aptos Narrow"/>
      <family val="2"/>
      <scheme val="minor"/>
    </font>
    <font>
      <b/>
      <sz val="14"/>
      <color theme="1"/>
      <name val="Aptos Narrow (Body)"/>
    </font>
    <font>
      <b/>
      <vertAlign val="subscript"/>
      <sz val="22"/>
      <color theme="1"/>
      <name val="Aptos Narrow (Body)"/>
    </font>
    <font>
      <b/>
      <sz val="12"/>
      <name val="Aptos Narrow"/>
      <scheme val="minor"/>
    </font>
    <font>
      <sz val="14"/>
      <name val="Aptos Narrow"/>
      <scheme val="minor"/>
    </font>
    <font>
      <b/>
      <sz val="11"/>
      <name val="Calibri"/>
      <family val="2"/>
    </font>
    <font>
      <vertAlign val="subscript"/>
      <sz val="12"/>
      <color theme="1"/>
      <name val="Aptos Narrow (Body)"/>
    </font>
    <font>
      <vertAlign val="subscript"/>
      <sz val="12"/>
      <color theme="1"/>
      <name val="Aptos Narrow"/>
      <family val="2"/>
      <scheme val="minor"/>
    </font>
    <font>
      <b/>
      <vertAlign val="subscript"/>
      <sz val="12"/>
      <color theme="1"/>
      <name val="Aptos Narrow (Body)"/>
    </font>
    <font>
      <vertAlign val="superscript"/>
      <sz val="12"/>
      <color theme="1"/>
      <name val="Aptos Narrow (Body)"/>
    </font>
    <font>
      <sz val="14"/>
      <color theme="1"/>
      <name val="Cambria Math"/>
      <family val="1"/>
    </font>
    <font>
      <vertAlign val="subscript"/>
      <sz val="14"/>
      <color theme="1"/>
      <name val="Cambria Math"/>
      <family val="1"/>
    </font>
    <font>
      <sz val="14"/>
      <color rgb="FF000000"/>
      <name val="Times"/>
    </font>
  </fonts>
  <fills count="19">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4D93D9"/>
        <bgColor rgb="FF000000"/>
      </patternFill>
    </fill>
    <fill>
      <patternFill patternType="solid">
        <fgColor theme="1"/>
        <bgColor indexed="64"/>
      </patternFill>
    </fill>
    <fill>
      <patternFill patternType="solid">
        <fgColor rgb="FFFFC000"/>
        <bgColor indexed="64"/>
      </patternFill>
    </fill>
    <fill>
      <patternFill patternType="solid">
        <fgColor rgb="FFE97674"/>
        <bgColor indexed="64"/>
      </patternFill>
    </fill>
    <fill>
      <patternFill patternType="solid">
        <fgColor theme="9" tint="0.39997558519241921"/>
        <bgColor indexed="64"/>
      </patternFill>
    </fill>
    <fill>
      <patternFill patternType="solid">
        <fgColor theme="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D200"/>
        <bgColor indexed="64"/>
      </patternFill>
    </fill>
    <fill>
      <patternFill patternType="solid">
        <fgColor theme="7" tint="0.59999389629810485"/>
        <bgColor indexed="64"/>
      </patternFill>
    </fill>
    <fill>
      <patternFill patternType="solid">
        <fgColor rgb="FFFF6D29"/>
        <bgColor indexed="64"/>
      </patternFill>
    </fill>
    <fill>
      <patternFill patternType="solid">
        <fgColor rgb="FFFF471E"/>
        <bgColor indexed="64"/>
      </patternFill>
    </fill>
    <fill>
      <patternFill patternType="solid">
        <fgColor theme="7" tint="0.39997558519241921"/>
        <bgColor indexed="64"/>
      </patternFill>
    </fill>
  </fills>
  <borders count="8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diagonalDown="1">
      <left style="medium">
        <color indexed="64"/>
      </left>
      <right style="thin">
        <color indexed="64"/>
      </right>
      <top style="thin">
        <color indexed="64"/>
      </top>
      <bottom style="thin">
        <color indexed="64"/>
      </bottom>
      <diagonal style="medium">
        <color indexed="64"/>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top/>
      <bottom style="double">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diagonalDown="1">
      <left style="medium">
        <color indexed="64"/>
      </left>
      <right/>
      <top style="medium">
        <color indexed="64"/>
      </top>
      <bottom style="medium">
        <color indexed="64"/>
      </bottom>
      <diagonal style="thin">
        <color indexed="64"/>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diagonalDown="1">
      <left style="medium">
        <color indexed="64"/>
      </left>
      <right/>
      <top/>
      <bottom style="medium">
        <color indexed="64"/>
      </bottom>
      <diagonal style="thin">
        <color indexed="64"/>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thin">
        <color indexed="64"/>
      </left>
      <right/>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s>
  <cellStyleXfs count="1">
    <xf numFmtId="0" fontId="0" fillId="0" borderId="0"/>
  </cellStyleXfs>
  <cellXfs count="521">
    <xf numFmtId="0" fontId="0" fillId="0" borderId="0" xfId="0"/>
    <xf numFmtId="0" fontId="2" fillId="0" borderId="0" xfId="0" applyFont="1"/>
    <xf numFmtId="0" fontId="3" fillId="0" borderId="0" xfId="0" applyFont="1"/>
    <xf numFmtId="0" fontId="4" fillId="2" borderId="1" xfId="0" applyFont="1" applyFill="1" applyBorder="1"/>
    <xf numFmtId="0" fontId="3" fillId="2" borderId="2" xfId="0" applyFont="1" applyFill="1" applyBorder="1"/>
    <xf numFmtId="0" fontId="4" fillId="3" borderId="3" xfId="0" applyFont="1" applyFill="1" applyBorder="1"/>
    <xf numFmtId="0" fontId="5" fillId="3" borderId="4" xfId="0" applyFont="1" applyFill="1" applyBorder="1"/>
    <xf numFmtId="0" fontId="2" fillId="3" borderId="5" xfId="0" applyFont="1" applyFill="1" applyBorder="1"/>
    <xf numFmtId="0" fontId="4" fillId="4" borderId="3" xfId="0" applyFont="1" applyFill="1" applyBorder="1"/>
    <xf numFmtId="0" fontId="6" fillId="4" borderId="4" xfId="0" applyFont="1" applyFill="1" applyBorder="1"/>
    <xf numFmtId="0" fontId="6" fillId="4" borderId="5" xfId="0" applyFont="1" applyFill="1" applyBorder="1"/>
    <xf numFmtId="0" fontId="4" fillId="5" borderId="3" xfId="0" applyFont="1" applyFill="1" applyBorder="1"/>
    <xf numFmtId="0" fontId="6" fillId="5" borderId="4" xfId="0" applyFont="1" applyFill="1" applyBorder="1"/>
    <xf numFmtId="0" fontId="6" fillId="5" borderId="5" xfId="0" applyFont="1" applyFill="1" applyBorder="1"/>
    <xf numFmtId="0" fontId="3" fillId="2" borderId="6" xfId="0" applyFont="1" applyFill="1" applyBorder="1"/>
    <xf numFmtId="11" fontId="10" fillId="2" borderId="7" xfId="0" applyNumberFormat="1" applyFont="1" applyFill="1" applyBorder="1"/>
    <xf numFmtId="0" fontId="11" fillId="3" borderId="8" xfId="0" applyFont="1" applyFill="1" applyBorder="1" applyAlignment="1">
      <alignment wrapText="1"/>
    </xf>
    <xf numFmtId="0" fontId="5" fillId="3" borderId="9" xfId="0" applyFont="1" applyFill="1" applyBorder="1"/>
    <xf numFmtId="0" fontId="12" fillId="3" borderId="9" xfId="0" applyFont="1" applyFill="1" applyBorder="1"/>
    <xf numFmtId="0" fontId="5" fillId="3" borderId="10" xfId="0" applyFont="1" applyFill="1" applyBorder="1"/>
    <xf numFmtId="0" fontId="11" fillId="4" borderId="8" xfId="0" applyFont="1" applyFill="1" applyBorder="1" applyAlignment="1">
      <alignment wrapText="1"/>
    </xf>
    <xf numFmtId="0" fontId="5" fillId="4" borderId="9" xfId="0" applyFont="1" applyFill="1" applyBorder="1"/>
    <xf numFmtId="0" fontId="5" fillId="4" borderId="10" xfId="0" applyFont="1" applyFill="1" applyBorder="1"/>
    <xf numFmtId="0" fontId="11" fillId="5" borderId="8" xfId="0" applyFont="1" applyFill="1" applyBorder="1" applyAlignment="1">
      <alignment wrapText="1"/>
    </xf>
    <xf numFmtId="0" fontId="5" fillId="5" borderId="9" xfId="0" applyFont="1" applyFill="1" applyBorder="1"/>
    <xf numFmtId="0" fontId="5" fillId="5" borderId="10" xfId="0" applyFont="1" applyFill="1" applyBorder="1"/>
    <xf numFmtId="0" fontId="3" fillId="2" borderId="11" xfId="0" applyFont="1" applyFill="1" applyBorder="1"/>
    <xf numFmtId="164" fontId="10" fillId="2" borderId="12" xfId="0" applyNumberFormat="1" applyFont="1" applyFill="1" applyBorder="1"/>
    <xf numFmtId="0" fontId="5" fillId="3" borderId="13" xfId="0" applyFont="1" applyFill="1" applyBorder="1"/>
    <xf numFmtId="0" fontId="14" fillId="6" borderId="9" xfId="0" applyFont="1" applyFill="1" applyBorder="1"/>
    <xf numFmtId="0" fontId="14" fillId="6" borderId="14" xfId="0" applyFont="1" applyFill="1" applyBorder="1"/>
    <xf numFmtId="0" fontId="14" fillId="6" borderId="12" xfId="0" applyFont="1" applyFill="1" applyBorder="1"/>
    <xf numFmtId="0" fontId="5" fillId="4" borderId="13" xfId="0" applyFont="1" applyFill="1" applyBorder="1"/>
    <xf numFmtId="0" fontId="6" fillId="4" borderId="9" xfId="0" applyFont="1" applyFill="1" applyBorder="1"/>
    <xf numFmtId="11" fontId="6" fillId="4" borderId="10" xfId="0" applyNumberFormat="1" applyFont="1" applyFill="1" applyBorder="1"/>
    <xf numFmtId="0" fontId="5" fillId="5" borderId="13" xfId="0" applyFont="1" applyFill="1" applyBorder="1"/>
    <xf numFmtId="0" fontId="6" fillId="5" borderId="9" xfId="0" applyFont="1" applyFill="1" applyBorder="1"/>
    <xf numFmtId="11" fontId="6" fillId="5" borderId="9" xfId="0" applyNumberFormat="1" applyFont="1" applyFill="1" applyBorder="1"/>
    <xf numFmtId="11" fontId="6" fillId="5" borderId="10" xfId="0" applyNumberFormat="1" applyFont="1" applyFill="1" applyBorder="1"/>
    <xf numFmtId="0" fontId="10" fillId="2" borderId="15" xfId="0" applyFont="1" applyFill="1" applyBorder="1"/>
    <xf numFmtId="11" fontId="20" fillId="2" borderId="16" xfId="0" applyNumberFormat="1" applyFont="1" applyFill="1" applyBorder="1"/>
    <xf numFmtId="0" fontId="14" fillId="6" borderId="17" xfId="0" applyFont="1" applyFill="1" applyBorder="1"/>
    <xf numFmtId="0" fontId="14" fillId="6" borderId="18" xfId="0" applyFont="1" applyFill="1" applyBorder="1"/>
    <xf numFmtId="11" fontId="14" fillId="6" borderId="18" xfId="0" applyNumberFormat="1" applyFont="1" applyFill="1" applyBorder="1"/>
    <xf numFmtId="0" fontId="14" fillId="6" borderId="7" xfId="0" applyFont="1" applyFill="1" applyBorder="1"/>
    <xf numFmtId="165" fontId="6" fillId="4" borderId="9" xfId="0" applyNumberFormat="1" applyFont="1" applyFill="1" applyBorder="1"/>
    <xf numFmtId="11" fontId="20" fillId="2" borderId="12" xfId="0" applyNumberFormat="1" applyFont="1" applyFill="1" applyBorder="1"/>
    <xf numFmtId="0" fontId="5" fillId="4" borderId="19" xfId="0" applyFont="1" applyFill="1" applyBorder="1"/>
    <xf numFmtId="11" fontId="6" fillId="4" borderId="20" xfId="0" applyNumberFormat="1" applyFont="1" applyFill="1" applyBorder="1"/>
    <xf numFmtId="0" fontId="6" fillId="4" borderId="21" xfId="0" applyFont="1" applyFill="1" applyBorder="1"/>
    <xf numFmtId="0" fontId="5" fillId="5" borderId="19" xfId="0" applyFont="1" applyFill="1" applyBorder="1"/>
    <xf numFmtId="11" fontId="6" fillId="5" borderId="20" xfId="0" applyNumberFormat="1" applyFont="1" applyFill="1" applyBorder="1"/>
    <xf numFmtId="0" fontId="6" fillId="5" borderId="21" xfId="0" applyFont="1" applyFill="1" applyBorder="1"/>
    <xf numFmtId="0" fontId="3" fillId="2" borderId="15" xfId="0" applyFont="1" applyFill="1" applyBorder="1"/>
    <xf numFmtId="11" fontId="6" fillId="2" borderId="16" xfId="0" applyNumberFormat="1" applyFont="1" applyFill="1" applyBorder="1"/>
    <xf numFmtId="11" fontId="6" fillId="2" borderId="12" xfId="0" applyNumberFormat="1" applyFont="1" applyFill="1" applyBorder="1"/>
    <xf numFmtId="0" fontId="12" fillId="3" borderId="13" xfId="0" applyFont="1" applyFill="1" applyBorder="1"/>
    <xf numFmtId="0" fontId="6" fillId="2" borderId="12" xfId="0" applyFont="1" applyFill="1" applyBorder="1" applyAlignment="1">
      <alignment horizontal="right" vertical="center"/>
    </xf>
    <xf numFmtId="11" fontId="6" fillId="2" borderId="12" xfId="0" applyNumberFormat="1" applyFont="1" applyFill="1" applyBorder="1" applyAlignment="1">
      <alignment horizontal="right" vertical="center"/>
    </xf>
    <xf numFmtId="0" fontId="5" fillId="3" borderId="19" xfId="0" applyFont="1" applyFill="1" applyBorder="1"/>
    <xf numFmtId="0" fontId="14" fillId="6" borderId="22" xfId="0" applyFont="1" applyFill="1" applyBorder="1"/>
    <xf numFmtId="0" fontId="14" fillId="6" borderId="23" xfId="0" applyFont="1" applyFill="1" applyBorder="1"/>
    <xf numFmtId="0" fontId="14" fillId="6" borderId="24" xfId="0" applyFont="1" applyFill="1" applyBorder="1"/>
    <xf numFmtId="0" fontId="6" fillId="2" borderId="16" xfId="0" applyFont="1" applyFill="1" applyBorder="1" applyAlignment="1">
      <alignment horizontal="right" vertical="center"/>
    </xf>
    <xf numFmtId="11" fontId="6" fillId="2" borderId="7" xfId="0" applyNumberFormat="1" applyFont="1" applyFill="1" applyBorder="1" applyAlignment="1">
      <alignment horizontal="right"/>
    </xf>
    <xf numFmtId="0" fontId="24" fillId="0" borderId="0" xfId="0" applyFont="1"/>
    <xf numFmtId="0" fontId="6" fillId="0" borderId="0" xfId="0" applyFont="1"/>
    <xf numFmtId="0" fontId="24" fillId="0" borderId="1" xfId="0" applyFont="1" applyBorder="1"/>
    <xf numFmtId="0" fontId="6" fillId="0" borderId="26" xfId="0" applyFont="1" applyBorder="1"/>
    <xf numFmtId="0" fontId="6" fillId="0" borderId="2" xfId="0" applyFont="1" applyBorder="1"/>
    <xf numFmtId="0" fontId="25" fillId="0" borderId="1" xfId="0" applyFont="1" applyBorder="1"/>
    <xf numFmtId="0" fontId="6" fillId="0" borderId="27" xfId="0" applyFont="1" applyBorder="1" applyAlignment="1">
      <alignment horizontal="center"/>
    </xf>
    <xf numFmtId="0" fontId="0" fillId="7" borderId="27" xfId="0" applyFill="1" applyBorder="1"/>
    <xf numFmtId="0" fontId="5" fillId="0" borderId="28" xfId="0" applyFont="1" applyBorder="1" applyAlignment="1">
      <alignment horizontal="center"/>
    </xf>
    <xf numFmtId="0" fontId="5" fillId="0" borderId="29" xfId="0" applyFont="1" applyBorder="1" applyAlignment="1">
      <alignment horizontal="center"/>
    </xf>
    <xf numFmtId="0" fontId="5" fillId="0" borderId="24" xfId="0" applyFont="1" applyBorder="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6" fillId="7" borderId="34" xfId="0" applyFont="1" applyFill="1" applyBorder="1"/>
    <xf numFmtId="0" fontId="26" fillId="0" borderId="35" xfId="0" applyFont="1" applyBorder="1" applyAlignment="1">
      <alignment horizontal="center" vertical="top"/>
    </xf>
    <xf numFmtId="0" fontId="26" fillId="0" borderId="36" xfId="0" applyFont="1" applyBorder="1" applyAlignment="1">
      <alignment horizontal="center" vertical="top"/>
    </xf>
    <xf numFmtId="0" fontId="26" fillId="0" borderId="37" xfId="0" applyFont="1" applyBorder="1" applyAlignment="1">
      <alignment horizontal="center" vertical="top"/>
    </xf>
    <xf numFmtId="0" fontId="28" fillId="0" borderId="34" xfId="0" applyFont="1" applyBorder="1"/>
    <xf numFmtId="0" fontId="6" fillId="8" borderId="38" xfId="0" applyFont="1" applyFill="1" applyBorder="1"/>
    <xf numFmtId="0" fontId="6" fillId="8" borderId="39" xfId="0" applyFont="1" applyFill="1" applyBorder="1"/>
    <xf numFmtId="0" fontId="6" fillId="8" borderId="40" xfId="0" applyFont="1" applyFill="1" applyBorder="1"/>
    <xf numFmtId="0" fontId="3" fillId="8" borderId="30" xfId="0" applyFont="1" applyFill="1" applyBorder="1"/>
    <xf numFmtId="0" fontId="3" fillId="8" borderId="31" xfId="0" applyFont="1" applyFill="1" applyBorder="1"/>
    <xf numFmtId="0" fontId="3" fillId="8" borderId="32" xfId="0" applyFont="1" applyFill="1" applyBorder="1"/>
    <xf numFmtId="11" fontId="6" fillId="8" borderId="33" xfId="0" applyNumberFormat="1" applyFont="1" applyFill="1" applyBorder="1" applyAlignment="1">
      <alignment horizontal="center"/>
    </xf>
    <xf numFmtId="0" fontId="26" fillId="0" borderId="41" xfId="0" applyFont="1" applyBorder="1" applyAlignment="1">
      <alignment horizontal="center" vertical="top"/>
    </xf>
    <xf numFmtId="0" fontId="6" fillId="8" borderId="14" xfId="0" applyFont="1" applyFill="1" applyBorder="1"/>
    <xf numFmtId="0" fontId="6" fillId="8" borderId="9" xfId="0" applyFont="1" applyFill="1" applyBorder="1"/>
    <xf numFmtId="0" fontId="6" fillId="8" borderId="10" xfId="0" applyFont="1" applyFill="1" applyBorder="1"/>
    <xf numFmtId="0" fontId="28" fillId="0" borderId="15" xfId="0" applyFont="1" applyBorder="1"/>
    <xf numFmtId="11" fontId="6" fillId="8" borderId="11" xfId="0" applyNumberFormat="1" applyFont="1" applyFill="1" applyBorder="1"/>
    <xf numFmtId="11" fontId="6" fillId="8" borderId="9" xfId="0" applyNumberFormat="1" applyFont="1" applyFill="1" applyBorder="1"/>
    <xf numFmtId="11" fontId="6" fillId="8" borderId="14" xfId="0" applyNumberFormat="1" applyFont="1" applyFill="1" applyBorder="1"/>
    <xf numFmtId="0" fontId="26" fillId="0" borderId="42" xfId="0" applyFont="1" applyBorder="1" applyAlignment="1">
      <alignment horizontal="center" vertical="top"/>
    </xf>
    <xf numFmtId="0" fontId="28" fillId="0" borderId="28" xfId="0" applyFont="1" applyBorder="1"/>
    <xf numFmtId="11" fontId="6" fillId="8" borderId="19" xfId="0" applyNumberFormat="1" applyFont="1" applyFill="1" applyBorder="1"/>
    <xf numFmtId="11" fontId="6" fillId="8" borderId="20" xfId="0" applyNumberFormat="1" applyFont="1" applyFill="1" applyBorder="1"/>
    <xf numFmtId="11" fontId="6" fillId="8" borderId="21" xfId="0" applyNumberFormat="1" applyFont="1" applyFill="1" applyBorder="1"/>
    <xf numFmtId="0" fontId="26" fillId="0" borderId="43" xfId="0" applyFont="1" applyBorder="1" applyAlignment="1">
      <alignment horizontal="center" vertical="top"/>
    </xf>
    <xf numFmtId="0" fontId="6" fillId="8" borderId="44" xfId="0" applyFont="1" applyFill="1" applyBorder="1"/>
    <xf numFmtId="0" fontId="6" fillId="8" borderId="20" xfId="0" applyFont="1" applyFill="1" applyBorder="1"/>
    <xf numFmtId="0" fontId="6" fillId="8" borderId="21" xfId="0" applyFont="1" applyFill="1" applyBorder="1"/>
    <xf numFmtId="0" fontId="5" fillId="0" borderId="1" xfId="0" applyFont="1" applyBorder="1" applyAlignment="1">
      <alignment horizontal="center"/>
    </xf>
    <xf numFmtId="0" fontId="5" fillId="0" borderId="26" xfId="0" applyFont="1" applyBorder="1" applyAlignment="1">
      <alignment horizontal="center"/>
    </xf>
    <xf numFmtId="0" fontId="5" fillId="0" borderId="2" xfId="0" applyFont="1" applyBorder="1" applyAlignment="1">
      <alignment horizontal="center"/>
    </xf>
    <xf numFmtId="0" fontId="6" fillId="8" borderId="30" xfId="0" applyFont="1" applyFill="1" applyBorder="1"/>
    <xf numFmtId="0" fontId="3" fillId="8" borderId="33" xfId="0" applyFont="1" applyFill="1" applyBorder="1"/>
    <xf numFmtId="0" fontId="6" fillId="8" borderId="30" xfId="0" applyFont="1" applyFill="1" applyBorder="1" applyAlignment="1">
      <alignment horizontal="center"/>
    </xf>
    <xf numFmtId="0" fontId="6" fillId="8" borderId="31" xfId="0" applyFont="1" applyFill="1" applyBorder="1" applyAlignment="1">
      <alignment horizontal="center"/>
    </xf>
    <xf numFmtId="0" fontId="30" fillId="0" borderId="1" xfId="0" applyFont="1" applyBorder="1" applyAlignment="1">
      <alignment horizontal="left" vertical="top"/>
    </xf>
    <xf numFmtId="0" fontId="0" fillId="0" borderId="26" xfId="0" applyBorder="1"/>
    <xf numFmtId="0" fontId="0" fillId="0" borderId="2" xfId="0" applyBorder="1"/>
    <xf numFmtId="0" fontId="6" fillId="7" borderId="27" xfId="0" applyFont="1" applyFill="1" applyBorder="1"/>
    <xf numFmtId="0" fontId="26" fillId="0" borderId="30" xfId="0" applyFont="1" applyBorder="1" applyAlignment="1">
      <alignment horizontal="center" vertical="top"/>
    </xf>
    <xf numFmtId="0" fontId="26" fillId="0" borderId="31" xfId="0" applyFont="1" applyBorder="1" applyAlignment="1">
      <alignment horizontal="center" vertical="top"/>
    </xf>
    <xf numFmtId="0" fontId="26" fillId="0" borderId="33" xfId="0" applyFont="1" applyBorder="1" applyAlignment="1">
      <alignment horizontal="center" vertical="top"/>
    </xf>
    <xf numFmtId="0" fontId="5" fillId="0" borderId="0" xfId="0" applyFont="1" applyAlignment="1">
      <alignment horizontal="center"/>
    </xf>
    <xf numFmtId="0" fontId="6" fillId="8" borderId="18" xfId="0" applyFont="1" applyFill="1" applyBorder="1"/>
    <xf numFmtId="0" fontId="6" fillId="8" borderId="17" xfId="0" applyFont="1" applyFill="1" applyBorder="1"/>
    <xf numFmtId="0" fontId="6" fillId="0" borderId="30" xfId="0" applyFont="1" applyBorder="1" applyAlignment="1">
      <alignment horizontal="center"/>
    </xf>
    <xf numFmtId="0" fontId="6" fillId="0" borderId="31" xfId="0" applyFont="1" applyBorder="1" applyAlignment="1">
      <alignment horizontal="center"/>
    </xf>
    <xf numFmtId="0" fontId="5" fillId="0" borderId="41" xfId="0" applyFont="1" applyBorder="1"/>
    <xf numFmtId="0" fontId="6" fillId="0" borderId="27" xfId="0" applyFont="1" applyBorder="1"/>
    <xf numFmtId="0" fontId="5" fillId="0" borderId="43" xfId="0" applyFont="1" applyBorder="1"/>
    <xf numFmtId="0" fontId="6" fillId="8" borderId="27" xfId="0" applyFont="1" applyFill="1" applyBorder="1"/>
    <xf numFmtId="0" fontId="26" fillId="0" borderId="0" xfId="0" applyFont="1" applyAlignment="1">
      <alignment horizontal="center" vertical="top"/>
    </xf>
    <xf numFmtId="0" fontId="24" fillId="0" borderId="30" xfId="0" applyFont="1" applyBorder="1" applyAlignment="1">
      <alignment horizontal="center" wrapText="1"/>
    </xf>
    <xf numFmtId="0" fontId="24" fillId="0" borderId="33" xfId="0" applyFont="1" applyBorder="1" applyAlignment="1">
      <alignment horizontal="center" wrapText="1"/>
    </xf>
    <xf numFmtId="0" fontId="24" fillId="0" borderId="37" xfId="0" applyFont="1" applyBorder="1" applyAlignment="1">
      <alignment horizontal="center" wrapText="1"/>
    </xf>
    <xf numFmtId="0" fontId="24" fillId="0" borderId="27" xfId="0" applyFont="1" applyBorder="1" applyAlignment="1">
      <alignment horizontal="center" vertical="center" wrapText="1"/>
    </xf>
    <xf numFmtId="0" fontId="31" fillId="0" borderId="27" xfId="0" applyFont="1" applyBorder="1" applyAlignment="1">
      <alignment horizontal="center"/>
    </xf>
    <xf numFmtId="0" fontId="6" fillId="8" borderId="2" xfId="0" applyFont="1" applyFill="1" applyBorder="1" applyAlignment="1">
      <alignment horizontal="center"/>
    </xf>
    <xf numFmtId="0" fontId="31" fillId="0" borderId="0" xfId="0" applyFont="1" applyAlignment="1">
      <alignment horizontal="center"/>
    </xf>
    <xf numFmtId="11" fontId="6" fillId="0" borderId="0" xfId="0" applyNumberFormat="1" applyFont="1"/>
    <xf numFmtId="0" fontId="30" fillId="0" borderId="0" xfId="0" applyFont="1"/>
    <xf numFmtId="0" fontId="31" fillId="0" borderId="30" xfId="0" applyFont="1" applyBorder="1" applyAlignment="1">
      <alignment horizontal="center"/>
    </xf>
    <xf numFmtId="0" fontId="31" fillId="0" borderId="33" xfId="0" applyFont="1" applyBorder="1" applyAlignment="1">
      <alignment horizontal="center"/>
    </xf>
    <xf numFmtId="0" fontId="32" fillId="8" borderId="45" xfId="0" applyFont="1" applyFill="1" applyBorder="1" applyAlignment="1">
      <alignment horizontal="center" vertical="center"/>
    </xf>
    <xf numFmtId="0" fontId="32" fillId="8" borderId="46" xfId="0" applyFont="1" applyFill="1" applyBorder="1" applyAlignment="1">
      <alignment horizontal="center" vertical="center"/>
    </xf>
    <xf numFmtId="0" fontId="32" fillId="0" borderId="0" xfId="0" applyFont="1" applyAlignment="1">
      <alignment horizontal="center" vertical="center"/>
    </xf>
    <xf numFmtId="0" fontId="33" fillId="9" borderId="0" xfId="0" applyFont="1" applyFill="1"/>
    <xf numFmtId="0" fontId="34" fillId="9" borderId="0" xfId="0" applyFont="1" applyFill="1"/>
    <xf numFmtId="0" fontId="24" fillId="0" borderId="47" xfId="0" applyFont="1" applyBorder="1" applyAlignment="1">
      <alignment horizontal="center" vertical="center"/>
    </xf>
    <xf numFmtId="0" fontId="25" fillId="0" borderId="47" xfId="0" applyFont="1" applyBorder="1" applyAlignment="1">
      <alignment horizontal="center" vertical="center"/>
    </xf>
    <xf numFmtId="0" fontId="37" fillId="9" borderId="0" xfId="0" applyFont="1" applyFill="1"/>
    <xf numFmtId="0" fontId="6" fillId="9" borderId="0" xfId="0" applyFont="1" applyFill="1"/>
    <xf numFmtId="0" fontId="5" fillId="0" borderId="3" xfId="0" applyFont="1" applyBorder="1" applyAlignment="1">
      <alignment horizontal="center"/>
    </xf>
    <xf numFmtId="11" fontId="6" fillId="0" borderId="3" xfId="0" applyNumberFormat="1" applyFont="1" applyBorder="1"/>
    <xf numFmtId="11" fontId="6" fillId="0" borderId="41" xfId="0" applyNumberFormat="1" applyFont="1" applyBorder="1"/>
    <xf numFmtId="0" fontId="5" fillId="0" borderId="11" xfId="0" applyFont="1" applyBorder="1" applyAlignment="1">
      <alignment horizontal="center"/>
    </xf>
    <xf numFmtId="11" fontId="6" fillId="0" borderId="11" xfId="0" applyNumberFormat="1" applyFont="1" applyBorder="1"/>
    <xf numFmtId="11" fontId="6" fillId="0" borderId="42" xfId="0" applyNumberFormat="1" applyFont="1" applyBorder="1"/>
    <xf numFmtId="0" fontId="6" fillId="0" borderId="34" xfId="0" applyFont="1" applyBorder="1"/>
    <xf numFmtId="11" fontId="6" fillId="8" borderId="41" xfId="0" applyNumberFormat="1" applyFont="1" applyFill="1" applyBorder="1"/>
    <xf numFmtId="0" fontId="6" fillId="0" borderId="28" xfId="0" applyFont="1" applyBorder="1"/>
    <xf numFmtId="11" fontId="6" fillId="8" borderId="43" xfId="0" applyNumberFormat="1" applyFont="1" applyFill="1" applyBorder="1"/>
    <xf numFmtId="0" fontId="4" fillId="4" borderId="0" xfId="0" applyFont="1" applyFill="1"/>
    <xf numFmtId="10" fontId="6" fillId="4" borderId="0" xfId="0" applyNumberFormat="1" applyFont="1" applyFill="1"/>
    <xf numFmtId="0" fontId="5" fillId="0" borderId="48" xfId="0" applyFont="1" applyBorder="1" applyAlignment="1">
      <alignment horizontal="center"/>
    </xf>
    <xf numFmtId="11" fontId="6" fillId="0" borderId="48" xfId="0" applyNumberFormat="1" applyFont="1" applyBorder="1"/>
    <xf numFmtId="11" fontId="6" fillId="0" borderId="43" xfId="0" applyNumberFormat="1" applyFont="1" applyBorder="1"/>
    <xf numFmtId="0" fontId="0" fillId="9" borderId="0" xfId="0" applyFill="1"/>
    <xf numFmtId="0" fontId="25" fillId="0" borderId="27" xfId="0" applyFont="1" applyBorder="1"/>
    <xf numFmtId="0" fontId="25" fillId="0" borderId="27" xfId="0" applyFont="1" applyBorder="1" applyAlignment="1">
      <alignment horizontal="center"/>
    </xf>
    <xf numFmtId="0" fontId="6" fillId="8" borderId="47" xfId="0" applyFont="1" applyFill="1" applyBorder="1" applyAlignment="1">
      <alignment horizontal="center"/>
    </xf>
    <xf numFmtId="0" fontId="24" fillId="0" borderId="1" xfId="0" applyFont="1" applyBorder="1" applyAlignment="1">
      <alignment horizontal="center"/>
    </xf>
    <xf numFmtId="11" fontId="6" fillId="8" borderId="27" xfId="0" applyNumberFormat="1" applyFont="1" applyFill="1" applyBorder="1" applyAlignment="1">
      <alignment horizontal="center"/>
    </xf>
    <xf numFmtId="0" fontId="5" fillId="0" borderId="27" xfId="0" applyFont="1" applyBorder="1" applyAlignment="1">
      <alignment horizontal="center"/>
    </xf>
    <xf numFmtId="11" fontId="3" fillId="8" borderId="27" xfId="0" applyNumberFormat="1" applyFont="1" applyFill="1" applyBorder="1"/>
    <xf numFmtId="0" fontId="41" fillId="0" borderId="27" xfId="0" applyFont="1" applyBorder="1" applyAlignment="1">
      <alignment horizontal="center"/>
    </xf>
    <xf numFmtId="0" fontId="24" fillId="0" borderId="49" xfId="0" applyFont="1" applyBorder="1" applyAlignment="1">
      <alignment horizontal="left" vertical="center" wrapText="1"/>
    </xf>
    <xf numFmtId="0" fontId="31" fillId="0" borderId="1" xfId="0" applyFont="1" applyBorder="1" applyAlignment="1">
      <alignment horizontal="center" vertical="center"/>
    </xf>
    <xf numFmtId="0" fontId="0" fillId="7" borderId="50" xfId="0" applyFill="1" applyBorder="1"/>
    <xf numFmtId="0" fontId="31" fillId="0" borderId="0" xfId="0" applyFont="1" applyAlignment="1">
      <alignment horizontal="center" vertical="center"/>
    </xf>
    <xf numFmtId="0" fontId="24" fillId="0" borderId="27" xfId="0" applyFont="1" applyBorder="1" applyAlignment="1">
      <alignment horizontal="center" vertical="center"/>
    </xf>
    <xf numFmtId="0" fontId="43" fillId="0" borderId="1" xfId="0" applyFont="1" applyBorder="1" applyAlignment="1">
      <alignment horizontal="center" vertical="center"/>
    </xf>
    <xf numFmtId="0" fontId="43" fillId="0" borderId="26" xfId="0" applyFont="1" applyBorder="1" applyAlignment="1">
      <alignment horizontal="center" vertical="center"/>
    </xf>
    <xf numFmtId="0" fontId="25" fillId="0" borderId="26" xfId="0" applyFont="1" applyBorder="1" applyAlignment="1">
      <alignment horizontal="center" vertical="center"/>
    </xf>
    <xf numFmtId="0" fontId="43" fillId="0" borderId="2" xfId="0" applyFont="1" applyBorder="1" applyAlignment="1">
      <alignment horizontal="center" vertical="center"/>
    </xf>
    <xf numFmtId="11" fontId="0" fillId="0" borderId="41" xfId="0" applyNumberFormat="1" applyBorder="1"/>
    <xf numFmtId="0" fontId="0" fillId="0" borderId="41" xfId="0" applyBorder="1"/>
    <xf numFmtId="11" fontId="0" fillId="0" borderId="0" xfId="0" applyNumberFormat="1"/>
    <xf numFmtId="11" fontId="6" fillId="0" borderId="34" xfId="0" applyNumberFormat="1" applyFont="1" applyBorder="1"/>
    <xf numFmtId="0" fontId="6" fillId="0" borderId="51" xfId="0" applyFont="1" applyBorder="1"/>
    <xf numFmtId="11" fontId="6" fillId="0" borderId="51" xfId="0" applyNumberFormat="1" applyFont="1" applyBorder="1"/>
    <xf numFmtId="11" fontId="6" fillId="0" borderId="52" xfId="0" applyNumberFormat="1" applyFont="1" applyBorder="1"/>
    <xf numFmtId="0" fontId="6" fillId="0" borderId="41" xfId="0" applyFont="1" applyBorder="1"/>
    <xf numFmtId="0" fontId="5" fillId="0" borderId="41" xfId="0" applyFont="1" applyBorder="1" applyAlignment="1">
      <alignment horizontal="center"/>
    </xf>
    <xf numFmtId="0" fontId="0" fillId="0" borderId="42" xfId="0" applyBorder="1"/>
    <xf numFmtId="0" fontId="44" fillId="0" borderId="27" xfId="0" applyFont="1" applyBorder="1" applyAlignment="1">
      <alignment horizontal="center"/>
    </xf>
    <xf numFmtId="11" fontId="6" fillId="0" borderId="15" xfId="0" applyNumberFormat="1" applyFont="1" applyBorder="1"/>
    <xf numFmtId="11" fontId="6" fillId="0" borderId="16" xfId="0" applyNumberFormat="1" applyFont="1" applyBorder="1"/>
    <xf numFmtId="0" fontId="5" fillId="0" borderId="42" xfId="0" applyFont="1" applyBorder="1" applyAlignment="1">
      <alignment horizontal="center"/>
    </xf>
    <xf numFmtId="11" fontId="0" fillId="0" borderId="42" xfId="0" applyNumberFormat="1" applyBorder="1"/>
    <xf numFmtId="11" fontId="0" fillId="8" borderId="41" xfId="0" applyNumberFormat="1" applyFill="1" applyBorder="1"/>
    <xf numFmtId="0" fontId="0" fillId="8" borderId="53" xfId="0" applyFill="1" applyBorder="1"/>
    <xf numFmtId="0" fontId="24" fillId="0" borderId="27" xfId="0" applyFont="1" applyBorder="1" applyAlignment="1">
      <alignment horizontal="center"/>
    </xf>
    <xf numFmtId="11" fontId="6" fillId="8" borderId="3" xfId="0" applyNumberFormat="1" applyFont="1" applyFill="1" applyBorder="1"/>
    <xf numFmtId="11" fontId="6" fillId="10" borderId="27" xfId="0" applyNumberFormat="1" applyFont="1" applyFill="1" applyBorder="1"/>
    <xf numFmtId="11" fontId="6" fillId="8" borderId="48" xfId="0" applyNumberFormat="1" applyFont="1" applyFill="1" applyBorder="1"/>
    <xf numFmtId="10" fontId="6" fillId="0" borderId="15" xfId="0" applyNumberFormat="1" applyFont="1" applyBorder="1"/>
    <xf numFmtId="0" fontId="5" fillId="0" borderId="43" xfId="0" applyFont="1" applyBorder="1" applyAlignment="1">
      <alignment horizontal="center"/>
    </xf>
    <xf numFmtId="11" fontId="0" fillId="0" borderId="43" xfId="0" applyNumberFormat="1" applyBorder="1"/>
    <xf numFmtId="0" fontId="0" fillId="0" borderId="43" xfId="0" applyBorder="1"/>
    <xf numFmtId="11" fontId="6" fillId="0" borderId="28" xfId="0" applyNumberFormat="1" applyFont="1" applyBorder="1"/>
    <xf numFmtId="0" fontId="6" fillId="0" borderId="29" xfId="0" applyFont="1" applyBorder="1"/>
    <xf numFmtId="11" fontId="6" fillId="0" borderId="29" xfId="0" applyNumberFormat="1" applyFont="1" applyBorder="1"/>
    <xf numFmtId="11" fontId="6" fillId="0" borderId="24" xfId="0" applyNumberFormat="1" applyFont="1" applyBorder="1"/>
    <xf numFmtId="0" fontId="38" fillId="0" borderId="27" xfId="0" applyFont="1" applyBorder="1" applyAlignment="1">
      <alignment horizontal="center"/>
    </xf>
    <xf numFmtId="0" fontId="31" fillId="0" borderId="30" xfId="0" applyFont="1" applyBorder="1" applyAlignment="1">
      <alignment horizontal="center" vertical="center"/>
    </xf>
    <xf numFmtId="0" fontId="41" fillId="0" borderId="0" xfId="0" applyFont="1" applyAlignment="1">
      <alignment horizontal="center"/>
    </xf>
    <xf numFmtId="11" fontId="0" fillId="0" borderId="3" xfId="0" applyNumberFormat="1" applyBorder="1"/>
    <xf numFmtId="11" fontId="0" fillId="0" borderId="27" xfId="0" applyNumberFormat="1" applyBorder="1"/>
    <xf numFmtId="0" fontId="43" fillId="0" borderId="28" xfId="0" applyFont="1" applyBorder="1" applyAlignment="1">
      <alignment horizontal="center"/>
    </xf>
    <xf numFmtId="0" fontId="24" fillId="0" borderId="34" xfId="0" applyFont="1" applyBorder="1" applyAlignment="1">
      <alignment horizontal="center" vertical="center"/>
    </xf>
    <xf numFmtId="0" fontId="24" fillId="0" borderId="0" xfId="0" applyFont="1" applyAlignment="1">
      <alignment horizontal="center" vertical="center"/>
    </xf>
    <xf numFmtId="10" fontId="6" fillId="0" borderId="0" xfId="0" applyNumberFormat="1" applyFont="1"/>
    <xf numFmtId="0" fontId="0" fillId="7" borderId="0" xfId="0" applyFill="1"/>
    <xf numFmtId="0" fontId="25" fillId="0" borderId="41" xfId="0" applyFont="1" applyBorder="1" applyAlignment="1">
      <alignment horizontal="center"/>
    </xf>
    <xf numFmtId="0" fontId="32" fillId="8" borderId="27" xfId="0" applyFont="1" applyFill="1" applyBorder="1" applyAlignment="1">
      <alignment horizontal="center" vertical="center"/>
    </xf>
    <xf numFmtId="0" fontId="32" fillId="0" borderId="15" xfId="0" applyFont="1" applyBorder="1" applyAlignment="1">
      <alignment horizontal="center" vertical="center"/>
    </xf>
    <xf numFmtId="0" fontId="24" fillId="0" borderId="53" xfId="0" applyFont="1" applyBorder="1" applyAlignment="1">
      <alignment horizontal="center"/>
    </xf>
    <xf numFmtId="11" fontId="6" fillId="0" borderId="15" xfId="0" applyNumberFormat="1" applyFont="1" applyBorder="1" applyAlignment="1">
      <alignment horizontal="center"/>
    </xf>
    <xf numFmtId="11" fontId="0" fillId="0" borderId="27" xfId="0" applyNumberFormat="1" applyBorder="1" applyAlignment="1">
      <alignment horizontal="center"/>
    </xf>
    <xf numFmtId="0" fontId="24" fillId="0" borderId="52" xfId="0" applyFont="1" applyBorder="1" applyAlignment="1">
      <alignment horizontal="center" vertical="center"/>
    </xf>
    <xf numFmtId="0" fontId="24" fillId="0" borderId="33" xfId="0" applyFont="1" applyBorder="1"/>
    <xf numFmtId="11" fontId="6" fillId="8" borderId="38" xfId="0" applyNumberFormat="1" applyFont="1" applyFill="1" applyBorder="1"/>
    <xf numFmtId="11" fontId="6" fillId="8" borderId="13" xfId="0" applyNumberFormat="1" applyFont="1" applyFill="1" applyBorder="1"/>
    <xf numFmtId="11" fontId="6" fillId="8" borderId="42" xfId="0" applyNumberFormat="1" applyFont="1" applyFill="1" applyBorder="1"/>
    <xf numFmtId="0" fontId="24" fillId="0" borderId="30" xfId="0" applyFont="1" applyBorder="1" applyAlignment="1">
      <alignment horizontal="center"/>
    </xf>
    <xf numFmtId="0" fontId="24" fillId="0" borderId="31" xfId="0" applyFont="1" applyBorder="1" applyAlignment="1">
      <alignment horizontal="center"/>
    </xf>
    <xf numFmtId="0" fontId="24" fillId="0" borderId="33" xfId="0" applyFont="1" applyBorder="1" applyAlignment="1">
      <alignment horizontal="center"/>
    </xf>
    <xf numFmtId="11" fontId="6" fillId="0" borderId="34" xfId="0" applyNumberFormat="1" applyFont="1" applyBorder="1" applyAlignment="1">
      <alignment horizontal="center"/>
    </xf>
    <xf numFmtId="11" fontId="6" fillId="0" borderId="51" xfId="0" applyNumberFormat="1" applyFont="1" applyBorder="1" applyAlignment="1">
      <alignment horizontal="center"/>
    </xf>
    <xf numFmtId="11" fontId="6" fillId="0" borderId="47" xfId="0" applyNumberFormat="1" applyFont="1" applyBorder="1"/>
    <xf numFmtId="11" fontId="6" fillId="0" borderId="52" xfId="0" applyNumberFormat="1" applyFont="1" applyBorder="1" applyAlignment="1">
      <alignment horizontal="center"/>
    </xf>
    <xf numFmtId="11" fontId="6" fillId="0" borderId="0" xfId="0" applyNumberFormat="1" applyFont="1" applyAlignment="1">
      <alignment horizontal="center"/>
    </xf>
    <xf numFmtId="11" fontId="6" fillId="0" borderId="16" xfId="0" applyNumberFormat="1" applyFont="1" applyBorder="1" applyAlignment="1">
      <alignment horizontal="center"/>
    </xf>
    <xf numFmtId="11" fontId="6" fillId="0" borderId="50" xfId="0" applyNumberFormat="1" applyFont="1" applyBorder="1"/>
    <xf numFmtId="11" fontId="6" fillId="0" borderId="28" xfId="0" applyNumberFormat="1" applyFont="1" applyBorder="1" applyAlignment="1">
      <alignment horizontal="center"/>
    </xf>
    <xf numFmtId="11" fontId="6" fillId="0" borderId="29" xfId="0" applyNumberFormat="1" applyFont="1" applyBorder="1" applyAlignment="1">
      <alignment horizontal="center"/>
    </xf>
    <xf numFmtId="11" fontId="6" fillId="0" borderId="24" xfId="0" applyNumberFormat="1" applyFont="1" applyBorder="1" applyAlignment="1">
      <alignment horizontal="center"/>
    </xf>
    <xf numFmtId="11" fontId="6" fillId="0" borderId="53" xfId="0" applyNumberFormat="1" applyFont="1" applyBorder="1"/>
    <xf numFmtId="11" fontId="6" fillId="8" borderId="6" xfId="0" applyNumberFormat="1" applyFont="1" applyFill="1" applyBorder="1"/>
    <xf numFmtId="11" fontId="6" fillId="8" borderId="28" xfId="0" applyNumberFormat="1" applyFont="1" applyFill="1" applyBorder="1"/>
    <xf numFmtId="0" fontId="24" fillId="0" borderId="26" xfId="0" applyFont="1" applyBorder="1"/>
    <xf numFmtId="0" fontId="24" fillId="0" borderId="2" xfId="0" applyFont="1" applyBorder="1"/>
    <xf numFmtId="11" fontId="5" fillId="8" borderId="33" xfId="0" applyNumberFormat="1" applyFont="1" applyFill="1" applyBorder="1" applyAlignment="1">
      <alignment horizontal="center"/>
    </xf>
    <xf numFmtId="0" fontId="0" fillId="7" borderId="53" xfId="0" applyFill="1" applyBorder="1"/>
    <xf numFmtId="0" fontId="6" fillId="8" borderId="3" xfId="0" applyFont="1" applyFill="1" applyBorder="1"/>
    <xf numFmtId="0" fontId="6" fillId="8" borderId="54" xfId="0" applyFont="1" applyFill="1" applyBorder="1"/>
    <xf numFmtId="11" fontId="6" fillId="8" borderId="55" xfId="0" applyNumberFormat="1" applyFont="1" applyFill="1" applyBorder="1"/>
    <xf numFmtId="11" fontId="6" fillId="8" borderId="56" xfId="0" applyNumberFormat="1" applyFont="1" applyFill="1" applyBorder="1"/>
    <xf numFmtId="0" fontId="45" fillId="0" borderId="1" xfId="0" applyFont="1" applyBorder="1"/>
    <xf numFmtId="0" fontId="45" fillId="0" borderId="26" xfId="0" applyFont="1" applyBorder="1"/>
    <xf numFmtId="0" fontId="45" fillId="0" borderId="2" xfId="0" applyFont="1" applyBorder="1"/>
    <xf numFmtId="0" fontId="5" fillId="0" borderId="34" xfId="0" applyFont="1" applyBorder="1" applyAlignment="1">
      <alignment horizontal="center"/>
    </xf>
    <xf numFmtId="0" fontId="24" fillId="0" borderId="35" xfId="0" applyFont="1" applyBorder="1" applyAlignment="1">
      <alignment horizontal="center"/>
    </xf>
    <xf numFmtId="0" fontId="24" fillId="0" borderId="36" xfId="0" applyFont="1" applyBorder="1" applyAlignment="1">
      <alignment horizontal="center"/>
    </xf>
    <xf numFmtId="0" fontId="24" fillId="0" borderId="37" xfId="0" applyFont="1" applyBorder="1" applyAlignment="1">
      <alignment horizontal="center"/>
    </xf>
    <xf numFmtId="11" fontId="6" fillId="0" borderId="41" xfId="0" applyNumberFormat="1" applyFont="1" applyBorder="1" applyAlignment="1">
      <alignment horizontal="center"/>
    </xf>
    <xf numFmtId="11" fontId="6" fillId="0" borderId="4" xfId="0" applyNumberFormat="1" applyFont="1" applyBorder="1" applyAlignment="1">
      <alignment horizontal="center"/>
    </xf>
    <xf numFmtId="11" fontId="6" fillId="0" borderId="1" xfId="0" applyNumberFormat="1" applyFont="1" applyBorder="1" applyAlignment="1">
      <alignment horizontal="center"/>
    </xf>
    <xf numFmtId="11" fontId="6" fillId="0" borderId="26" xfId="0" applyNumberFormat="1" applyFont="1" applyBorder="1" applyAlignment="1">
      <alignment horizontal="center"/>
    </xf>
    <xf numFmtId="11" fontId="6" fillId="0" borderId="2" xfId="0" applyNumberFormat="1" applyFont="1" applyBorder="1" applyAlignment="1">
      <alignment horizontal="center"/>
    </xf>
    <xf numFmtId="11" fontId="0" fillId="0" borderId="47" xfId="0" applyNumberFormat="1" applyBorder="1"/>
    <xf numFmtId="11" fontId="6" fillId="0" borderId="42" xfId="0" applyNumberFormat="1" applyFont="1" applyBorder="1" applyAlignment="1">
      <alignment horizontal="center"/>
    </xf>
    <xf numFmtId="11" fontId="6" fillId="0" borderId="55" xfId="0" applyNumberFormat="1" applyFont="1" applyBorder="1" applyAlignment="1">
      <alignment horizontal="center"/>
    </xf>
    <xf numFmtId="11" fontId="0" fillId="0" borderId="50" xfId="0" applyNumberFormat="1" applyBorder="1"/>
    <xf numFmtId="11" fontId="6" fillId="8" borderId="27" xfId="0" applyNumberFormat="1" applyFont="1" applyFill="1" applyBorder="1"/>
    <xf numFmtId="11" fontId="6" fillId="0" borderId="43" xfId="0" applyNumberFormat="1" applyFont="1" applyBorder="1" applyAlignment="1">
      <alignment horizontal="center"/>
    </xf>
    <xf numFmtId="11" fontId="6" fillId="0" borderId="57" xfId="0" applyNumberFormat="1" applyFont="1" applyBorder="1" applyAlignment="1">
      <alignment horizontal="center"/>
    </xf>
    <xf numFmtId="11" fontId="0" fillId="0" borderId="53" xfId="0" applyNumberFormat="1" applyBorder="1"/>
    <xf numFmtId="0" fontId="5" fillId="8" borderId="27" xfId="0" applyFont="1" applyFill="1" applyBorder="1" applyAlignment="1">
      <alignment horizontal="center"/>
    </xf>
    <xf numFmtId="0" fontId="6" fillId="0" borderId="0" xfId="0" applyFont="1" applyAlignment="1">
      <alignment horizontal="center"/>
    </xf>
    <xf numFmtId="0" fontId="6" fillId="0" borderId="30" xfId="0" applyFont="1" applyBorder="1"/>
    <xf numFmtId="0" fontId="6" fillId="0" borderId="31" xfId="0" applyFont="1" applyBorder="1"/>
    <xf numFmtId="0" fontId="6" fillId="0" borderId="33" xfId="0" applyFont="1" applyBorder="1"/>
    <xf numFmtId="0" fontId="31" fillId="0" borderId="47" xfId="0" applyFont="1" applyBorder="1" applyAlignment="1">
      <alignment horizontal="center"/>
    </xf>
    <xf numFmtId="0" fontId="6" fillId="8" borderId="52" xfId="0" applyFont="1" applyFill="1" applyBorder="1"/>
    <xf numFmtId="0" fontId="6" fillId="8" borderId="51" xfId="0" applyFont="1" applyFill="1" applyBorder="1"/>
    <xf numFmtId="11" fontId="6" fillId="8" borderId="47" xfId="0" applyNumberFormat="1" applyFont="1" applyFill="1" applyBorder="1"/>
    <xf numFmtId="0" fontId="6" fillId="8" borderId="47" xfId="0" applyFont="1" applyFill="1" applyBorder="1"/>
    <xf numFmtId="0" fontId="31" fillId="0" borderId="51" xfId="0" applyFont="1" applyBorder="1" applyAlignment="1">
      <alignment horizontal="center"/>
    </xf>
    <xf numFmtId="0" fontId="31" fillId="0" borderId="31" xfId="0" applyFont="1" applyBorder="1" applyAlignment="1">
      <alignment horizontal="center"/>
    </xf>
    <xf numFmtId="0" fontId="32" fillId="8" borderId="22" xfId="0" applyFont="1" applyFill="1" applyBorder="1" applyAlignment="1">
      <alignment horizontal="center" vertical="center"/>
    </xf>
    <xf numFmtId="0" fontId="25" fillId="0" borderId="27" xfId="0" applyFont="1" applyBorder="1" applyAlignment="1">
      <alignment horizontal="center" vertical="center"/>
    </xf>
    <xf numFmtId="11" fontId="6" fillId="0" borderId="1" xfId="0" applyNumberFormat="1" applyFont="1" applyBorder="1"/>
    <xf numFmtId="11" fontId="6" fillId="0" borderId="27" xfId="0" applyNumberFormat="1" applyFont="1" applyBorder="1"/>
    <xf numFmtId="0" fontId="41" fillId="0" borderId="2" xfId="0" applyFont="1" applyBorder="1" applyAlignment="1">
      <alignment horizontal="center"/>
    </xf>
    <xf numFmtId="0" fontId="38" fillId="0" borderId="0" xfId="0" applyFont="1"/>
    <xf numFmtId="0" fontId="0" fillId="7" borderId="16" xfId="0" applyFill="1" applyBorder="1"/>
    <xf numFmtId="11" fontId="0" fillId="0" borderId="1" xfId="0" applyNumberFormat="1" applyBorder="1"/>
    <xf numFmtId="0" fontId="0" fillId="0" borderId="27" xfId="0" applyBorder="1"/>
    <xf numFmtId="11" fontId="0" fillId="0" borderId="58" xfId="0" applyNumberFormat="1" applyBorder="1"/>
    <xf numFmtId="0" fontId="0" fillId="0" borderId="50" xfId="0" applyBorder="1"/>
    <xf numFmtId="0" fontId="6" fillId="0" borderId="42" xfId="0" applyFont="1" applyBorder="1"/>
    <xf numFmtId="0" fontId="0" fillId="8" borderId="43" xfId="0" applyFill="1" applyBorder="1"/>
    <xf numFmtId="0" fontId="0" fillId="0" borderId="53" xfId="0" applyBorder="1"/>
    <xf numFmtId="0" fontId="6" fillId="0" borderId="43" xfId="0" applyFont="1" applyBorder="1"/>
    <xf numFmtId="0" fontId="6" fillId="0" borderId="24" xfId="0" applyFont="1" applyBorder="1" applyAlignment="1">
      <alignment horizontal="center"/>
    </xf>
    <xf numFmtId="0" fontId="43" fillId="0" borderId="1" xfId="0" applyFont="1" applyBorder="1" applyAlignment="1">
      <alignment horizontal="center"/>
    </xf>
    <xf numFmtId="11" fontId="6" fillId="0" borderId="2" xfId="0" applyNumberFormat="1" applyFont="1" applyBorder="1"/>
    <xf numFmtId="0" fontId="6" fillId="8" borderId="33" xfId="0" applyFont="1" applyFill="1" applyBorder="1"/>
    <xf numFmtId="0" fontId="6" fillId="0" borderId="34" xfId="0" applyFont="1" applyBorder="1" applyAlignment="1">
      <alignment horizontal="center"/>
    </xf>
    <xf numFmtId="0" fontId="6" fillId="0" borderId="51" xfId="0" applyFont="1" applyBorder="1" applyAlignment="1">
      <alignment horizontal="center"/>
    </xf>
    <xf numFmtId="164" fontId="6" fillId="0" borderId="51" xfId="0" applyNumberFormat="1" applyFont="1" applyBorder="1" applyAlignment="1">
      <alignment horizontal="center"/>
    </xf>
    <xf numFmtId="0" fontId="6" fillId="0" borderId="52" xfId="0" applyFont="1" applyBorder="1" applyAlignment="1">
      <alignment horizontal="center"/>
    </xf>
    <xf numFmtId="0" fontId="6" fillId="0" borderId="15" xfId="0" applyFont="1" applyBorder="1" applyAlignment="1">
      <alignment horizontal="center"/>
    </xf>
    <xf numFmtId="0" fontId="6" fillId="0" borderId="16" xfId="0" applyFont="1" applyBorder="1" applyAlignment="1">
      <alignment horizontal="center"/>
    </xf>
    <xf numFmtId="0" fontId="6" fillId="0" borderId="28" xfId="0" applyFont="1" applyBorder="1" applyAlignment="1">
      <alignment horizontal="center"/>
    </xf>
    <xf numFmtId="0" fontId="6" fillId="0" borderId="29" xfId="0" applyFont="1" applyBorder="1" applyAlignment="1">
      <alignment horizontal="center"/>
    </xf>
    <xf numFmtId="164" fontId="6" fillId="0" borderId="26" xfId="0" applyNumberFormat="1" applyFont="1" applyBorder="1" applyAlignment="1">
      <alignment horizontal="center"/>
    </xf>
    <xf numFmtId="0" fontId="6" fillId="0" borderId="2" xfId="0" applyFont="1" applyBorder="1" applyAlignment="1">
      <alignment horizontal="center"/>
    </xf>
    <xf numFmtId="164" fontId="6" fillId="0" borderId="0" xfId="0" applyNumberFormat="1" applyFont="1" applyAlignment="1">
      <alignment horizontal="center"/>
    </xf>
    <xf numFmtId="164" fontId="6" fillId="0" borderId="29" xfId="0" applyNumberFormat="1" applyFont="1" applyBorder="1" applyAlignment="1">
      <alignment horizontal="center"/>
    </xf>
    <xf numFmtId="0" fontId="6" fillId="8" borderId="31" xfId="0" applyFont="1" applyFill="1" applyBorder="1"/>
    <xf numFmtId="0" fontId="31" fillId="0" borderId="41" xfId="0" applyFont="1" applyBorder="1" applyAlignment="1">
      <alignment horizontal="center"/>
    </xf>
    <xf numFmtId="0" fontId="6" fillId="8" borderId="41" xfId="0" applyFont="1" applyFill="1" applyBorder="1"/>
    <xf numFmtId="0" fontId="31" fillId="0" borderId="42" xfId="0" applyFont="1" applyBorder="1" applyAlignment="1">
      <alignment horizontal="center"/>
    </xf>
    <xf numFmtId="0" fontId="6" fillId="8" borderId="12" xfId="0" applyFont="1" applyFill="1" applyBorder="1"/>
    <xf numFmtId="0" fontId="6" fillId="8" borderId="55" xfId="0" applyFont="1" applyFill="1" applyBorder="1"/>
    <xf numFmtId="0" fontId="6" fillId="8" borderId="42" xfId="0" applyFont="1" applyFill="1" applyBorder="1"/>
    <xf numFmtId="0" fontId="31" fillId="0" borderId="43" xfId="0" applyFont="1" applyBorder="1" applyAlignment="1">
      <alignment horizontal="center"/>
    </xf>
    <xf numFmtId="0" fontId="6" fillId="8" borderId="59" xfId="0" applyFont="1" applyFill="1" applyBorder="1"/>
    <xf numFmtId="0" fontId="6" fillId="8" borderId="57" xfId="0" applyFont="1" applyFill="1" applyBorder="1"/>
    <xf numFmtId="0" fontId="6" fillId="8" borderId="43" xfId="0" applyFont="1" applyFill="1" applyBorder="1"/>
    <xf numFmtId="0" fontId="6" fillId="8" borderId="35" xfId="0" applyFont="1" applyFill="1" applyBorder="1"/>
    <xf numFmtId="0" fontId="24" fillId="0" borderId="0" xfId="0" applyFont="1" applyAlignment="1">
      <alignment horizontal="center"/>
    </xf>
    <xf numFmtId="0" fontId="31" fillId="0" borderId="31" xfId="0" applyFont="1" applyBorder="1" applyAlignment="1">
      <alignment horizontal="center" vertical="center"/>
    </xf>
    <xf numFmtId="11" fontId="0" fillId="0" borderId="30" xfId="0" applyNumberFormat="1" applyBorder="1"/>
    <xf numFmtId="11" fontId="0" fillId="0" borderId="60" xfId="0" applyNumberFormat="1" applyBorder="1"/>
    <xf numFmtId="0" fontId="0" fillId="0" borderId="15" xfId="0" applyBorder="1"/>
    <xf numFmtId="11" fontId="0" fillId="0" borderId="18" xfId="0" applyNumberFormat="1" applyBorder="1"/>
    <xf numFmtId="0" fontId="44" fillId="0" borderId="47" xfId="0" applyFont="1" applyBorder="1" applyAlignment="1">
      <alignment horizontal="center"/>
    </xf>
    <xf numFmtId="0" fontId="0" fillId="8" borderId="3" xfId="0" applyFill="1" applyBorder="1"/>
    <xf numFmtId="0" fontId="0" fillId="8" borderId="48" xfId="0" applyFill="1" applyBorder="1"/>
    <xf numFmtId="11" fontId="0" fillId="0" borderId="38" xfId="0" applyNumberFormat="1" applyBorder="1"/>
    <xf numFmtId="11" fontId="0" fillId="0" borderId="39" xfId="0" applyNumberFormat="1" applyBorder="1"/>
    <xf numFmtId="11" fontId="6" fillId="8" borderId="61" xfId="0" applyNumberFormat="1" applyFont="1" applyFill="1" applyBorder="1"/>
    <xf numFmtId="0" fontId="6" fillId="8" borderId="5" xfId="0" applyFont="1" applyFill="1" applyBorder="1"/>
    <xf numFmtId="0" fontId="6" fillId="8" borderId="4" xfId="0" applyFont="1" applyFill="1" applyBorder="1"/>
    <xf numFmtId="0" fontId="31" fillId="0" borderId="32" xfId="0" applyFont="1" applyBorder="1" applyAlignment="1">
      <alignment horizontal="center" vertical="center"/>
    </xf>
    <xf numFmtId="11" fontId="0" fillId="0" borderId="31" xfId="0" applyNumberFormat="1" applyBorder="1"/>
    <xf numFmtId="0" fontId="24" fillId="0" borderId="27" xfId="0" applyFont="1" applyBorder="1"/>
    <xf numFmtId="0" fontId="24" fillId="11" borderId="27" xfId="0" applyFont="1" applyFill="1" applyBorder="1" applyAlignment="1">
      <alignment horizontal="center"/>
    </xf>
    <xf numFmtId="11" fontId="0" fillId="0" borderId="62" xfId="0" applyNumberFormat="1" applyBorder="1"/>
    <xf numFmtId="0" fontId="31" fillId="0" borderId="63" xfId="0" applyFont="1" applyBorder="1" applyAlignment="1">
      <alignment horizontal="center"/>
    </xf>
    <xf numFmtId="0" fontId="6" fillId="8" borderId="64" xfId="0" applyFont="1" applyFill="1" applyBorder="1"/>
    <xf numFmtId="0" fontId="6" fillId="8" borderId="65" xfId="0" applyFont="1" applyFill="1" applyBorder="1"/>
    <xf numFmtId="11" fontId="6" fillId="8" borderId="63" xfId="0" applyNumberFormat="1" applyFont="1" applyFill="1" applyBorder="1"/>
    <xf numFmtId="0" fontId="6" fillId="8" borderId="63" xfId="0" applyFont="1" applyFill="1" applyBorder="1"/>
    <xf numFmtId="0" fontId="47" fillId="0" borderId="51" xfId="0" applyFont="1" applyBorder="1" applyAlignment="1">
      <alignment horizontal="center"/>
    </xf>
    <xf numFmtId="0" fontId="48" fillId="0" borderId="51" xfId="0" applyFont="1" applyBorder="1"/>
    <xf numFmtId="11" fontId="48" fillId="0" borderId="51" xfId="0" applyNumberFormat="1" applyFont="1" applyBorder="1"/>
    <xf numFmtId="0" fontId="47" fillId="0" borderId="0" xfId="0" applyFont="1" applyAlignment="1">
      <alignment horizontal="center"/>
    </xf>
    <xf numFmtId="0" fontId="48" fillId="0" borderId="0" xfId="0" applyFont="1"/>
    <xf numFmtId="11" fontId="48" fillId="0" borderId="0" xfId="0" applyNumberFormat="1" applyFont="1"/>
    <xf numFmtId="0" fontId="32" fillId="8" borderId="66" xfId="0" applyFont="1" applyFill="1" applyBorder="1" applyAlignment="1">
      <alignment horizontal="center" vertical="center"/>
    </xf>
    <xf numFmtId="0" fontId="32" fillId="8" borderId="33" xfId="0" applyFont="1" applyFill="1" applyBorder="1" applyAlignment="1">
      <alignment horizontal="center" vertical="center"/>
    </xf>
    <xf numFmtId="0" fontId="6" fillId="0" borderId="15" xfId="0" applyFont="1" applyBorder="1"/>
    <xf numFmtId="0" fontId="38" fillId="0" borderId="1" xfId="0" applyFont="1" applyBorder="1"/>
    <xf numFmtId="0" fontId="38" fillId="0" borderId="26" xfId="0" applyFont="1" applyBorder="1"/>
    <xf numFmtId="11" fontId="0" fillId="0" borderId="32" xfId="0" applyNumberFormat="1" applyBorder="1"/>
    <xf numFmtId="0" fontId="0" fillId="0" borderId="16" xfId="0" applyBorder="1"/>
    <xf numFmtId="0" fontId="0" fillId="0" borderId="24" xfId="0" applyBorder="1"/>
    <xf numFmtId="0" fontId="31" fillId="0" borderId="15" xfId="0" applyFont="1" applyBorder="1" applyAlignment="1">
      <alignment horizontal="center"/>
    </xf>
    <xf numFmtId="0" fontId="0" fillId="0" borderId="26" xfId="0" applyBorder="1" applyAlignment="1">
      <alignment horizontal="center"/>
    </xf>
    <xf numFmtId="11" fontId="0" fillId="0" borderId="26" xfId="0" applyNumberFormat="1" applyBorder="1"/>
    <xf numFmtId="0" fontId="26" fillId="0" borderId="63" xfId="0" applyFont="1" applyBorder="1" applyAlignment="1">
      <alignment horizontal="center" vertical="top"/>
    </xf>
    <xf numFmtId="0" fontId="6" fillId="8" borderId="67" xfId="0" applyFont="1" applyFill="1" applyBorder="1"/>
    <xf numFmtId="0" fontId="6" fillId="8" borderId="68" xfId="0" applyFont="1" applyFill="1" applyBorder="1"/>
    <xf numFmtId="0" fontId="6" fillId="8" borderId="69" xfId="0" applyFont="1" applyFill="1" applyBorder="1"/>
    <xf numFmtId="0" fontId="30" fillId="0" borderId="28" xfId="0" applyFont="1" applyBorder="1" applyAlignment="1">
      <alignment horizontal="left" vertical="top"/>
    </xf>
    <xf numFmtId="0" fontId="0" fillId="0" borderId="29" xfId="0" applyBorder="1"/>
    <xf numFmtId="0" fontId="24" fillId="0" borderId="35" xfId="0" applyFont="1" applyBorder="1" applyAlignment="1">
      <alignment horizontal="center" wrapText="1"/>
    </xf>
    <xf numFmtId="0" fontId="24" fillId="0" borderId="47" xfId="0" applyFont="1" applyBorder="1" applyAlignment="1">
      <alignment horizontal="center" vertical="center" wrapText="1"/>
    </xf>
    <xf numFmtId="0" fontId="3" fillId="8" borderId="3" xfId="0" applyFont="1" applyFill="1" applyBorder="1" applyAlignment="1">
      <alignment horizontal="center"/>
    </xf>
    <xf numFmtId="0" fontId="3" fillId="8" borderId="41" xfId="0" applyFont="1" applyFill="1" applyBorder="1"/>
    <xf numFmtId="11" fontId="3" fillId="8" borderId="4" xfId="0" applyNumberFormat="1" applyFont="1" applyFill="1" applyBorder="1"/>
    <xf numFmtId="0" fontId="3" fillId="8" borderId="11" xfId="0" applyFont="1" applyFill="1" applyBorder="1"/>
    <xf numFmtId="0" fontId="3" fillId="8" borderId="42" xfId="0" applyFont="1" applyFill="1" applyBorder="1"/>
    <xf numFmtId="11" fontId="3" fillId="8" borderId="55" xfId="0" applyNumberFormat="1" applyFont="1" applyFill="1" applyBorder="1"/>
    <xf numFmtId="0" fontId="24" fillId="0" borderId="70" xfId="0" applyFont="1" applyBorder="1" applyAlignment="1">
      <alignment horizontal="left" vertical="center" wrapText="1"/>
    </xf>
    <xf numFmtId="0" fontId="31" fillId="0" borderId="45" xfId="0" applyFont="1" applyBorder="1" applyAlignment="1">
      <alignment horizontal="center" vertical="center"/>
    </xf>
    <xf numFmtId="0" fontId="31" fillId="0" borderId="22" xfId="0" applyFont="1" applyBorder="1" applyAlignment="1">
      <alignment horizontal="center" vertical="center"/>
    </xf>
    <xf numFmtId="0" fontId="31" fillId="0" borderId="66" xfId="0" applyFont="1" applyBorder="1" applyAlignment="1">
      <alignment horizontal="center" vertical="center"/>
    </xf>
    <xf numFmtId="11" fontId="31" fillId="0" borderId="30" xfId="0" applyNumberFormat="1" applyFont="1" applyBorder="1" applyAlignment="1">
      <alignment horizontal="center" vertical="center"/>
    </xf>
    <xf numFmtId="11" fontId="0" fillId="0" borderId="18" xfId="0" applyNumberFormat="1" applyBorder="1" applyAlignment="1">
      <alignment horizontal="center"/>
    </xf>
    <xf numFmtId="11" fontId="0" fillId="0" borderId="17" xfId="0" applyNumberFormat="1" applyBorder="1"/>
    <xf numFmtId="11" fontId="0" fillId="0" borderId="61" xfId="0" applyNumberFormat="1" applyBorder="1"/>
    <xf numFmtId="11" fontId="0" fillId="0" borderId="14" xfId="0" applyNumberFormat="1" applyBorder="1" applyAlignment="1">
      <alignment horizontal="center"/>
    </xf>
    <xf numFmtId="11" fontId="0" fillId="0" borderId="9" xfId="0" applyNumberFormat="1" applyBorder="1"/>
    <xf numFmtId="11" fontId="0" fillId="0" borderId="71" xfId="0" applyNumberFormat="1" applyBorder="1"/>
    <xf numFmtId="11" fontId="0" fillId="0" borderId="38" xfId="0" applyNumberFormat="1" applyBorder="1" applyAlignment="1">
      <alignment horizontal="center"/>
    </xf>
    <xf numFmtId="0" fontId="5" fillId="0" borderId="51" xfId="0" applyFont="1" applyBorder="1" applyAlignment="1">
      <alignment horizontal="center"/>
    </xf>
    <xf numFmtId="0" fontId="26" fillId="0" borderId="51" xfId="0" applyFont="1" applyBorder="1" applyAlignment="1">
      <alignment horizontal="center" vertical="top"/>
    </xf>
    <xf numFmtId="0" fontId="5" fillId="0" borderId="63" xfId="0" applyFont="1" applyBorder="1" applyAlignment="1">
      <alignment horizontal="center"/>
    </xf>
    <xf numFmtId="0" fontId="3" fillId="8" borderId="72" xfId="0" applyFont="1" applyFill="1" applyBorder="1"/>
    <xf numFmtId="0" fontId="3" fillId="8" borderId="63" xfId="0" applyFont="1" applyFill="1" applyBorder="1"/>
    <xf numFmtId="11" fontId="3" fillId="8" borderId="65" xfId="0" applyNumberFormat="1" applyFont="1" applyFill="1" applyBorder="1"/>
    <xf numFmtId="0" fontId="3" fillId="0" borderId="51" xfId="0" applyFont="1" applyBorder="1"/>
    <xf numFmtId="11" fontId="3" fillId="0" borderId="51" xfId="0" applyNumberFormat="1" applyFont="1" applyBorder="1"/>
    <xf numFmtId="11" fontId="3" fillId="0" borderId="0" xfId="0" applyNumberFormat="1" applyFont="1"/>
    <xf numFmtId="0" fontId="5" fillId="0" borderId="0" xfId="0" applyFont="1"/>
    <xf numFmtId="0" fontId="5" fillId="8" borderId="1" xfId="0" applyFont="1" applyFill="1" applyBorder="1"/>
    <xf numFmtId="0" fontId="5" fillId="8" borderId="26" xfId="0" applyFont="1" applyFill="1" applyBorder="1"/>
    <xf numFmtId="0" fontId="5" fillId="8" borderId="2" xfId="0" applyFont="1" applyFill="1" applyBorder="1"/>
    <xf numFmtId="0" fontId="49" fillId="0" borderId="38" xfId="0" applyFont="1" applyBorder="1" applyAlignment="1">
      <alignment horizontal="center" vertical="top"/>
    </xf>
    <xf numFmtId="0" fontId="49" fillId="0" borderId="62" xfId="0" applyFont="1" applyBorder="1" applyAlignment="1">
      <alignment horizontal="center" vertical="top"/>
    </xf>
    <xf numFmtId="0" fontId="49" fillId="0" borderId="40" xfId="0" applyFont="1" applyBorder="1" applyAlignment="1">
      <alignment horizontal="center" vertical="top"/>
    </xf>
    <xf numFmtId="0" fontId="0" fillId="0" borderId="1" xfId="0" applyBorder="1" applyAlignment="1">
      <alignment horizontal="center"/>
    </xf>
    <xf numFmtId="0" fontId="31" fillId="0" borderId="24" xfId="0" applyFont="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8" borderId="31" xfId="0" applyFill="1" applyBorder="1" applyAlignment="1">
      <alignment horizontal="center"/>
    </xf>
    <xf numFmtId="0" fontId="0" fillId="14" borderId="33" xfId="0" applyFill="1" applyBorder="1" applyAlignment="1">
      <alignment horizontal="center"/>
    </xf>
    <xf numFmtId="0" fontId="0" fillId="0" borderId="73" xfId="0" applyBorder="1"/>
    <xf numFmtId="0" fontId="0" fillId="0" borderId="34" xfId="0" applyBorder="1"/>
    <xf numFmtId="11" fontId="0" fillId="0" borderId="35" xfId="0" applyNumberFormat="1" applyBorder="1"/>
    <xf numFmtId="11" fontId="0" fillId="0" borderId="36" xfId="0" applyNumberFormat="1" applyBorder="1"/>
    <xf numFmtId="0" fontId="0" fillId="0" borderId="36" xfId="0" applyBorder="1"/>
    <xf numFmtId="11" fontId="0" fillId="0" borderId="37" xfId="0" applyNumberFormat="1" applyBorder="1"/>
    <xf numFmtId="11" fontId="0" fillId="0" borderId="74" xfId="0" applyNumberFormat="1" applyBorder="1"/>
    <xf numFmtId="11" fontId="0" fillId="0" borderId="75" xfId="0" applyNumberFormat="1" applyBorder="1"/>
    <xf numFmtId="0" fontId="0" fillId="0" borderId="75" xfId="0" applyBorder="1"/>
    <xf numFmtId="11" fontId="0" fillId="8" borderId="36" xfId="0" applyNumberFormat="1" applyFill="1" applyBorder="1"/>
    <xf numFmtId="11" fontId="0" fillId="14" borderId="37" xfId="0" applyNumberFormat="1" applyFill="1" applyBorder="1"/>
    <xf numFmtId="10" fontId="0" fillId="0" borderId="0" xfId="0" applyNumberFormat="1"/>
    <xf numFmtId="11" fontId="0" fillId="0" borderId="76" xfId="0" applyNumberFormat="1" applyBorder="1"/>
    <xf numFmtId="11" fontId="0" fillId="0" borderId="77" xfId="0" applyNumberFormat="1" applyBorder="1"/>
    <xf numFmtId="0" fontId="0" fillId="0" borderId="77" xfId="0" applyBorder="1"/>
    <xf numFmtId="11" fontId="0" fillId="0" borderId="78" xfId="0" applyNumberFormat="1" applyBorder="1"/>
    <xf numFmtId="11" fontId="0" fillId="0" borderId="79" xfId="0" applyNumberFormat="1" applyBorder="1"/>
    <xf numFmtId="11" fontId="0" fillId="0" borderId="73" xfId="0" applyNumberFormat="1" applyBorder="1"/>
    <xf numFmtId="11" fontId="0" fillId="8" borderId="77" xfId="0" applyNumberFormat="1" applyFill="1" applyBorder="1"/>
    <xf numFmtId="11" fontId="0" fillId="14" borderId="78" xfId="0" applyNumberFormat="1" applyFill="1" applyBorder="1"/>
    <xf numFmtId="0" fontId="0" fillId="0" borderId="28" xfId="0" applyBorder="1"/>
    <xf numFmtId="11" fontId="0" fillId="0" borderId="45" xfId="0" applyNumberFormat="1" applyBorder="1"/>
    <xf numFmtId="11" fontId="0" fillId="0" borderId="22" xfId="0" applyNumberFormat="1" applyBorder="1"/>
    <xf numFmtId="0" fontId="0" fillId="0" borderId="22" xfId="0" applyBorder="1"/>
    <xf numFmtId="11" fontId="0" fillId="0" borderId="46" xfId="0" applyNumberFormat="1" applyBorder="1"/>
    <xf numFmtId="11" fontId="0" fillId="0" borderId="23" xfId="0" applyNumberFormat="1" applyBorder="1"/>
    <xf numFmtId="11" fontId="0" fillId="0" borderId="66" xfId="0" applyNumberFormat="1" applyBorder="1"/>
    <xf numFmtId="0" fontId="0" fillId="0" borderId="66" xfId="0" applyBorder="1"/>
    <xf numFmtId="11" fontId="0" fillId="8" borderId="22" xfId="0" applyNumberFormat="1" applyFill="1" applyBorder="1"/>
    <xf numFmtId="11" fontId="0" fillId="14" borderId="46" xfId="0" applyNumberFormat="1" applyFill="1" applyBorder="1"/>
    <xf numFmtId="0" fontId="0" fillId="0" borderId="24" xfId="0" applyBorder="1" applyAlignment="1">
      <alignment horizontal="center"/>
    </xf>
    <xf numFmtId="0" fontId="0" fillId="0" borderId="27" xfId="0" applyBorder="1" applyAlignment="1">
      <alignment horizontal="center"/>
    </xf>
    <xf numFmtId="11" fontId="0" fillId="11" borderId="62" xfId="0" applyNumberFormat="1" applyFill="1" applyBorder="1"/>
    <xf numFmtId="11" fontId="0" fillId="11" borderId="4" xfId="0" applyNumberFormat="1" applyFill="1" applyBorder="1"/>
    <xf numFmtId="11" fontId="0" fillId="11" borderId="54" xfId="0" applyNumberFormat="1" applyFill="1" applyBorder="1"/>
    <xf numFmtId="0" fontId="0" fillId="11" borderId="71" xfId="0" applyFill="1" applyBorder="1"/>
    <xf numFmtId="0" fontId="0" fillId="11" borderId="55" xfId="0" applyFill="1" applyBorder="1"/>
    <xf numFmtId="0" fontId="0" fillId="11" borderId="14" xfId="0" applyFill="1" applyBorder="1"/>
    <xf numFmtId="0" fontId="0" fillId="0" borderId="39" xfId="0" applyBorder="1"/>
    <xf numFmtId="0" fontId="56" fillId="0" borderId="0" xfId="0" applyFont="1"/>
    <xf numFmtId="11" fontId="56" fillId="0" borderId="0" xfId="0" applyNumberFormat="1" applyFont="1"/>
    <xf numFmtId="0" fontId="26" fillId="0" borderId="1" xfId="0" applyFont="1" applyBorder="1" applyAlignment="1">
      <alignment horizontal="center" vertical="top"/>
    </xf>
    <xf numFmtId="0" fontId="26" fillId="0" borderId="2" xfId="0" applyFont="1" applyBorder="1" applyAlignment="1">
      <alignment horizontal="center" vertical="top"/>
    </xf>
    <xf numFmtId="0" fontId="45" fillId="0" borderId="1" xfId="0" applyFont="1" applyBorder="1" applyAlignment="1">
      <alignment horizontal="center"/>
    </xf>
    <xf numFmtId="0" fontId="45" fillId="0" borderId="26" xfId="0" applyFont="1" applyBorder="1" applyAlignment="1">
      <alignment horizontal="center"/>
    </xf>
    <xf numFmtId="0" fontId="45" fillId="0" borderId="2" xfId="0" applyFont="1" applyBorder="1" applyAlignment="1">
      <alignment horizontal="center"/>
    </xf>
    <xf numFmtId="0" fontId="24" fillId="0" borderId="34" xfId="0" applyFont="1" applyBorder="1" applyAlignment="1">
      <alignment horizontal="center"/>
    </xf>
    <xf numFmtId="0" fontId="24" fillId="0" borderId="51" xfId="0" applyFont="1" applyBorder="1" applyAlignment="1">
      <alignment horizontal="center"/>
    </xf>
    <xf numFmtId="0" fontId="24" fillId="0" borderId="52" xfId="0" applyFont="1" applyBorder="1" applyAlignment="1">
      <alignment horizontal="center"/>
    </xf>
    <xf numFmtId="0" fontId="26" fillId="0" borderId="0" xfId="0" applyFont="1" applyAlignment="1">
      <alignment horizontal="center" vertical="top"/>
    </xf>
    <xf numFmtId="0" fontId="23" fillId="0" borderId="25" xfId="0" applyFont="1" applyBorder="1" applyAlignment="1">
      <alignment horizontal="center"/>
    </xf>
    <xf numFmtId="0" fontId="33" fillId="9" borderId="0" xfId="0" applyFont="1" applyFill="1" applyAlignment="1">
      <alignment horizontal="center"/>
    </xf>
    <xf numFmtId="0" fontId="37" fillId="9" borderId="0" xfId="0" applyFont="1" applyFill="1" applyAlignment="1">
      <alignment horizontal="center"/>
    </xf>
    <xf numFmtId="0" fontId="24" fillId="0" borderId="1" xfId="0" applyFont="1" applyBorder="1" applyAlignment="1">
      <alignment horizontal="center"/>
    </xf>
    <xf numFmtId="0" fontId="24" fillId="0" borderId="26" xfId="0" applyFont="1" applyBorder="1" applyAlignment="1">
      <alignment horizontal="center"/>
    </xf>
    <xf numFmtId="0" fontId="24" fillId="0" borderId="2" xfId="0" applyFont="1" applyBorder="1" applyAlignment="1">
      <alignment horizontal="center"/>
    </xf>
    <xf numFmtId="0" fontId="26" fillId="0" borderId="29" xfId="0" applyFont="1" applyBorder="1" applyAlignment="1">
      <alignment horizontal="center" vertical="top"/>
    </xf>
    <xf numFmtId="0" fontId="38" fillId="0" borderId="1" xfId="0" applyFont="1" applyBorder="1" applyAlignment="1">
      <alignment horizontal="center"/>
    </xf>
    <xf numFmtId="0" fontId="38" fillId="0" borderId="26" xfId="0" applyFont="1" applyBorder="1" applyAlignment="1">
      <alignment horizontal="center"/>
    </xf>
    <xf numFmtId="11" fontId="6" fillId="0" borderId="28" xfId="0" applyNumberFormat="1" applyFont="1" applyBorder="1" applyAlignment="1">
      <alignment horizontal="center"/>
    </xf>
    <xf numFmtId="0" fontId="6" fillId="0" borderId="24" xfId="0" applyFont="1" applyBorder="1" applyAlignment="1">
      <alignment horizontal="center"/>
    </xf>
    <xf numFmtId="11" fontId="0" fillId="0" borderId="73" xfId="0" applyNumberFormat="1" applyBorder="1" applyAlignment="1">
      <alignment horizontal="center"/>
    </xf>
    <xf numFmtId="11" fontId="0" fillId="0" borderId="79" xfId="0" applyNumberFormat="1" applyBorder="1" applyAlignment="1">
      <alignment horizontal="center"/>
    </xf>
    <xf numFmtId="11" fontId="0" fillId="0" borderId="73" xfId="0" applyNumberFormat="1" applyBorder="1"/>
    <xf numFmtId="11" fontId="0" fillId="0" borderId="79" xfId="0" applyNumberFormat="1" applyBorder="1"/>
    <xf numFmtId="11" fontId="0" fillId="0" borderId="61" xfId="0" applyNumberFormat="1" applyBorder="1" applyAlignment="1">
      <alignment horizontal="center"/>
    </xf>
    <xf numFmtId="11" fontId="0" fillId="0" borderId="18" xfId="0" applyNumberFormat="1" applyBorder="1" applyAlignment="1">
      <alignment horizontal="center"/>
    </xf>
    <xf numFmtId="11" fontId="0" fillId="0" borderId="61" xfId="0" applyNumberFormat="1" applyBorder="1"/>
    <xf numFmtId="11" fontId="0" fillId="0" borderId="18" xfId="0" applyNumberFormat="1" applyBorder="1"/>
    <xf numFmtId="0" fontId="5" fillId="16" borderId="1" xfId="0" applyFont="1" applyFill="1" applyBorder="1" applyAlignment="1">
      <alignment horizontal="center"/>
    </xf>
    <xf numFmtId="0" fontId="5" fillId="16" borderId="26" xfId="0" applyFont="1" applyFill="1" applyBorder="1" applyAlignment="1">
      <alignment horizontal="center"/>
    </xf>
    <xf numFmtId="0" fontId="5" fillId="16" borderId="2" xfId="0" applyFont="1" applyFill="1" applyBorder="1" applyAlignment="1">
      <alignment horizontal="center"/>
    </xf>
    <xf numFmtId="0" fontId="54" fillId="0" borderId="27" xfId="0" applyFont="1" applyBorder="1" applyAlignment="1">
      <alignment horizontal="center"/>
    </xf>
    <xf numFmtId="0" fontId="6" fillId="0" borderId="27" xfId="0" applyFont="1" applyBorder="1" applyAlignment="1">
      <alignment horizontal="center"/>
    </xf>
    <xf numFmtId="0" fontId="0" fillId="17" borderId="1" xfId="0" applyFill="1" applyBorder="1" applyAlignment="1">
      <alignment horizontal="center"/>
    </xf>
    <xf numFmtId="0" fontId="0" fillId="17" borderId="26" xfId="0" applyFill="1" applyBorder="1" applyAlignment="1">
      <alignment horizontal="center"/>
    </xf>
    <xf numFmtId="0" fontId="0" fillId="18" borderId="1" xfId="0" applyFill="1" applyBorder="1" applyAlignment="1">
      <alignment horizontal="center"/>
    </xf>
    <xf numFmtId="0" fontId="0" fillId="18" borderId="2" xfId="0" applyFill="1" applyBorder="1" applyAlignment="1">
      <alignment horizontal="center"/>
    </xf>
    <xf numFmtId="11" fontId="0" fillId="0" borderId="36" xfId="0" applyNumberFormat="1" applyBorder="1" applyAlignment="1">
      <alignment horizontal="center"/>
    </xf>
    <xf numFmtId="0" fontId="0" fillId="0" borderId="36" xfId="0" applyBorder="1" applyAlignment="1">
      <alignment horizontal="center"/>
    </xf>
    <xf numFmtId="11" fontId="0" fillId="0" borderId="36" xfId="0" applyNumberFormat="1" applyBorder="1"/>
    <xf numFmtId="0" fontId="0" fillId="0" borderId="36" xfId="0" applyBorder="1"/>
    <xf numFmtId="0" fontId="5" fillId="12" borderId="1" xfId="0" applyFont="1" applyFill="1" applyBorder="1" applyAlignment="1">
      <alignment horizontal="center"/>
    </xf>
    <xf numFmtId="0" fontId="5" fillId="12" borderId="26" xfId="0" applyFont="1" applyFill="1" applyBorder="1" applyAlignment="1">
      <alignment horizontal="center"/>
    </xf>
    <xf numFmtId="0" fontId="5" fillId="12" borderId="2" xfId="0" applyFont="1" applyFill="1" applyBorder="1" applyAlignment="1">
      <alignment horizontal="center"/>
    </xf>
    <xf numFmtId="0" fontId="31" fillId="4" borderId="34" xfId="0" applyFont="1" applyFill="1" applyBorder="1" applyAlignment="1">
      <alignment horizontal="center"/>
    </xf>
    <xf numFmtId="0" fontId="31" fillId="4" borderId="51" xfId="0" applyFont="1" applyFill="1" applyBorder="1" applyAlignment="1">
      <alignment horizontal="center"/>
    </xf>
    <xf numFmtId="0" fontId="31" fillId="4" borderId="52" xfId="0" applyFont="1" applyFill="1" applyBorder="1" applyAlignment="1">
      <alignment horizontal="center"/>
    </xf>
    <xf numFmtId="0" fontId="1" fillId="10" borderId="34" xfId="0" applyFont="1" applyFill="1" applyBorder="1" applyAlignment="1">
      <alignment horizontal="center"/>
    </xf>
    <xf numFmtId="0" fontId="1" fillId="10" borderId="51" xfId="0" applyFont="1" applyFill="1" applyBorder="1" applyAlignment="1">
      <alignment horizontal="center"/>
    </xf>
    <xf numFmtId="0" fontId="1" fillId="10" borderId="52" xfId="0" applyFont="1" applyFill="1" applyBorder="1" applyAlignment="1">
      <alignment horizontal="center"/>
    </xf>
    <xf numFmtId="0" fontId="31" fillId="13" borderId="34" xfId="0" applyFont="1" applyFill="1" applyBorder="1" applyAlignment="1">
      <alignment horizontal="center"/>
    </xf>
    <xf numFmtId="0" fontId="31" fillId="13" borderId="51" xfId="0" applyFont="1" applyFill="1" applyBorder="1" applyAlignment="1">
      <alignment horizontal="center"/>
    </xf>
    <xf numFmtId="0" fontId="31" fillId="13" borderId="52" xfId="0" applyFont="1" applyFill="1" applyBorder="1" applyAlignment="1">
      <alignment horizontal="center"/>
    </xf>
    <xf numFmtId="0" fontId="5" fillId="15" borderId="1" xfId="0" applyFont="1" applyFill="1" applyBorder="1" applyAlignment="1">
      <alignment horizontal="center"/>
    </xf>
    <xf numFmtId="0" fontId="5" fillId="15" borderId="26" xfId="0" applyFont="1" applyFill="1" applyBorder="1" applyAlignment="1">
      <alignment horizontal="center"/>
    </xf>
    <xf numFmtId="0" fontId="5" fillId="15"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'NH3'!$E$64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'NH3'!$C$66:$C$83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'NH3'!$E$66:$E$83</c:f>
              <c:numCache>
                <c:formatCode>0.00E+00</c:formatCode>
                <c:ptCount val="18"/>
                <c:pt idx="0">
                  <c:v>2803172.1753482632</c:v>
                </c:pt>
                <c:pt idx="1">
                  <c:v>5754354.5245233085</c:v>
                </c:pt>
                <c:pt idx="2">
                  <c:v>10052443.658959117</c:v>
                </c:pt>
                <c:pt idx="3">
                  <c:v>15857136.432177441</c:v>
                </c:pt>
                <c:pt idx="4">
                  <c:v>23312655.010994311</c:v>
                </c:pt>
                <c:pt idx="5">
                  <c:v>32551544.845135011</c:v>
                </c:pt>
                <c:pt idx="6">
                  <c:v>43697129.670598939</c:v>
                </c:pt>
                <c:pt idx="7">
                  <c:v>56865208.629965775</c:v>
                </c:pt>
                <c:pt idx="8">
                  <c:v>72165288.096620664</c:v>
                </c:pt>
                <c:pt idx="9">
                  <c:v>89701509.611143649</c:v>
                </c:pt>
                <c:pt idx="10">
                  <c:v>109573369.68490662</c:v>
                </c:pt>
                <c:pt idx="11">
                  <c:v>131876291.56589337</c:v>
                </c:pt>
                <c:pt idx="12">
                  <c:v>156702088.41786647</c:v>
                </c:pt>
                <c:pt idx="13">
                  <c:v>184139344.78474429</c:v>
                </c:pt>
                <c:pt idx="14">
                  <c:v>214273735.21648976</c:v>
                </c:pt>
                <c:pt idx="15">
                  <c:v>247188293.66774788</c:v>
                </c:pt>
                <c:pt idx="16">
                  <c:v>282963643.70721567</c:v>
                </c:pt>
                <c:pt idx="17">
                  <c:v>321678197.08668894</c:v>
                </c:pt>
              </c:numCache>
            </c:numRef>
          </c:val>
          <c:smooth val="0"/>
          <c:extLst>
            <c:ext xmlns:c16="http://schemas.microsoft.com/office/drawing/2014/chart" uri="{C3380CC4-5D6E-409C-BE32-E72D297353CC}">
              <c16:uniqueId val="{00000000-F46F-EC41-9060-56AECC808B03}"/>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'NH3'!$C$102:$C$120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'NH3'!$J$102:$J$120</c:f>
              <c:numCache>
                <c:formatCode>General</c:formatCode>
                <c:ptCount val="19"/>
                <c:pt idx="0">
                  <c:v>1.0088807114402614</c:v>
                </c:pt>
                <c:pt idx="1">
                  <c:v>1.0091632980346976</c:v>
                </c:pt>
                <c:pt idx="2">
                  <c:v>1.0336527403627873</c:v>
                </c:pt>
                <c:pt idx="3">
                  <c:v>1.0779152605996911</c:v>
                </c:pt>
                <c:pt idx="4">
                  <c:v>1.1427032925665526</c:v>
                </c:pt>
                <c:pt idx="5">
                  <c:v>1.2280782720316201</c:v>
                </c:pt>
                <c:pt idx="6">
                  <c:v>1.3344043127939229</c:v>
                </c:pt>
                <c:pt idx="7">
                  <c:v>1.4626217642539519</c:v>
                </c:pt>
                <c:pt idx="8">
                  <c:v>1.6142426138035757</c:v>
                </c:pt>
                <c:pt idx="9">
                  <c:v>1.7912803289131456</c:v>
                </c:pt>
                <c:pt idx="10">
                  <c:v>1.9961870206928807</c:v>
                </c:pt>
                <c:pt idx="11">
                  <c:v>2.2318132482351594</c:v>
                </c:pt>
                <c:pt idx="12">
                  <c:v>2.5013879695629635</c:v>
                </c:pt>
                <c:pt idx="13">
                  <c:v>2.8085129030019038</c:v>
                </c:pt>
                <c:pt idx="14">
                  <c:v>3.1571664555909482</c:v>
                </c:pt>
                <c:pt idx="15">
                  <c:v>3.5517138897680316</c:v>
                </c:pt>
                <c:pt idx="16">
                  <c:v>3.9969216159415377</c:v>
                </c:pt>
                <c:pt idx="17">
                  <c:v>4.4979743136714108</c:v>
                </c:pt>
                <c:pt idx="18">
                  <c:v>5.0604940919624353</c:v>
                </c:pt>
              </c:numCache>
            </c:numRef>
          </c:val>
          <c:smooth val="0"/>
          <c:extLst>
            <c:ext xmlns:c16="http://schemas.microsoft.com/office/drawing/2014/chart" uri="{C3380CC4-5D6E-409C-BE32-E72D297353CC}">
              <c16:uniqueId val="{00000000-EBC5-0145-9955-1E2E9F49EEF2}"/>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'NH3'!$D$136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'NH3'!$D$138:$D$155</c:f>
              <c:numCache>
                <c:formatCode>0.00E+00</c:formatCode>
                <c:ptCount val="18"/>
                <c:pt idx="0">
                  <c:v>1447.4187450781592</c:v>
                </c:pt>
                <c:pt idx="1">
                  <c:v>2228.446938935982</c:v>
                </c:pt>
                <c:pt idx="2">
                  <c:v>3114.3492748200847</c:v>
                </c:pt>
                <c:pt idx="3">
                  <c:v>4093.9184394451681</c:v>
                </c:pt>
                <c:pt idx="4">
                  <c:v>5158.9268590367474</c:v>
                </c:pt>
                <c:pt idx="5">
                  <c:v>6302.9997681440755</c:v>
                </c:pt>
                <c:pt idx="6">
                  <c:v>7521.0084189088429</c:v>
                </c:pt>
                <c:pt idx="7">
                  <c:v>8808.7099648346539</c:v>
                </c:pt>
                <c:pt idx="8">
                  <c:v>10162.518247291553</c:v>
                </c:pt>
                <c:pt idx="9">
                  <c:v>11579.349960625339</c:v>
                </c:pt>
                <c:pt idx="10">
                  <c:v>13056.517017349513</c:v>
                </c:pt>
                <c:pt idx="11">
                  <c:v>14591.648662681242</c:v>
                </c:pt>
                <c:pt idx="12">
                  <c:v>16182.633529510969</c:v>
                </c:pt>
                <c:pt idx="13">
                  <c:v>17827.575511487703</c:v>
                </c:pt>
                <c:pt idx="14">
                  <c:v>19524.759484424449</c:v>
                </c:pt>
                <c:pt idx="15">
                  <c:v>21272.624217486289</c:v>
                </c:pt>
                <c:pt idx="16">
                  <c:v>23069.740643678029</c:v>
                </c:pt>
                <c:pt idx="17">
                  <c:v>24914.794198560463</c:v>
                </c:pt>
              </c:numCache>
            </c:numRef>
          </c:val>
          <c:smooth val="0"/>
          <c:extLst>
            <c:ext xmlns:c16="http://schemas.microsoft.com/office/drawing/2014/chart" uri="{C3380CC4-5D6E-409C-BE32-E72D297353CC}">
              <c16:uniqueId val="{00000000-DCA9-294E-BB8F-A05875B82981}"/>
            </c:ext>
          </c:extLst>
        </c:ser>
        <c:ser>
          <c:idx val="1"/>
          <c:order val="1"/>
          <c:tx>
            <c:strRef>
              <c:f>'NH3'!$E$136</c:f>
              <c:strCache>
                <c:ptCount val="1"/>
                <c:pt idx="0">
                  <c:v>Qrot(2) and 𝜎=1</c:v>
                </c:pt>
              </c:strCache>
            </c:strRef>
          </c:tx>
          <c:spPr>
            <a:ln w="28575" cap="rnd">
              <a:solidFill>
                <a:schemeClr val="accent2"/>
              </a:solidFill>
              <a:round/>
            </a:ln>
            <a:effectLst/>
          </c:spPr>
          <c:marker>
            <c:symbol val="x"/>
            <c:size val="5"/>
            <c:spPr>
              <a:noFill/>
              <a:ln w="9525">
                <a:solidFill>
                  <a:schemeClr val="accent2"/>
                </a:solidFill>
              </a:ln>
              <a:effectLst/>
            </c:spPr>
          </c:marker>
          <c:cat>
            <c:numRef>
              <c:f>'NH3'!$C$138:$C$155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'NH3'!$E$138:$E$155</c:f>
              <c:numCache>
                <c:formatCode>0.00E+00</c:formatCode>
                <c:ptCount val="18"/>
                <c:pt idx="0">
                  <c:v>214.58982499874347</c:v>
                </c:pt>
                <c:pt idx="1">
                  <c:v>330.38264860901137</c:v>
                </c:pt>
                <c:pt idx="2">
                  <c:v>461.72378804761001</c:v>
                </c:pt>
                <c:pt idx="3">
                  <c:v>606.95168172098363</c:v>
                </c:pt>
                <c:pt idx="4">
                  <c:v>764.84653499649755</c:v>
                </c:pt>
                <c:pt idx="5">
                  <c:v>934.46324487121603</c:v>
                </c:pt>
                <c:pt idx="6">
                  <c:v>1115.0414390554131</c:v>
                </c:pt>
                <c:pt idx="7">
                  <c:v>1305.9520862544198</c:v>
                </c:pt>
                <c:pt idx="8">
                  <c:v>1506.663513684894</c:v>
                </c:pt>
                <c:pt idx="9">
                  <c:v>1716.7185999899482</c:v>
                </c:pt>
                <c:pt idx="10">
                  <c:v>1935.7188176355098</c:v>
                </c:pt>
                <c:pt idx="11">
                  <c:v>2163.3126858522319</c:v>
                </c:pt>
                <c:pt idx="12">
                  <c:v>2399.1871798848724</c:v>
                </c:pt>
                <c:pt idx="13">
                  <c:v>2643.0611888720919</c:v>
                </c:pt>
                <c:pt idx="14">
                  <c:v>2894.6804338083407</c:v>
                </c:pt>
                <c:pt idx="15">
                  <c:v>3153.8134514403591</c:v>
                </c:pt>
                <c:pt idx="16">
                  <c:v>3420.248372716726</c:v>
                </c:pt>
                <c:pt idx="17">
                  <c:v>3693.7903043808747</c:v>
                </c:pt>
              </c:numCache>
            </c:numRef>
          </c:val>
          <c:smooth val="0"/>
          <c:extLst>
            <c:ext xmlns:c16="http://schemas.microsoft.com/office/drawing/2014/chart" uri="{C3380CC4-5D6E-409C-BE32-E72D297353CC}">
              <c16:uniqueId val="{00000001-DCA9-294E-BB8F-A05875B8298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'NH3'!$D$174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A2C2-5B45-BDC9-FA5EFA876CE9}"/>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'NH3'!$H$215:$H$232</c:f>
              <c:numCache>
                <c:formatCode>0.00E+00</c:formatCode>
                <c:ptCount val="18"/>
                <c:pt idx="0">
                  <c:v>26.920384545018564</c:v>
                </c:pt>
                <c:pt idx="1">
                  <c:v>29.567270213203873</c:v>
                </c:pt>
                <c:pt idx="2">
                  <c:v>32.582392106857569</c:v>
                </c:pt>
                <c:pt idx="3">
                  <c:v>35.589542427186771</c:v>
                </c:pt>
                <c:pt idx="4">
                  <c:v>38.475457718600921</c:v>
                </c:pt>
                <c:pt idx="5">
                  <c:v>41.228885586716871</c:v>
                </c:pt>
                <c:pt idx="6">
                  <c:v>43.849640703764784</c:v>
                </c:pt>
                <c:pt idx="7">
                  <c:v>46.328244841507811</c:v>
                </c:pt>
                <c:pt idx="8">
                  <c:v>48.650931938405876</c:v>
                </c:pt>
                <c:pt idx="9">
                  <c:v>50.806666421211034</c:v>
                </c:pt>
                <c:pt idx="10">
                  <c:v>52.790458687134489</c:v>
                </c:pt>
                <c:pt idx="11">
                  <c:v>54.603591593419509</c:v>
                </c:pt>
                <c:pt idx="12">
                  <c:v>56.252358802752212</c:v>
                </c:pt>
                <c:pt idx="13">
                  <c:v>57.746427937827534</c:v>
                </c:pt>
                <c:pt idx="14">
                  <c:v>59.097368411267041</c:v>
                </c:pt>
                <c:pt idx="15">
                  <c:v>60.317523008475376</c:v>
                </c:pt>
                <c:pt idx="16">
                  <c:v>61.419227110160151</c:v>
                </c:pt>
                <c:pt idx="17">
                  <c:v>62.414313855486725</c:v>
                </c:pt>
              </c:numCache>
            </c:numRef>
          </c:val>
          <c:smooth val="0"/>
          <c:extLst>
            <c:ext xmlns:c16="http://schemas.microsoft.com/office/drawing/2014/chart" uri="{C3380CC4-5D6E-409C-BE32-E72D297353CC}">
              <c16:uniqueId val="{00000000-0F72-DE4D-BB28-1454CFC41405}"/>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'NH3'!$C$263:$C$280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'NH3'!$J$263:$J$280</c:f>
              <c:numCache>
                <c:formatCode>0.00E+00</c:formatCode>
                <c:ptCount val="18"/>
                <c:pt idx="0">
                  <c:v>201.79022660648741</c:v>
                </c:pt>
                <c:pt idx="1">
                  <c:v>212.27318467436771</c:v>
                </c:pt>
                <c:pt idx="2">
                  <c:v>221.04792465951761</c:v>
                </c:pt>
                <c:pt idx="3">
                  <c:v>228.77156792326844</c:v>
                </c:pt>
                <c:pt idx="4">
                  <c:v>235.75782561419587</c:v>
                </c:pt>
                <c:pt idx="5">
                  <c:v>242.18694246332564</c:v>
                </c:pt>
                <c:pt idx="6">
                  <c:v>248.17494482098539</c:v>
                </c:pt>
                <c:pt idx="7">
                  <c:v>253.80056371028149</c:v>
                </c:pt>
                <c:pt idx="8">
                  <c:v>259.11878309865256</c:v>
                </c:pt>
                <c:pt idx="9">
                  <c:v>264.16907896147166</c:v>
                </c:pt>
                <c:pt idx="10">
                  <c:v>268.98077369133932</c:v>
                </c:pt>
                <c:pt idx="11">
                  <c:v>273.57652403292155</c:v>
                </c:pt>
                <c:pt idx="12">
                  <c:v>277.97455941766282</c:v>
                </c:pt>
                <c:pt idx="13">
                  <c:v>282.19009858107864</c:v>
                </c:pt>
                <c:pt idx="14">
                  <c:v>286.23623986703103</c:v>
                </c:pt>
                <c:pt idx="15">
                  <c:v>290.12452180245225</c:v>
                </c:pt>
                <c:pt idx="16">
                  <c:v>293.86528031174964</c:v>
                </c:pt>
                <c:pt idx="17">
                  <c:v>297.46788168364571</c:v>
                </c:pt>
              </c:numCache>
            </c:numRef>
          </c:val>
          <c:smooth val="0"/>
          <c:extLst>
            <c:ext xmlns:c16="http://schemas.microsoft.com/office/drawing/2014/chart" uri="{C3380CC4-5D6E-409C-BE32-E72D297353CC}">
              <c16:uniqueId val="{00000000-066E-FD4A-BCF9-4373E80ABAF4}"/>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[1]CH3!$U$102:$U$120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[1]CH3!$Z$102:$Z$120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84F9-4C42-9562-7A3062E7BF1B}"/>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H!$E$66:$E$83</c:f>
              <c:numCache>
                <c:formatCode>0.00E+00</c:formatCode>
                <c:ptCount val="18"/>
                <c:pt idx="0">
                  <c:v>40368.323106654447</c:v>
                </c:pt>
                <c:pt idx="1">
                  <c:v>82868.132310616726</c:v>
                </c:pt>
                <c:pt idx="2">
                  <c:v>144764.66954295631</c:v>
                </c:pt>
                <c:pt idx="3">
                  <c:v>228357.72011076027</c:v>
                </c:pt>
                <c:pt idx="4">
                  <c:v>335724.21923775156</c:v>
                </c:pt>
                <c:pt idx="5">
                  <c:v>468772.94640881027</c:v>
                </c:pt>
                <c:pt idx="6">
                  <c:v>629279.87973373779</c:v>
                </c:pt>
                <c:pt idx="7">
                  <c:v>818912.6360804349</c:v>
                </c:pt>
                <c:pt idx="8">
                  <c:v>1039248.2105053912</c:v>
                </c:pt>
                <c:pt idx="9">
                  <c:v>1291786.3394129495</c:v>
                </c:pt>
                <c:pt idx="10">
                  <c:v>1577959.8664058954</c:v>
                </c:pt>
                <c:pt idx="11">
                  <c:v>1899142.9762525919</c:v>
                </c:pt>
                <c:pt idx="12">
                  <c:v>2256657.865103865</c:v>
                </c:pt>
                <c:pt idx="13">
                  <c:v>2651780.2339397119</c:v>
                </c:pt>
                <c:pt idx="14">
                  <c:v>3085743.8770825602</c:v>
                </c:pt>
                <c:pt idx="15">
                  <c:v>3559744.5617918582</c:v>
                </c:pt>
                <c:pt idx="16">
                  <c:v>4074943.3434961871</c:v>
                </c:pt>
                <c:pt idx="17">
                  <c:v>4632469.425374628</c:v>
                </c:pt>
              </c:numCache>
            </c:numRef>
          </c:val>
          <c:smooth val="0"/>
          <c:extLst>
            <c:ext xmlns:c16="http://schemas.microsoft.com/office/drawing/2014/chart" uri="{C3380CC4-5D6E-409C-BE32-E72D297353CC}">
              <c16:uniqueId val="{00000000-0950-3C4A-A1ED-62B5CF411E15}"/>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H!$E$102:$E$120</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smooth val="0"/>
          <c:extLst>
            <c:ext xmlns:c16="http://schemas.microsoft.com/office/drawing/2014/chart" uri="{C3380CC4-5D6E-409C-BE32-E72D297353CC}">
              <c16:uniqueId val="{00000000-777B-AF47-ACB6-718279A51EBA}"/>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H!$D$136</c:f>
              <c:strCache>
                <c:ptCount val="1"/>
                <c:pt idx="0">
                  <c:v>Qrot</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H!$D$138:$D$155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686-8445-B380-CB4BF3962961}"/>
            </c:ext>
          </c:extLst>
        </c:ser>
        <c:ser>
          <c:idx val="1"/>
          <c:order val="1"/>
          <c:tx>
            <c:strRef>
              <c:f>H!$E$136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H!$E$137:$E$154</c:f>
              <c:numCache>
                <c:formatCode>0.00E+00</c:formatCode>
                <c:ptCount val="18"/>
              </c:numCache>
            </c:numRef>
          </c:val>
          <c:smooth val="0"/>
          <c:extLst>
            <c:ext xmlns:c16="http://schemas.microsoft.com/office/drawing/2014/chart" uri="{C3380CC4-5D6E-409C-BE32-E72D297353CC}">
              <c16:uniqueId val="{00000001-8686-8445-B380-CB4BF396296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C255-4548-833C-4DF880FF5E43}"/>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H!$H$215:$H$232</c:f>
              <c:numCache>
                <c:formatCode>0.00E+00</c:formatCode>
                <c:ptCount val="18"/>
                <c:pt idx="0">
                  <c:v>12.471599999999999</c:v>
                </c:pt>
                <c:pt idx="1">
                  <c:v>12.471599999999999</c:v>
                </c:pt>
                <c:pt idx="2">
                  <c:v>12.471599999999999</c:v>
                </c:pt>
                <c:pt idx="3">
                  <c:v>12.471599999999999</c:v>
                </c:pt>
                <c:pt idx="4">
                  <c:v>12.471599999999999</c:v>
                </c:pt>
                <c:pt idx="5">
                  <c:v>12.471599999999999</c:v>
                </c:pt>
                <c:pt idx="6">
                  <c:v>12.471599999999999</c:v>
                </c:pt>
                <c:pt idx="7">
                  <c:v>12.471599999999999</c:v>
                </c:pt>
                <c:pt idx="8">
                  <c:v>12.471599999999999</c:v>
                </c:pt>
                <c:pt idx="9">
                  <c:v>12.471599999999999</c:v>
                </c:pt>
                <c:pt idx="10">
                  <c:v>12.471599999999999</c:v>
                </c:pt>
                <c:pt idx="11">
                  <c:v>12.471599999999999</c:v>
                </c:pt>
                <c:pt idx="12">
                  <c:v>12.471599999999999</c:v>
                </c:pt>
                <c:pt idx="13">
                  <c:v>12.471599999999999</c:v>
                </c:pt>
                <c:pt idx="14">
                  <c:v>12.471599999999999</c:v>
                </c:pt>
                <c:pt idx="15">
                  <c:v>12.471599999999999</c:v>
                </c:pt>
                <c:pt idx="16">
                  <c:v>12.471599999999999</c:v>
                </c:pt>
                <c:pt idx="17">
                  <c:v>12.471599999999999</c:v>
                </c:pt>
              </c:numCache>
            </c:numRef>
          </c:val>
          <c:smooth val="0"/>
          <c:extLst>
            <c:ext xmlns:c16="http://schemas.microsoft.com/office/drawing/2014/chart" uri="{C3380CC4-5D6E-409C-BE32-E72D297353CC}">
              <c16:uniqueId val="{00000000-EFD3-7E47-BD2C-6793E396B1FD}"/>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H!$J$263:$J$280</c:f>
              <c:numCache>
                <c:formatCode>0.00E+00</c:formatCode>
                <c:ptCount val="18"/>
                <c:pt idx="0">
                  <c:v>114.72990445852881</c:v>
                </c:pt>
                <c:pt idx="1">
                  <c:v>120.70966401651158</c:v>
                </c:pt>
                <c:pt idx="2">
                  <c:v>125.34792587412869</c:v>
                </c:pt>
                <c:pt idx="3">
                  <c:v>129.13766175364785</c:v>
                </c:pt>
                <c:pt idx="4">
                  <c:v>132.34183778453723</c:v>
                </c:pt>
                <c:pt idx="5">
                  <c:v>135.11742131163064</c:v>
                </c:pt>
                <c:pt idx="6">
                  <c:v>137.5656594907841</c:v>
                </c:pt>
                <c:pt idx="7">
                  <c:v>139.75568316924776</c:v>
                </c:pt>
                <c:pt idx="8">
                  <c:v>141.73680056666038</c:v>
                </c:pt>
                <c:pt idx="9">
                  <c:v>143.54541904876692</c:v>
                </c:pt>
                <c:pt idx="10">
                  <c:v>145.20918677046902</c:v>
                </c:pt>
                <c:pt idx="11">
                  <c:v>146.7495950796563</c:v>
                </c:pt>
                <c:pt idx="12">
                  <c:v>148.18368090638398</c:v>
                </c:pt>
                <c:pt idx="13">
                  <c:v>149.52517860674956</c:v>
                </c:pt>
                <c:pt idx="14">
                  <c:v>150.78532199582605</c:v>
                </c:pt>
                <c:pt idx="15">
                  <c:v>151.97341678590314</c:v>
                </c:pt>
                <c:pt idx="16">
                  <c:v>153.09725804722714</c:v>
                </c:pt>
                <c:pt idx="17">
                  <c:v>154.16344046436677</c:v>
                </c:pt>
              </c:numCache>
            </c:numRef>
          </c:val>
          <c:smooth val="0"/>
          <c:extLst>
            <c:ext xmlns:c16="http://schemas.microsoft.com/office/drawing/2014/chart" uri="{C3380CC4-5D6E-409C-BE32-E72D297353CC}">
              <c16:uniqueId val="{00000000-A33F-6C45-871A-0C705707663C}"/>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H!$Z$102:$Z$120</c:f>
              <c:numCache>
                <c:formatCode>General</c:formatCode>
                <c:ptCount val="19"/>
                <c:pt idx="0">
                  <c:v>79497.707020761445</c:v>
                </c:pt>
                <c:pt idx="1">
                  <c:v>80736.646213308893</c:v>
                </c:pt>
                <c:pt idx="2">
                  <c:v>165736.26462123345</c:v>
                </c:pt>
                <c:pt idx="3">
                  <c:v>289529.33908591262</c:v>
                </c:pt>
                <c:pt idx="4">
                  <c:v>456715.44022152055</c:v>
                </c:pt>
                <c:pt idx="5">
                  <c:v>671448.43847550312</c:v>
                </c:pt>
                <c:pt idx="6">
                  <c:v>937545.89281762054</c:v>
                </c:pt>
                <c:pt idx="7">
                  <c:v>1258559.7594674756</c:v>
                </c:pt>
                <c:pt idx="8">
                  <c:v>1637825.2721608698</c:v>
                </c:pt>
                <c:pt idx="9">
                  <c:v>2078496.4210107825</c:v>
                </c:pt>
                <c:pt idx="10">
                  <c:v>2583572.678825899</c:v>
                </c:pt>
                <c:pt idx="11">
                  <c:v>3155919.7328117909</c:v>
                </c:pt>
                <c:pt idx="12">
                  <c:v>3798285.9525051839</c:v>
                </c:pt>
                <c:pt idx="13">
                  <c:v>4513315.7302077301</c:v>
                </c:pt>
                <c:pt idx="14">
                  <c:v>5303560.4678794239</c:v>
                </c:pt>
                <c:pt idx="15">
                  <c:v>6171487.7541651204</c:v>
                </c:pt>
                <c:pt idx="16">
                  <c:v>7119489.1235837163</c:v>
                </c:pt>
                <c:pt idx="17">
                  <c:v>8149886.6869923742</c:v>
                </c:pt>
                <c:pt idx="18">
                  <c:v>9264938.8507492561</c:v>
                </c:pt>
              </c:numCache>
            </c:numRef>
          </c:val>
          <c:smooth val="0"/>
          <c:extLst>
            <c:ext xmlns:c16="http://schemas.microsoft.com/office/drawing/2014/chart" uri="{C3380CC4-5D6E-409C-BE32-E72D297353CC}">
              <c16:uniqueId val="{00000000-4FAA-2C43-B034-20FFA9281A58}"/>
            </c:ext>
          </c:extLst>
        </c:ser>
        <c:dLbls>
          <c:showLegendKey val="0"/>
          <c:showVal val="0"/>
          <c:showCatName val="0"/>
          <c:showSerName val="0"/>
          <c:showPercent val="0"/>
          <c:showBubbleSize val="0"/>
        </c:dLbls>
        <c:marker val="1"/>
        <c:smooth val="0"/>
        <c:axId val="235744720"/>
        <c:axId val="751785295"/>
      </c:lineChart>
      <c:catAx>
        <c:axId val="23574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85295"/>
        <c:crosses val="autoZero"/>
        <c:auto val="1"/>
        <c:lblAlgn val="ctr"/>
        <c:lblOffset val="100"/>
        <c:noMultiLvlLbl val="0"/>
      </c:catAx>
      <c:valAx>
        <c:axId val="7517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3574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'NH2'!$E$64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'NH2'!$C$66:$C$83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'NH2'!$E$66:$E$83</c:f>
              <c:numCache>
                <c:formatCode>0.00E+00</c:formatCode>
                <c:ptCount val="18"/>
                <c:pt idx="0">
                  <c:v>2558005.664168728</c:v>
                </c:pt>
                <c:pt idx="1">
                  <c:v>5251076.4757205164</c:v>
                </c:pt>
                <c:pt idx="2">
                  <c:v>9173253.0896571595</c:v>
                </c:pt>
                <c:pt idx="3">
                  <c:v>14470265.211578485</c:v>
                </c:pt>
                <c:pt idx="4">
                  <c:v>21273721.282398958</c:v>
                </c:pt>
                <c:pt idx="5">
                  <c:v>29704574.276089154</c:v>
                </c:pt>
                <c:pt idx="6">
                  <c:v>39875361.987503298</c:v>
                </c:pt>
                <c:pt idx="7">
                  <c:v>51891755.72189635</c:v>
                </c:pt>
                <c:pt idx="8">
                  <c:v>65853684.383333303</c:v>
                </c:pt>
                <c:pt idx="9">
                  <c:v>81856181.253399745</c:v>
                </c:pt>
                <c:pt idx="10">
                  <c:v>99990040.840508208</c:v>
                </c:pt>
                <c:pt idx="11">
                  <c:v>120342340.63885535</c:v>
                </c:pt>
                <c:pt idx="12">
                  <c:v>142996863.79777098</c:v>
                </c:pt>
                <c:pt idx="13">
                  <c:v>168034447.22305748</c:v>
                </c:pt>
                <c:pt idx="14">
                  <c:v>195533272.33575085</c:v>
                </c:pt>
                <c:pt idx="15">
                  <c:v>225569110.90905237</c:v>
                </c:pt>
                <c:pt idx="16">
                  <c:v>258215535.14348531</c:v>
                </c:pt>
                <c:pt idx="17">
                  <c:v>293544098.86903071</c:v>
                </c:pt>
              </c:numCache>
            </c:numRef>
          </c:val>
          <c:smooth val="0"/>
          <c:extLst>
            <c:ext xmlns:c16="http://schemas.microsoft.com/office/drawing/2014/chart" uri="{C3380CC4-5D6E-409C-BE32-E72D297353CC}">
              <c16:uniqueId val="{00000000-1F7D-1543-A05A-33C50C4ED54C}"/>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'NH2'!$C$102:$C$120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'NH2'!$G$102:$G$120</c:f>
              <c:numCache>
                <c:formatCode>General</c:formatCode>
                <c:ptCount val="19"/>
                <c:pt idx="0">
                  <c:v>1.0006575873970416</c:v>
                </c:pt>
                <c:pt idx="1">
                  <c:v>1.0006880140825076</c:v>
                </c:pt>
                <c:pt idx="2">
                  <c:v>1.0042729992434838</c:v>
                </c:pt>
                <c:pt idx="3">
                  <c:v>1.0129319118456568</c:v>
                </c:pt>
                <c:pt idx="4">
                  <c:v>1.0275095597722768</c:v>
                </c:pt>
                <c:pt idx="5">
                  <c:v>1.0480580637138113</c:v>
                </c:pt>
                <c:pt idx="6">
                  <c:v>1.0743990049722385</c:v>
                </c:pt>
                <c:pt idx="7">
                  <c:v>1.1063444587851623</c:v>
                </c:pt>
                <c:pt idx="8">
                  <c:v>1.1437436830883647</c:v>
                </c:pt>
                <c:pt idx="9">
                  <c:v>1.1864801845492492</c:v>
                </c:pt>
                <c:pt idx="10">
                  <c:v>1.2344630744052267</c:v>
                </c:pt>
                <c:pt idx="11">
                  <c:v>1.2876217680348223</c:v>
                </c:pt>
                <c:pt idx="12">
                  <c:v>1.3459035776255825</c:v>
                </c:pt>
                <c:pt idx="13">
                  <c:v>1.4092725865285971</c:v>
                </c:pt>
                <c:pt idx="14">
                  <c:v>1.477708807325858</c:v>
                </c:pt>
                <c:pt idx="15">
                  <c:v>1.5512072276980149</c:v>
                </c:pt>
                <c:pt idx="16">
                  <c:v>1.6297766735885457</c:v>
                </c:pt>
                <c:pt idx="17">
                  <c:v>1.7134385461672694</c:v>
                </c:pt>
                <c:pt idx="18">
                  <c:v>1.8022255158755922</c:v>
                </c:pt>
              </c:numCache>
            </c:numRef>
          </c:val>
          <c:smooth val="0"/>
          <c:extLst>
            <c:ext xmlns:c16="http://schemas.microsoft.com/office/drawing/2014/chart" uri="{C3380CC4-5D6E-409C-BE32-E72D297353CC}">
              <c16:uniqueId val="{00000000-7783-904D-9F65-A13F527C401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'NH2'!$D$136</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'NH2'!$D$138:$D$155</c:f>
              <c:numCache>
                <c:formatCode>0.00E+00</c:formatCode>
                <c:ptCount val="18"/>
                <c:pt idx="0">
                  <c:v>361.87185896202305</c:v>
                </c:pt>
                <c:pt idx="1">
                  <c:v>557.13817382366983</c:v>
                </c:pt>
                <c:pt idx="2">
                  <c:v>778.62426845613061</c:v>
                </c:pt>
                <c:pt idx="3">
                  <c:v>1023.5281815705165</c:v>
                </c:pt>
                <c:pt idx="4">
                  <c:v>1289.792922108335</c:v>
                </c:pt>
                <c:pt idx="5">
                  <c:v>1575.8247230744075</c:v>
                </c:pt>
                <c:pt idx="6">
                  <c:v>1880.3413366548616</c:v>
                </c:pt>
                <c:pt idx="7">
                  <c:v>2202.2820008869539</c:v>
                </c:pt>
                <c:pt idx="8">
                  <c:v>2540.7501335657303</c:v>
                </c:pt>
                <c:pt idx="9">
                  <c:v>2894.9748716962004</c:v>
                </c:pt>
                <c:pt idx="10">
                  <c:v>3264.284161514312</c:v>
                </c:pt>
                <c:pt idx="11">
                  <c:v>3648.0852861968751</c:v>
                </c:pt>
                <c:pt idx="12">
                  <c:v>4045.8503789164884</c:v>
                </c:pt>
                <c:pt idx="13">
                  <c:v>4457.1053905893214</c:v>
                </c:pt>
                <c:pt idx="14">
                  <c:v>4881.4215198197799</c:v>
                </c:pt>
                <c:pt idx="15">
                  <c:v>5318.4084403761335</c:v>
                </c:pt>
                <c:pt idx="16">
                  <c:v>5767.708868554626</c:v>
                </c:pt>
                <c:pt idx="17">
                  <c:v>6228.9941476489912</c:v>
                </c:pt>
              </c:numCache>
            </c:numRef>
          </c:val>
          <c:smooth val="0"/>
          <c:extLst>
            <c:ext xmlns:c16="http://schemas.microsoft.com/office/drawing/2014/chart" uri="{C3380CC4-5D6E-409C-BE32-E72D297353CC}">
              <c16:uniqueId val="{00000000-5507-7545-9C08-76FC9F9CA4E7}"/>
            </c:ext>
          </c:extLst>
        </c:ser>
        <c:ser>
          <c:idx val="1"/>
          <c:order val="1"/>
          <c:tx>
            <c:strRef>
              <c:f>'NH2'!$E$136</c:f>
              <c:strCache>
                <c:ptCount val="1"/>
                <c:pt idx="0">
                  <c:v>Qrot(2) and 𝜎=6</c:v>
                </c:pt>
              </c:strCache>
            </c:strRef>
          </c:tx>
          <c:spPr>
            <a:ln w="28575" cap="rnd">
              <a:solidFill>
                <a:schemeClr val="accent2"/>
              </a:solidFill>
              <a:round/>
            </a:ln>
            <a:effectLst/>
          </c:spPr>
          <c:marker>
            <c:symbol val="x"/>
            <c:size val="5"/>
            <c:spPr>
              <a:noFill/>
              <a:ln w="9525">
                <a:solidFill>
                  <a:schemeClr val="accent2"/>
                </a:solidFill>
              </a:ln>
              <a:effectLst/>
            </c:spPr>
          </c:marker>
          <c:cat>
            <c:numRef>
              <c:f>'NH2'!$C$138:$C$155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'NH2'!$E$138:$E$155</c:f>
              <c:numCache>
                <c:formatCode>0.00E+00</c:formatCode>
                <c:ptCount val="18"/>
                <c:pt idx="0">
                  <c:v>53.650032376505536</c:v>
                </c:pt>
                <c:pt idx="1">
                  <c:v>82.599628358953638</c:v>
                </c:pt>
                <c:pt idx="2">
                  <c:v>115.43648995427488</c:v>
                </c:pt>
                <c:pt idx="3">
                  <c:v>151.74520681721944</c:v>
                </c:pt>
                <c:pt idx="4">
                  <c:v>191.22081564613066</c:v>
                </c:pt>
                <c:pt idx="5">
                  <c:v>233.62702934441893</c:v>
                </c:pt>
                <c:pt idx="6">
                  <c:v>278.77374571146851</c:v>
                </c:pt>
                <c:pt idx="7">
                  <c:v>326.50369937216192</c:v>
                </c:pt>
                <c:pt idx="8">
                  <c:v>376.68396574799135</c:v>
                </c:pt>
                <c:pt idx="9">
                  <c:v>429.2002590120444</c:v>
                </c:pt>
                <c:pt idx="10">
                  <c:v>483.95294249652432</c:v>
                </c:pt>
                <c:pt idx="11">
                  <c:v>540.85414178960718</c:v>
                </c:pt>
                <c:pt idx="12">
                  <c:v>599.82559694465522</c:v>
                </c:pt>
                <c:pt idx="13">
                  <c:v>660.79702687162933</c:v>
                </c:pt>
                <c:pt idx="14">
                  <c:v>723.70485876655107</c:v>
                </c:pt>
                <c:pt idx="15">
                  <c:v>788.49122403741512</c:v>
                </c:pt>
                <c:pt idx="16">
                  <c:v>855.10315287790161</c:v>
                </c:pt>
                <c:pt idx="17">
                  <c:v>923.49191963419764</c:v>
                </c:pt>
              </c:numCache>
            </c:numRef>
          </c:val>
          <c:smooth val="0"/>
          <c:extLst>
            <c:ext xmlns:c16="http://schemas.microsoft.com/office/drawing/2014/chart" uri="{C3380CC4-5D6E-409C-BE32-E72D297353CC}">
              <c16:uniqueId val="{00000001-5507-7545-9C08-76FC9F9CA4E7}"/>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'NH2'!$D$174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E016-9E4E-AB74-57B6450AB03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'NH2'!$H$215:$H$232</c:f>
              <c:numCache>
                <c:formatCode>0.00E+00</c:formatCode>
                <c:ptCount val="18"/>
                <c:pt idx="0">
                  <c:v>25.247098268676972</c:v>
                </c:pt>
                <c:pt idx="1">
                  <c:v>26.017233044947439</c:v>
                </c:pt>
                <c:pt idx="2">
                  <c:v>27.093138354671581</c:v>
                </c:pt>
                <c:pt idx="3">
                  <c:v>28.306826176769867</c:v>
                </c:pt>
                <c:pt idx="4">
                  <c:v>29.597684536678056</c:v>
                </c:pt>
                <c:pt idx="5">
                  <c:v>30.936963972926808</c:v>
                </c:pt>
                <c:pt idx="6">
                  <c:v>32.292293115764615</c:v>
                </c:pt>
                <c:pt idx="7">
                  <c:v>33.628283549973503</c:v>
                </c:pt>
                <c:pt idx="8">
                  <c:v>34.914137304979093</c:v>
                </c:pt>
                <c:pt idx="9">
                  <c:v>36.127799974149674</c:v>
                </c:pt>
                <c:pt idx="10">
                  <c:v>37.256313280726481</c:v>
                </c:pt>
                <c:pt idx="11">
                  <c:v>38.294224479505949</c:v>
                </c:pt>
                <c:pt idx="12">
                  <c:v>39.24148772294653</c:v>
                </c:pt>
                <c:pt idx="13">
                  <c:v>40.101563970393414</c:v>
                </c:pt>
                <c:pt idx="14">
                  <c:v>40.879950373664769</c:v>
                </c:pt>
                <c:pt idx="15">
                  <c:v>41.583141904327</c:v>
                </c:pt>
                <c:pt idx="16">
                  <c:v>42.217945878050841</c:v>
                </c:pt>
                <c:pt idx="17">
                  <c:v>42.791056677865882</c:v>
                </c:pt>
              </c:numCache>
            </c:numRef>
          </c:val>
          <c:smooth val="0"/>
          <c:extLst>
            <c:ext xmlns:c16="http://schemas.microsoft.com/office/drawing/2014/chart" uri="{C3380CC4-5D6E-409C-BE32-E72D297353CC}">
              <c16:uniqueId val="{00000000-1690-B840-A090-9859A2B9E7AE}"/>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'NH2'!$C$263:$C$280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'NH2'!$J$263:$J$280</c:f>
              <c:numCache>
                <c:formatCode>0.00E+00</c:formatCode>
                <c:ptCount val="18"/>
                <c:pt idx="0">
                  <c:v>194.85677357796797</c:v>
                </c:pt>
                <c:pt idx="1">
                  <c:v>204.60704518819384</c:v>
                </c:pt>
                <c:pt idx="2">
                  <c:v>212.37985060061894</c:v>
                </c:pt>
                <c:pt idx="3">
                  <c:v>218.94124228303403</c:v>
                </c:pt>
                <c:pt idx="4">
                  <c:v>224.68256674875298</c:v>
                </c:pt>
                <c:pt idx="5">
                  <c:v>229.83207536514962</c:v>
                </c:pt>
                <c:pt idx="6">
                  <c:v>234.53348854752522</c:v>
                </c:pt>
                <c:pt idx="7">
                  <c:v>238.88129201191143</c:v>
                </c:pt>
                <c:pt idx="8">
                  <c:v>242.93966017435369</c:v>
                </c:pt>
                <c:pt idx="9">
                  <c:v>246.75365181455092</c:v>
                </c:pt>
                <c:pt idx="10">
                  <c:v>250.35608189101319</c:v>
                </c:pt>
                <c:pt idx="11">
                  <c:v>253.77178333923442</c:v>
                </c:pt>
                <c:pt idx="12">
                  <c:v>257.02026165063171</c:v>
                </c:pt>
                <c:pt idx="13">
                  <c:v>260.11735933793045</c:v>
                </c:pt>
                <c:pt idx="14">
                  <c:v>263.07631197364265</c:v>
                </c:pt>
                <c:pt idx="15">
                  <c:v>265.90843022662432</c:v>
                </c:pt>
                <c:pt idx="16">
                  <c:v>268.62355090032628</c:v>
                </c:pt>
                <c:pt idx="17">
                  <c:v>271.23034393268216</c:v>
                </c:pt>
              </c:numCache>
            </c:numRef>
          </c:val>
          <c:smooth val="0"/>
          <c:extLst>
            <c:ext xmlns:c16="http://schemas.microsoft.com/office/drawing/2014/chart" uri="{C3380CC4-5D6E-409C-BE32-E72D297353CC}">
              <c16:uniqueId val="{00000000-7FEB-8A4E-8B4D-3DBA1DBF4D9E}"/>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'NH2'!$U$102:$U$120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'NH2'!$Z$102:$Z$120</c:f>
              <c:numCache>
                <c:formatCode>General</c:formatCode>
                <c:ptCount val="19"/>
                <c:pt idx="0">
                  <c:v>0.49690343468181875</c:v>
                </c:pt>
                <c:pt idx="1">
                  <c:v>0.57660297424754092</c:v>
                </c:pt>
                <c:pt idx="2">
                  <c:v>270.18780278021035</c:v>
                </c:pt>
                <c:pt idx="3">
                  <c:v>13326.704086651318</c:v>
                </c:pt>
                <c:pt idx="4">
                  <c:v>206750.08029184898</c:v>
                </c:pt>
                <c:pt idx="5">
                  <c:v>1628110.8956218669</c:v>
                </c:pt>
                <c:pt idx="6">
                  <c:v>8304639.2723161792</c:v>
                </c:pt>
                <c:pt idx="7">
                  <c:v>31494576.136941668</c:v>
                </c:pt>
                <c:pt idx="8">
                  <c:v>96598010.909075037</c:v>
                </c:pt>
                <c:pt idx="9">
                  <c:v>253012128.95285338</c:v>
                </c:pt>
                <c:pt idx="10">
                  <c:v>587136025.30113888</c:v>
                </c:pt>
                <c:pt idx="11">
                  <c:v>1238740966.4052579</c:v>
                </c:pt>
                <c:pt idx="12">
                  <c:v>2420959717.1323605</c:v>
                </c:pt>
                <c:pt idx="13">
                  <c:v>4444182102.9206171</c:v>
                </c:pt>
                <c:pt idx="14">
                  <c:v>7744165747.8870459</c:v>
                </c:pt>
                <c:pt idx="15">
                  <c:v>12914682736.53368</c:v>
                </c:pt>
                <c:pt idx="16">
                  <c:v>20745028416.704838</c:v>
                </c:pt>
                <c:pt idx="17">
                  <c:v>32262720580.811897</c:v>
                </c:pt>
                <c:pt idx="18">
                  <c:v>48781717622.845879</c:v>
                </c:pt>
              </c:numCache>
            </c:numRef>
          </c:val>
          <c:smooth val="0"/>
          <c:extLst>
            <c:ext xmlns:c16="http://schemas.microsoft.com/office/drawing/2014/chart" uri="{C3380CC4-5D6E-409C-BE32-E72D297353CC}">
              <c16:uniqueId val="{00000000-A64D-E249-833D-988C79440F5D}"/>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'H2'!$C$66:$C$83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'H2'!$E$66:$E$83</c:f>
              <c:numCache>
                <c:formatCode>0.00E+00</c:formatCode>
                <c:ptCount val="18"/>
                <c:pt idx="0">
                  <c:v>114178.01036804235</c:v>
                </c:pt>
                <c:pt idx="1">
                  <c:v>234384.72896542485</c:v>
                </c:pt>
                <c:pt idx="2">
                  <c:v>409453.27098012256</c:v>
                </c:pt>
                <c:pt idx="3">
                  <c:v>645888.36314904713</c:v>
                </c:pt>
                <c:pt idx="4">
                  <c:v>949564.42167925066</c:v>
                </c:pt>
                <c:pt idx="5">
                  <c:v>1325880.2500641872</c:v>
                </c:pt>
                <c:pt idx="6">
                  <c:v>1779859.0355811976</c:v>
                </c:pt>
                <c:pt idx="7">
                  <c:v>2316217.475912435</c:v>
                </c:pt>
                <c:pt idx="8">
                  <c:v>2939415.9534582081</c:v>
                </c:pt>
                <c:pt idx="9">
                  <c:v>3653696.3317773752</c:v>
                </c:pt>
                <c:pt idx="10">
                  <c:v>4463111.27442268</c:v>
                </c:pt>
                <c:pt idx="11">
                  <c:v>5371547.5339429826</c:v>
                </c:pt>
                <c:pt idx="12">
                  <c:v>6382744.8179655354</c:v>
                </c:pt>
                <c:pt idx="13">
                  <c:v>7500311.326893637</c:v>
                </c:pt>
                <c:pt idx="14">
                  <c:v>8727736.7320857942</c:v>
                </c:pt>
                <c:pt idx="15">
                  <c:v>10068403.148924792</c:v>
                </c:pt>
                <c:pt idx="16">
                  <c:v>11525594.513639903</c:v>
                </c:pt>
                <c:pt idx="17">
                  <c:v>13102504.671363808</c:v>
                </c:pt>
              </c:numCache>
            </c:numRef>
          </c:val>
          <c:smooth val="0"/>
          <c:extLst>
            <c:ext xmlns:c16="http://schemas.microsoft.com/office/drawing/2014/chart" uri="{C3380CC4-5D6E-409C-BE32-E72D297353CC}">
              <c16:uniqueId val="{00000000-652B-C447-AB34-9F476EEB3134}"/>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Qvib_𝜐=0</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'H2'!$E$102:$E$120</c:f>
              <c:numCache>
                <c:formatCode>General</c:formatCode>
                <c:ptCount val="19"/>
                <c:pt idx="0">
                  <c:v>1.0000000004358929</c:v>
                </c:pt>
                <c:pt idx="1">
                  <c:v>1.000000000497856</c:v>
                </c:pt>
                <c:pt idx="2">
                  <c:v>1.0000001053968774</c:v>
                </c:pt>
                <c:pt idx="3">
                  <c:v>1.0000026197707961</c:v>
                </c:pt>
                <c:pt idx="4">
                  <c:v>1.0000223131810506</c:v>
                </c:pt>
                <c:pt idx="5">
                  <c:v>1.0001030597667218</c:v>
                </c:pt>
                <c:pt idx="6">
                  <c:v>1.0003247542664466</c:v>
                </c:pt>
                <c:pt idx="7">
                  <c:v>1.0007931930047049</c:v>
                </c:pt>
                <c:pt idx="8">
                  <c:v>1.001621192493636</c:v>
                </c:pt>
                <c:pt idx="9">
                  <c:v>1.0029114479107326</c:v>
                </c:pt>
                <c:pt idx="10">
                  <c:v>1.0047460488773623</c:v>
                </c:pt>
                <c:pt idx="11">
                  <c:v>1.0071826714022107</c:v>
                </c:pt>
                <c:pt idx="12">
                  <c:v>1.0102554185092685</c:v>
                </c:pt>
                <c:pt idx="13">
                  <c:v>1.013978137584411</c:v>
                </c:pt>
                <c:pt idx="14">
                  <c:v>1.0183486198834626</c:v>
                </c:pt>
                <c:pt idx="15">
                  <c:v>1.0233527351716376</c:v>
                </c:pt>
                <c:pt idx="16">
                  <c:v>1.0289680427797723</c:v>
                </c:pt>
                <c:pt idx="17">
                  <c:v>1.0351667248954137</c:v>
                </c:pt>
                <c:pt idx="18">
                  <c:v>1.0419178518928653</c:v>
                </c:pt>
              </c:numCache>
            </c:numRef>
          </c:val>
          <c:smooth val="0"/>
          <c:extLst>
            <c:ext xmlns:c16="http://schemas.microsoft.com/office/drawing/2014/chart" uri="{C3380CC4-5D6E-409C-BE32-E72D297353CC}">
              <c16:uniqueId val="{00000000-FF2E-E94D-A99A-F15C8779FC3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'H2'!$D$136</c:f>
              <c:strCache>
                <c:ptCount val="1"/>
                <c:pt idx="0">
                  <c:v>Qrot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'H2'!$D$138:$D$155</c:f>
              <c:numCache>
                <c:formatCode>0.00E+00</c:formatCode>
                <c:ptCount val="18"/>
                <c:pt idx="0">
                  <c:v>1.7184736568947652</c:v>
                </c:pt>
                <c:pt idx="1">
                  <c:v>2.2912982091930205</c:v>
                </c:pt>
                <c:pt idx="2">
                  <c:v>2.8641227614912754</c:v>
                </c:pt>
                <c:pt idx="3">
                  <c:v>3.4369473137895303</c:v>
                </c:pt>
                <c:pt idx="4">
                  <c:v>4.0097718660877852</c:v>
                </c:pt>
                <c:pt idx="5">
                  <c:v>4.582596418386041</c:v>
                </c:pt>
                <c:pt idx="6">
                  <c:v>5.1554209706842959</c:v>
                </c:pt>
                <c:pt idx="7">
                  <c:v>5.7282455229825509</c:v>
                </c:pt>
                <c:pt idx="8">
                  <c:v>6.3010700752808058</c:v>
                </c:pt>
                <c:pt idx="9">
                  <c:v>6.8738946275790607</c:v>
                </c:pt>
                <c:pt idx="10">
                  <c:v>7.4467191798773165</c:v>
                </c:pt>
                <c:pt idx="11">
                  <c:v>8.0195437321755705</c:v>
                </c:pt>
                <c:pt idx="12">
                  <c:v>8.5923682844738263</c:v>
                </c:pt>
                <c:pt idx="13">
                  <c:v>9.1651928367720821</c:v>
                </c:pt>
                <c:pt idx="14">
                  <c:v>9.7380173890703361</c:v>
                </c:pt>
                <c:pt idx="15">
                  <c:v>10.310841941368592</c:v>
                </c:pt>
                <c:pt idx="16">
                  <c:v>10.883666493666846</c:v>
                </c:pt>
                <c:pt idx="17">
                  <c:v>11.456491045965102</c:v>
                </c:pt>
              </c:numCache>
            </c:numRef>
          </c:val>
          <c:smooth val="0"/>
          <c:extLst>
            <c:ext xmlns:c16="http://schemas.microsoft.com/office/drawing/2014/chart" uri="{C3380CC4-5D6E-409C-BE32-E72D297353CC}">
              <c16:uniqueId val="{00000000-6E5E-5843-9439-1068E8246396}"/>
            </c:ext>
          </c:extLst>
        </c:ser>
        <c:ser>
          <c:idx val="1"/>
          <c:order val="1"/>
          <c:tx>
            <c:strRef>
              <c:f>'H2'!$E$136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'H2'!$C$138:$C$155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'H2'!$E$138:$E$155</c:f>
              <c:numCache>
                <c:formatCode>0.00E+00</c:formatCode>
                <c:ptCount val="18"/>
              </c:numCache>
            </c:numRef>
          </c:val>
          <c:smooth val="0"/>
          <c:extLst>
            <c:ext xmlns:c16="http://schemas.microsoft.com/office/drawing/2014/chart" uri="{C3380CC4-5D6E-409C-BE32-E72D297353CC}">
              <c16:uniqueId val="{00000001-6E5E-5843-9439-1068E8246396}"/>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92EE-5B48-97C6-4D78D2A42CF1}"/>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'H2'!$H$215:$H$232</c:f>
              <c:numCache>
                <c:formatCode>0.00E+00</c:formatCode>
                <c:ptCount val="18"/>
                <c:pt idx="0">
                  <c:v>20.78600189941362</c:v>
                </c:pt>
                <c:pt idx="1">
                  <c:v>20.786226183801865</c:v>
                </c:pt>
                <c:pt idx="2">
                  <c:v>20.789598116804051</c:v>
                </c:pt>
                <c:pt idx="3">
                  <c:v>20.807282253126147</c:v>
                </c:pt>
                <c:pt idx="4">
                  <c:v>20.858224641609258</c:v>
                </c:pt>
                <c:pt idx="5">
                  <c:v>20.960285980168521</c:v>
                </c:pt>
                <c:pt idx="6">
                  <c:v>21.122499137965221</c:v>
                </c:pt>
                <c:pt idx="7">
                  <c:v>21.343549227612336</c:v>
                </c:pt>
                <c:pt idx="8">
                  <c:v>21.614573165398468</c:v>
                </c:pt>
                <c:pt idx="9">
                  <c:v>21.92302555072569</c:v>
                </c:pt>
                <c:pt idx="10">
                  <c:v>22.255776816841013</c:v>
                </c:pt>
                <c:pt idx="11">
                  <c:v>22.600980925748111</c:v>
                </c:pt>
                <c:pt idx="12">
                  <c:v>22.948911224871004</c:v>
                </c:pt>
                <c:pt idx="13">
                  <c:v>23.292126647352347</c:v>
                </c:pt>
                <c:pt idx="14">
                  <c:v>23.625279707742692</c:v>
                </c:pt>
                <c:pt idx="15">
                  <c:v>23.944775654770371</c:v>
                </c:pt>
                <c:pt idx="16">
                  <c:v>24.248403181185758</c:v>
                </c:pt>
                <c:pt idx="17">
                  <c:v>24.534996171095855</c:v>
                </c:pt>
              </c:numCache>
            </c:numRef>
          </c:val>
          <c:smooth val="0"/>
          <c:extLst>
            <c:ext xmlns:c16="http://schemas.microsoft.com/office/drawing/2014/chart" uri="{C3380CC4-5D6E-409C-BE32-E72D297353CC}">
              <c16:uniqueId val="{00000000-94A7-824F-9F91-EF196DC53CC8}"/>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'H2'!$J$263:$J$280</c:f>
              <c:numCache>
                <c:formatCode>0.00E+00</c:formatCode>
                <c:ptCount val="18"/>
                <c:pt idx="0">
                  <c:v>130.42751367303117</c:v>
                </c:pt>
                <c:pt idx="1">
                  <c:v>138.79919191658692</c:v>
                </c:pt>
                <c:pt idx="2">
                  <c:v>145.29304530049592</c:v>
                </c:pt>
                <c:pt idx="3">
                  <c:v>150.60054634839983</c:v>
                </c:pt>
                <c:pt idx="4">
                  <c:v>155.0929436411474</c:v>
                </c:pt>
                <c:pt idx="5">
                  <c:v>158.99442679928512</c:v>
                </c:pt>
                <c:pt idx="6">
                  <c:v>162.4512529437865</c:v>
                </c:pt>
                <c:pt idx="7">
                  <c:v>165.56369373467442</c:v>
                </c:pt>
                <c:pt idx="8">
                  <c:v>168.40275885025585</c:v>
                </c:pt>
                <c:pt idx="9">
                  <c:v>171.01992178920253</c:v>
                </c:pt>
                <c:pt idx="10">
                  <c:v>173.45322636604118</c:v>
                </c:pt>
                <c:pt idx="11">
                  <c:v>175.73130906525256</c:v>
                </c:pt>
                <c:pt idx="12">
                  <c:v>177.87612234665701</c:v>
                </c:pt>
                <c:pt idx="13">
                  <c:v>179.90480801649915</c:v>
                </c:pt>
                <c:pt idx="14">
                  <c:v>181.8309996896424</c:v>
                </c:pt>
                <c:pt idx="15">
                  <c:v>183.66573643286944</c:v>
                </c:pt>
                <c:pt idx="16">
                  <c:v>185.41810945550549</c:v>
                </c:pt>
                <c:pt idx="17">
                  <c:v>187.09572439116147</c:v>
                </c:pt>
              </c:numCache>
            </c:numRef>
          </c:val>
          <c:smooth val="0"/>
          <c:extLst>
            <c:ext xmlns:c16="http://schemas.microsoft.com/office/drawing/2014/chart" uri="{C3380CC4-5D6E-409C-BE32-E72D297353CC}">
              <c16:uniqueId val="{00000000-82FC-C24F-ADE2-3EEBE8109081}"/>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'H2'!$U$102:$U$120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'H2'!$Z$102:$Z$120</c:f>
              <c:numCache>
                <c:formatCode>General</c:formatCode>
                <c:ptCount val="19"/>
                <c:pt idx="0">
                  <c:v>4.0087843387787254</c:v>
                </c:pt>
                <c:pt idx="1">
                  <c:v>4.3780140309894415</c:v>
                </c:pt>
                <c:pt idx="2">
                  <c:v>174.35115271478776</c:v>
                </c:pt>
                <c:pt idx="3">
                  <c:v>1898.13977895531</c:v>
                </c:pt>
                <c:pt idx="4">
                  <c:v>10486.146590237382</c:v>
                </c:pt>
                <c:pt idx="5">
                  <c:v>38655.478535156093</c:v>
                </c:pt>
                <c:pt idx="6">
                  <c:v>109512.54040326814</c:v>
                </c:pt>
                <c:pt idx="7">
                  <c:v>258530.24071522686</c:v>
                </c:pt>
                <c:pt idx="8">
                  <c:v>534650.53155065491</c:v>
                </c:pt>
                <c:pt idx="9">
                  <c:v>1000831.954474094</c:v>
                </c:pt>
                <c:pt idx="10">
                  <c:v>1734321.3735948729</c:v>
                </c:pt>
                <c:pt idx="11">
                  <c:v>2826830.7916020132</c:v>
                </c:pt>
                <c:pt idx="12">
                  <c:v>4384715.0140473042</c:v>
                </c:pt>
                <c:pt idx="13">
                  <c:v>6529190.1405756408</c:v>
                </c:pt>
                <c:pt idx="14">
                  <c:v>9396602.1464824658</c:v>
                </c:pt>
                <c:pt idx="15">
                  <c:v>13138740.579431489</c:v>
                </c:pt>
                <c:pt idx="16">
                  <c:v>17923187.424443047</c:v>
                </c:pt>
                <c:pt idx="17">
                  <c:v>23933690.762483649</c:v>
                </c:pt>
                <c:pt idx="18">
                  <c:v>31370554.279895131</c:v>
                </c:pt>
              </c:numCache>
            </c:numRef>
          </c:val>
          <c:smooth val="0"/>
          <c:extLst>
            <c:ext xmlns:c16="http://schemas.microsoft.com/office/drawing/2014/chart" uri="{C3380CC4-5D6E-409C-BE32-E72D297353CC}">
              <c16:uniqueId val="{00000000-C0CD-174A-B5A7-9D2C70A3A915}"/>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TS!$E$64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TS!$C$66:$C$83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TS!$E$66:$E$83</c:f>
              <c:numCache>
                <c:formatCode>0.00E+00</c:formatCode>
                <c:ptCount val="18"/>
                <c:pt idx="0">
                  <c:v>3055703.7692763014</c:v>
                </c:pt>
                <c:pt idx="1">
                  <c:v>6272751.6222414859</c:v>
                </c:pt>
                <c:pt idx="2">
                  <c:v>10958046.119768845</c:v>
                </c:pt>
                <c:pt idx="3">
                  <c:v>17285670.85242058</c:v>
                </c:pt>
                <c:pt idx="4">
                  <c:v>25412840.643683624</c:v>
                </c:pt>
                <c:pt idx="5">
                  <c:v>35484041.670287065</c:v>
                </c:pt>
                <c:pt idx="6">
                  <c:v>47633707.631396353</c:v>
                </c:pt>
                <c:pt idx="7">
                  <c:v>61988069.758748062</c:v>
                </c:pt>
                <c:pt idx="8">
                  <c:v>78666499.6131953</c:v>
                </c:pt>
                <c:pt idx="9">
                  <c:v>97782520.616842195</c:v>
                </c:pt>
                <c:pt idx="10">
                  <c:v>119444592.70215228</c:v>
                </c:pt>
                <c:pt idx="11">
                  <c:v>143756735.58689478</c:v>
                </c:pt>
                <c:pt idx="12">
                  <c:v>170819033.68010557</c:v>
                </c:pt>
                <c:pt idx="13">
                  <c:v>200728051.91172868</c:v>
                </c:pt>
                <c:pt idx="14">
                  <c:v>233577183.06282544</c:v>
                </c:pt>
                <c:pt idx="15">
                  <c:v>269456941.43374282</c:v>
                </c:pt>
                <c:pt idx="16">
                  <c:v>308455213.79252124</c:v>
                </c:pt>
                <c:pt idx="17">
                  <c:v>350657475.832605</c:v>
                </c:pt>
              </c:numCache>
            </c:numRef>
          </c:val>
          <c:smooth val="0"/>
          <c:extLst>
            <c:ext xmlns:c16="http://schemas.microsoft.com/office/drawing/2014/chart" uri="{C3380CC4-5D6E-409C-BE32-E72D297353CC}">
              <c16:uniqueId val="{00000000-8C1E-2A45-A24C-12E5ED6196A5}"/>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TS!$C$102:$C$120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TS!$M$102:$M$120</c:f>
              <c:numCache>
                <c:formatCode>General</c:formatCode>
                <c:ptCount val="19"/>
                <c:pt idx="0">
                  <c:v>1.077488973402785</c:v>
                </c:pt>
                <c:pt idx="1">
                  <c:v>1.0793370046353254</c:v>
                </c:pt>
                <c:pt idx="2">
                  <c:v>1.2168249504907209</c:v>
                </c:pt>
                <c:pt idx="3">
                  <c:v>1.4334916530276467</c:v>
                </c:pt>
                <c:pt idx="4">
                  <c:v>1.7412196366899653</c:v>
                </c:pt>
                <c:pt idx="5">
                  <c:v>2.1580782531620226</c:v>
                </c:pt>
                <c:pt idx="6">
                  <c:v>2.708845526218544</c:v>
                </c:pt>
                <c:pt idx="7">
                  <c:v>3.4256498515671061</c:v>
                </c:pt>
                <c:pt idx="8">
                  <c:v>4.3489089739503344</c:v>
                </c:pt>
                <c:pt idx="9">
                  <c:v>5.5285535126630805</c:v>
                </c:pt>
                <c:pt idx="10">
                  <c:v>7.0255159022276361</c:v>
                </c:pt>
                <c:pt idx="11">
                  <c:v>8.9134771292196255</c:v>
                </c:pt>
                <c:pt idx="12">
                  <c:v>11.280873446572606</c:v>
                </c:pt>
                <c:pt idx="13">
                  <c:v>14.233172050440199</c:v>
                </c:pt>
                <c:pt idx="14">
                  <c:v>17.895429312936795</c:v>
                </c:pt>
                <c:pt idx="15">
                  <c:v>22.415148344619812</c:v>
                </c:pt>
                <c:pt idx="16">
                  <c:v>27.965454942866483</c:v>
                </c:pt>
                <c:pt idx="17">
                  <c:v>34.748612705811134</c:v>
                </c:pt>
                <c:pt idx="18">
                  <c:v>42.99989946851192</c:v>
                </c:pt>
              </c:numCache>
            </c:numRef>
          </c:val>
          <c:smooth val="0"/>
          <c:extLst>
            <c:ext xmlns:c16="http://schemas.microsoft.com/office/drawing/2014/chart" uri="{C3380CC4-5D6E-409C-BE32-E72D297353CC}">
              <c16:uniqueId val="{00000000-6ADB-3B4F-9B5E-5C323DA0DBB7}"/>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TS!$D$136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TS!$C$138:$C$155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TS!$D$138:$D$155</c:f>
              <c:numCache>
                <c:formatCode>0.00E+00</c:formatCode>
                <c:ptCount val="18"/>
                <c:pt idx="0">
                  <c:v>5030.9703060398397</c:v>
                </c:pt>
                <c:pt idx="1">
                  <c:v>7745.685494605711</c:v>
                </c:pt>
                <c:pt idx="2">
                  <c:v>10824.92456142019</c:v>
                </c:pt>
                <c:pt idx="3">
                  <c:v>14229.732877395762</c:v>
                </c:pt>
                <c:pt idx="4">
                  <c:v>17931.512858391052</c:v>
                </c:pt>
                <c:pt idx="5">
                  <c:v>21908.106952695653</c:v>
                </c:pt>
                <c:pt idx="6">
                  <c:v>26141.688544293942</c:v>
                </c:pt>
                <c:pt idx="7">
                  <c:v>30617.510252851775</c:v>
                </c:pt>
                <c:pt idx="8">
                  <c:v>35323.107228344634</c:v>
                </c:pt>
                <c:pt idx="9">
                  <c:v>40247.762448318936</c:v>
                </c:pt>
                <c:pt idx="10">
                  <c:v>45382.132598429365</c:v>
                </c:pt>
                <c:pt idx="11">
                  <c:v>50717.977356408483</c:v>
                </c:pt>
                <c:pt idx="12">
                  <c:v>56247.957985439847</c:v>
                </c:pt>
                <c:pt idx="13">
                  <c:v>61965.483956845172</c:v>
                </c:pt>
                <c:pt idx="14">
                  <c:v>67864.593803781987</c:v>
                </c:pt>
                <c:pt idx="15">
                  <c:v>73939.860965347936</c:v>
                </c:pt>
                <c:pt idx="16">
                  <c:v>80186.31825865795</c:v>
                </c:pt>
                <c:pt idx="17">
                  <c:v>86599.396491360763</c:v>
                </c:pt>
              </c:numCache>
            </c:numRef>
          </c:val>
          <c:smooth val="0"/>
          <c:extLst>
            <c:ext xmlns:c16="http://schemas.microsoft.com/office/drawing/2014/chart" uri="{C3380CC4-5D6E-409C-BE32-E72D297353CC}">
              <c16:uniqueId val="{00000000-B750-0C4F-8FB9-8939CE1F2AA6}"/>
            </c:ext>
          </c:extLst>
        </c:ser>
        <c:ser>
          <c:idx val="1"/>
          <c:order val="1"/>
          <c:tx>
            <c:strRef>
              <c:f>TS!$E$136</c:f>
              <c:strCache>
                <c:ptCount val="1"/>
                <c:pt idx="0">
                  <c:v>Qrot(2) and 𝜎=1</c:v>
                </c:pt>
              </c:strCache>
            </c:strRef>
          </c:tx>
          <c:spPr>
            <a:ln w="28575" cap="rnd">
              <a:solidFill>
                <a:schemeClr val="accent2"/>
              </a:solidFill>
              <a:round/>
            </a:ln>
            <a:effectLst/>
          </c:spPr>
          <c:marker>
            <c:symbol val="x"/>
            <c:size val="5"/>
            <c:spPr>
              <a:noFill/>
              <a:ln w="9525">
                <a:solidFill>
                  <a:schemeClr val="accent2"/>
                </a:solidFill>
              </a:ln>
              <a:effectLst/>
            </c:spPr>
          </c:marker>
          <c:cat>
            <c:numRef>
              <c:f>TS!$C$138:$C$155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TS!$E$138:$E$155</c:f>
              <c:numCache>
                <c:formatCode>0.00E+00</c:formatCode>
                <c:ptCount val="18"/>
                <c:pt idx="0">
                  <c:v>745.87646519433486</c:v>
                </c:pt>
                <c:pt idx="1">
                  <c:v>1148.3519412324156</c:v>
                </c:pt>
                <c:pt idx="2">
                  <c:v>1604.8706266809536</c:v>
                </c:pt>
                <c:pt idx="3">
                  <c:v>2109.6572258654624</c:v>
                </c:pt>
                <c:pt idx="4">
                  <c:v>2658.4719473193245</c:v>
                </c:pt>
                <c:pt idx="5">
                  <c:v>3248.0297793367045</c:v>
                </c:pt>
                <c:pt idx="6">
                  <c:v>3875.6878016594019</c:v>
                </c:pt>
                <c:pt idx="7">
                  <c:v>4539.2596122128225</c:v>
                </c:pt>
                <c:pt idx="8">
                  <c:v>5236.8972099732373</c:v>
                </c:pt>
                <c:pt idx="9">
                  <c:v>5967.0117215546798</c:v>
                </c:pt>
                <c:pt idx="10">
                  <c:v>6728.2179353871297</c:v>
                </c:pt>
                <c:pt idx="11">
                  <c:v>7519.2941661748109</c:v>
                </c:pt>
                <c:pt idx="12">
                  <c:v>8339.1523949589482</c:v>
                </c:pt>
                <c:pt idx="13">
                  <c:v>9186.8155298593283</c:v>
                </c:pt>
                <c:pt idx="14">
                  <c:v>10061.399741804213</c:v>
                </c:pt>
                <c:pt idx="15">
                  <c:v>10962.100505261395</c:v>
                </c:pt>
                <c:pt idx="16">
                  <c:v>11888.181400695792</c:v>
                </c:pt>
                <c:pt idx="17">
                  <c:v>12838.965013447609</c:v>
                </c:pt>
              </c:numCache>
            </c:numRef>
          </c:val>
          <c:smooth val="0"/>
          <c:extLst>
            <c:ext xmlns:c16="http://schemas.microsoft.com/office/drawing/2014/chart" uri="{C3380CC4-5D6E-409C-BE32-E72D297353CC}">
              <c16:uniqueId val="{00000001-B750-0C4F-8FB9-8939CE1F2AA6}"/>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TS!$D$174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TS!$C$176:$C$193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345A-4D4F-9480-92C90A072F24}"/>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TS!$C$215:$C$232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TS!$H$215:$H$232</c:f>
              <c:numCache>
                <c:formatCode>0.00E+00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extLst>
            <c:ext xmlns:c16="http://schemas.microsoft.com/office/drawing/2014/chart" uri="{C3380CC4-5D6E-409C-BE32-E72D297353CC}">
              <c16:uniqueId val="{00000000-B06E-2441-9710-711B6B2481B8}"/>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TS!$C$263:$C$280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TS!$J$263:$J$280</c:f>
              <c:numCache>
                <c:formatCode>0.00E+00</c:formatCode>
                <c:ptCount val="18"/>
                <c:pt idx="0">
                  <c:v>221.13030430260952</c:v>
                </c:pt>
                <c:pt idx="1">
                  <c:v>234.16964098291274</c:v>
                </c:pt>
                <c:pt idx="2">
                  <c:v>245.68673620057874</c:v>
                </c:pt>
                <c:pt idx="3">
                  <c:v>256.11315682690167</c:v>
                </c:pt>
                <c:pt idx="4">
                  <c:v>265.66708825270507</c:v>
                </c:pt>
                <c:pt idx="5">
                  <c:v>274.4921879012486</c:v>
                </c:pt>
                <c:pt idx="6">
                  <c:v>282.69562889320616</c:v>
                </c:pt>
                <c:pt idx="7">
                  <c:v>290.36097893107132</c:v>
                </c:pt>
                <c:pt idx="8">
                  <c:v>297.55470272830814</c:v>
                </c:pt>
                <c:pt idx="9">
                  <c:v>304.33054655367187</c:v>
                </c:pt>
                <c:pt idx="10">
                  <c:v>310.73273499081444</c:v>
                </c:pt>
                <c:pt idx="11">
                  <c:v>316.79829241688083</c:v>
                </c:pt>
                <c:pt idx="12">
                  <c:v>322.55870756219764</c:v>
                </c:pt>
                <c:pt idx="13">
                  <c:v>328.04112404192949</c:v>
                </c:pt>
                <c:pt idx="14">
                  <c:v>333.26919973005516</c:v>
                </c:pt>
                <c:pt idx="15">
                  <c:v>338.26373840734584</c:v>
                </c:pt>
                <c:pt idx="16">
                  <c:v>343.04316494613806</c:v>
                </c:pt>
                <c:pt idx="17">
                  <c:v>347.62389183378832</c:v>
                </c:pt>
              </c:numCache>
            </c:numRef>
          </c:val>
          <c:smooth val="0"/>
          <c:extLst>
            <c:ext xmlns:c16="http://schemas.microsoft.com/office/drawing/2014/chart" uri="{C3380CC4-5D6E-409C-BE32-E72D297353CC}">
              <c16:uniqueId val="{00000000-62D3-D041-B3FF-7DFC81F0A176}"/>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TS!$AC$102:$AC$120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TS!$AH$102:$AH$120</c:f>
              <c:numCache>
                <c:formatCode>General</c:formatCode>
                <c:ptCount val="19"/>
                <c:pt idx="0">
                  <c:v>4.0254601268628464E-6</c:v>
                </c:pt>
                <c:pt idx="1">
                  <c:v>5.1200251458933794E-6</c:v>
                </c:pt>
                <c:pt idx="2">
                  <c:v>0.10157138168277743</c:v>
                </c:pt>
                <c:pt idx="3">
                  <c:v>51.639549273494985</c:v>
                </c:pt>
                <c:pt idx="4">
                  <c:v>4096.7091060799203</c:v>
                </c:pt>
                <c:pt idx="5">
                  <c:v>110567.70207186673</c:v>
                </c:pt>
                <c:pt idx="6">
                  <c:v>1502994.5212005945</c:v>
                </c:pt>
                <c:pt idx="7">
                  <c:v>12817552.283135479</c:v>
                </c:pt>
                <c:pt idx="8">
                  <c:v>78324117.730431378</c:v>
                </c:pt>
                <c:pt idx="9">
                  <c:v>373522145.49833035</c:v>
                </c:pt>
                <c:pt idx="10">
                  <c:v>1472492377.7141461</c:v>
                </c:pt>
                <c:pt idx="11">
                  <c:v>4995731946.8088818</c:v>
                </c:pt>
                <c:pt idx="12">
                  <c:v>15017612805.31226</c:v>
                </c:pt>
                <c:pt idx="13">
                  <c:v>40874385963.084</c:v>
                </c:pt>
                <c:pt idx="14">
                  <c:v>102397704846.82742</c:v>
                </c:pt>
                <c:pt idx="15">
                  <c:v>239141949263.26169</c:v>
                </c:pt>
                <c:pt idx="16">
                  <c:v>525919797469.29553</c:v>
                </c:pt>
                <c:pt idx="17">
                  <c:v>1097960249755.5608</c:v>
                </c:pt>
                <c:pt idx="18">
                  <c:v>2190315039338.2437</c:v>
                </c:pt>
              </c:numCache>
            </c:numRef>
          </c:val>
          <c:smooth val="0"/>
          <c:extLst>
            <c:ext xmlns:c16="http://schemas.microsoft.com/office/drawing/2014/chart" uri="{C3380CC4-5D6E-409C-BE32-E72D297353CC}">
              <c16:uniqueId val="{00000000-1F47-E246-93A0-313B6A657C45}"/>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FORWARD</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38100" cap="flat" cmpd="dbl" algn="ctr">
              <a:solidFill>
                <a:schemeClr val="accent1"/>
              </a:solidFill>
              <a:miter lim="800000"/>
            </a:ln>
            <a:effectLst/>
          </c:spPr>
          <c:marker>
            <c:symbol val="none"/>
          </c:marker>
          <c:cat>
            <c:numRef>
              <c:f>'NH3+H---NH2+H2'!$A$20:$A$37</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'NH3+H---NH2+H2'!$R$20:$R$37</c:f>
              <c:numCache>
                <c:formatCode>0.00E+00</c:formatCode>
                <c:ptCount val="18"/>
                <c:pt idx="0">
                  <c:v>1.1002470438619868E-31</c:v>
                </c:pt>
                <c:pt idx="1">
                  <c:v>1.2959372036781538E-26</c:v>
                </c:pt>
                <c:pt idx="2">
                  <c:v>1.4867201480062042E-23</c:v>
                </c:pt>
                <c:pt idx="3">
                  <c:v>1.6924281851317851E-21</c:v>
                </c:pt>
                <c:pt idx="4">
                  <c:v>5.1497719861565027E-20</c:v>
                </c:pt>
                <c:pt idx="5">
                  <c:v>6.863888989834833E-19</c:v>
                </c:pt>
                <c:pt idx="6">
                  <c:v>5.2693737906277541E-18</c:v>
                </c:pt>
                <c:pt idx="7">
                  <c:v>2.7453741378832504E-17</c:v>
                </c:pt>
                <c:pt idx="8">
                  <c:v>1.0775122688347428E-16</c:v>
                </c:pt>
                <c:pt idx="9">
                  <c:v>3.4155249095239359E-16</c:v>
                </c:pt>
                <c:pt idx="10">
                  <c:v>9.176429569265998E-16</c:v>
                </c:pt>
                <c:pt idx="11">
                  <c:v>2.1631357764068374E-15</c:v>
                </c:pt>
                <c:pt idx="12">
                  <c:v>4.5891451093018874E-15</c:v>
                </c:pt>
                <c:pt idx="13">
                  <c:v>8.9316574627956893E-15</c:v>
                </c:pt>
                <c:pt idx="14">
                  <c:v>1.618338895275133E-14</c:v>
                </c:pt>
                <c:pt idx="15">
                  <c:v>2.7614224698534834E-14</c:v>
                </c:pt>
                <c:pt idx="16">
                  <c:v>4.4779567234900855E-14</c:v>
                </c:pt>
                <c:pt idx="17">
                  <c:v>6.9517272184515565E-14</c:v>
                </c:pt>
              </c:numCache>
            </c:numRef>
          </c:val>
          <c:smooth val="0"/>
          <c:extLst>
            <c:ext xmlns:c16="http://schemas.microsoft.com/office/drawing/2014/chart" uri="{C3380CC4-5D6E-409C-BE32-E72D297353CC}">
              <c16:uniqueId val="{00000000-37E6-6A43-8D6E-8012F0DE9A0B}"/>
            </c:ext>
          </c:extLst>
        </c:ser>
        <c:ser>
          <c:idx val="1"/>
          <c:order val="1"/>
          <c:tx>
            <c:v>kc exp</c:v>
          </c:tx>
          <c:spPr>
            <a:ln w="38100" cap="flat" cmpd="dbl" algn="ctr">
              <a:solidFill>
                <a:schemeClr val="accent2"/>
              </a:solidFill>
              <a:miter lim="800000"/>
            </a:ln>
            <a:effectLst/>
          </c:spPr>
          <c:marker>
            <c:symbol val="none"/>
          </c:marker>
          <c:cat>
            <c:numRef>
              <c:f>'NH3+H---NH2+H2'!$A$20:$A$37</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'NH3+H---NH2+H2'!$S$20:$S$37</c:f>
              <c:numCache>
                <c:formatCode>0.00E+00</c:formatCode>
                <c:ptCount val="18"/>
                <c:pt idx="0">
                  <c:v>2.1800000000000001E-20</c:v>
                </c:pt>
                <c:pt idx="1">
                  <c:v>3.5900000000000002E-18</c:v>
                </c:pt>
                <c:pt idx="2">
                  <c:v>8.8199999999999996E-17</c:v>
                </c:pt>
                <c:pt idx="3">
                  <c:v>8.1699999999999996E-16</c:v>
                </c:pt>
                <c:pt idx="4">
                  <c:v>4.2800000000000001E-15</c:v>
                </c:pt>
                <c:pt idx="5">
                  <c:v>1.5600000000000001E-14</c:v>
                </c:pt>
                <c:pt idx="6">
                  <c:v>4.4199999999999997E-14</c:v>
                </c:pt>
                <c:pt idx="7">
                  <c:v>1.0499999999999999E-13</c:v>
                </c:pt>
                <c:pt idx="8">
                  <c:v>2.19E-13</c:v>
                </c:pt>
                <c:pt idx="9">
                  <c:v>4.1100000000000002E-13</c:v>
                </c:pt>
                <c:pt idx="10">
                  <c:v>7.1499999999999998E-13</c:v>
                </c:pt>
                <c:pt idx="11">
                  <c:v>1.1700000000000001E-12</c:v>
                </c:pt>
                <c:pt idx="12">
                  <c:v>1.8E-12</c:v>
                </c:pt>
                <c:pt idx="13">
                  <c:v>2.6700000000000001E-12</c:v>
                </c:pt>
                <c:pt idx="14">
                  <c:v>3.8200000000000003E-12</c:v>
                </c:pt>
                <c:pt idx="15">
                  <c:v>5.2999999999999996E-12</c:v>
                </c:pt>
                <c:pt idx="16">
                  <c:v>7.15E-12</c:v>
                </c:pt>
                <c:pt idx="17">
                  <c:v>9.4400000000000002E-12</c:v>
                </c:pt>
              </c:numCache>
            </c:numRef>
          </c:val>
          <c:smooth val="0"/>
          <c:extLst>
            <c:ext xmlns:c16="http://schemas.microsoft.com/office/drawing/2014/chart" uri="{C3380CC4-5D6E-409C-BE32-E72D297353CC}">
              <c16:uniqueId val="{00000001-37E6-6A43-8D6E-8012F0DE9A0B}"/>
            </c:ext>
          </c:extLst>
        </c:ser>
        <c:dLbls>
          <c:showLegendKey val="0"/>
          <c:showVal val="0"/>
          <c:showCatName val="0"/>
          <c:showSerName val="0"/>
          <c:showPercent val="0"/>
          <c:showBubbleSize val="0"/>
        </c:dLbls>
        <c:dropLines>
          <c:spPr>
            <a:ln w="9525">
              <a:solidFill>
                <a:schemeClr val="tx1">
                  <a:lumMod val="35000"/>
                  <a:lumOff val="65000"/>
                </a:schemeClr>
              </a:solidFill>
            </a:ln>
            <a:effectLst/>
          </c:spPr>
        </c:dropLines>
        <c:smooth val="0"/>
        <c:axId val="420801807"/>
        <c:axId val="5224527"/>
      </c:lineChart>
      <c:catAx>
        <c:axId val="4208018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224527"/>
        <c:crosses val="autoZero"/>
        <c:auto val="1"/>
        <c:lblAlgn val="ctr"/>
        <c:lblOffset val="100"/>
        <c:noMultiLvlLbl val="0"/>
      </c:catAx>
      <c:valAx>
        <c:axId val="5224527"/>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k</a:t>
                </a:r>
                <a:r>
                  <a:rPr lang="en-US" baseline="0"/>
                  <a:t>  values [m</a:t>
                </a:r>
                <a:r>
                  <a:rPr lang="en-US" baseline="30000"/>
                  <a:t>3</a:t>
                </a:r>
                <a:r>
                  <a:rPr lang="en-US" baseline="0"/>
                  <a:t>molecule</a:t>
                </a:r>
                <a:r>
                  <a:rPr lang="en-US" baseline="30000"/>
                  <a:t>-1</a:t>
                </a:r>
                <a:r>
                  <a:rPr lang="en-US" baseline="0"/>
                  <a:t> s</a:t>
                </a:r>
                <a:r>
                  <a:rPr lang="en-US" baseline="30000"/>
                  <a:t>-1</a:t>
                </a:r>
                <a:r>
                  <a:rPr lang="en-US" baseline="0"/>
                  <a: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0.00E+00"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4208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BACKWARD</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38100" cap="flat" cmpd="dbl" algn="ctr">
              <a:solidFill>
                <a:schemeClr val="accent1"/>
              </a:solidFill>
              <a:miter lim="800000"/>
            </a:ln>
            <a:effectLst/>
          </c:spPr>
          <c:marker>
            <c:symbol val="none"/>
          </c:marker>
          <c:val>
            <c:numRef>
              <c:f>'NH3+H---NH2+H2'!$R$57:$R$74</c:f>
              <c:numCache>
                <c:formatCode>0.00E+00</c:formatCode>
                <c:ptCount val="18"/>
                <c:pt idx="0">
                  <c:v>1.0005890088430227E-31</c:v>
                </c:pt>
                <c:pt idx="1">
                  <c:v>9.0536542692914623E-27</c:v>
                </c:pt>
                <c:pt idx="2">
                  <c:v>8.6649892962309016E-24</c:v>
                </c:pt>
                <c:pt idx="3">
                  <c:v>8.7138105276288356E-22</c:v>
                </c:pt>
                <c:pt idx="4">
                  <c:v>2.4422863218726773E-20</c:v>
                </c:pt>
                <c:pt idx="5">
                  <c:v>3.09422584998218E-19</c:v>
                </c:pt>
                <c:pt idx="6">
                  <c:v>2.3132869691107076E-18</c:v>
                </c:pt>
                <c:pt idx="7">
                  <c:v>1.1961679626926677E-17</c:v>
                </c:pt>
                <c:pt idx="8">
                  <c:v>4.7299421800434456E-17</c:v>
                </c:pt>
                <c:pt idx="9">
                  <c:v>1.5287851536128003E-16</c:v>
                </c:pt>
                <c:pt idx="10">
                  <c:v>4.2286847997121228E-16</c:v>
                </c:pt>
                <c:pt idx="11">
                  <c:v>1.0342628799987523E-15</c:v>
                </c:pt>
                <c:pt idx="12">
                  <c:v>2.2909398604118695E-15</c:v>
                </c:pt>
                <c:pt idx="13">
                  <c:v>4.6788422432046572E-15</c:v>
                </c:pt>
                <c:pt idx="14">
                  <c:v>8.9322011549182614E-15</c:v>
                </c:pt>
                <c:pt idx="15">
                  <c:v>1.6110514827101517E-14</c:v>
                </c:pt>
                <c:pt idx="16">
                  <c:v>2.7685876927910281E-14</c:v>
                </c:pt>
                <c:pt idx="17">
                  <c:v>4.5640195368800347E-14</c:v>
                </c:pt>
              </c:numCache>
            </c:numRef>
          </c:val>
          <c:smooth val="0"/>
          <c:extLst>
            <c:ext xmlns:c16="http://schemas.microsoft.com/office/drawing/2014/chart" uri="{C3380CC4-5D6E-409C-BE32-E72D297353CC}">
              <c16:uniqueId val="{00000000-B8BB-FC43-94CF-E0FEF7D0A1EB}"/>
            </c:ext>
          </c:extLst>
        </c:ser>
        <c:ser>
          <c:idx val="1"/>
          <c:order val="1"/>
          <c:tx>
            <c:v>kc exp</c:v>
          </c:tx>
          <c:spPr>
            <a:ln w="38100" cap="flat" cmpd="dbl" algn="ctr">
              <a:solidFill>
                <a:schemeClr val="accent2"/>
              </a:solidFill>
              <a:miter lim="800000"/>
            </a:ln>
            <a:effectLst/>
          </c:spPr>
          <c:marker>
            <c:symbol val="none"/>
          </c:marker>
          <c:val>
            <c:numRef>
              <c:f>'NH3+H---NH2+H2'!$S$57:$S$74</c:f>
              <c:numCache>
                <c:formatCode>0.00E+00</c:formatCode>
                <c:ptCount val="18"/>
                <c:pt idx="0">
                  <c:v>1.5E-19</c:v>
                </c:pt>
                <c:pt idx="1">
                  <c:v>7.0399999999999995E-18</c:v>
                </c:pt>
                <c:pt idx="2">
                  <c:v>8.1700000000000001E-17</c:v>
                </c:pt>
                <c:pt idx="3">
                  <c:v>4.5999999999999998E-16</c:v>
                </c:pt>
                <c:pt idx="4">
                  <c:v>1.69E-15</c:v>
                </c:pt>
                <c:pt idx="5">
                  <c:v>4.7399999999999997E-15</c:v>
                </c:pt>
                <c:pt idx="6">
                  <c:v>1.1E-14</c:v>
                </c:pt>
                <c:pt idx="7">
                  <c:v>2.2099999999999999E-14</c:v>
                </c:pt>
                <c:pt idx="8">
                  <c:v>4.0300000000000002E-14</c:v>
                </c:pt>
                <c:pt idx="9">
                  <c:v>6.8000000000000001E-14</c:v>
                </c:pt>
                <c:pt idx="10">
                  <c:v>1.0799999999999999E-13</c:v>
                </c:pt>
                <c:pt idx="11">
                  <c:v>1.6199999999999999E-13</c:v>
                </c:pt>
                <c:pt idx="12">
                  <c:v>2.3500000000000001E-13</c:v>
                </c:pt>
                <c:pt idx="13">
                  <c:v>3.2800000000000002E-13</c:v>
                </c:pt>
                <c:pt idx="14">
                  <c:v>4.4500000000000002E-13</c:v>
                </c:pt>
                <c:pt idx="15">
                  <c:v>5.8900000000000001E-13</c:v>
                </c:pt>
                <c:pt idx="16">
                  <c:v>7.6299999999999998E-13</c:v>
                </c:pt>
                <c:pt idx="17">
                  <c:v>9.71E-13</c:v>
                </c:pt>
              </c:numCache>
            </c:numRef>
          </c:val>
          <c:smooth val="0"/>
          <c:extLst>
            <c:ext xmlns:c16="http://schemas.microsoft.com/office/drawing/2014/chart" uri="{C3380CC4-5D6E-409C-BE32-E72D297353CC}">
              <c16:uniqueId val="{00000001-B8BB-FC43-94CF-E0FEF7D0A1EB}"/>
            </c:ext>
          </c:extLst>
        </c:ser>
        <c:dLbls>
          <c:showLegendKey val="0"/>
          <c:showVal val="0"/>
          <c:showCatName val="0"/>
          <c:showSerName val="0"/>
          <c:showPercent val="0"/>
          <c:showBubbleSize val="0"/>
        </c:dLbls>
        <c:dropLines>
          <c:spPr>
            <a:ln w="9525">
              <a:solidFill>
                <a:schemeClr val="tx1">
                  <a:lumMod val="35000"/>
                  <a:lumOff val="65000"/>
                </a:schemeClr>
              </a:solidFill>
            </a:ln>
            <a:effectLst/>
          </c:spPr>
        </c:dropLines>
        <c:smooth val="0"/>
        <c:axId val="420801807"/>
        <c:axId val="5224527"/>
      </c:lineChart>
      <c:catAx>
        <c:axId val="4208018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224527"/>
        <c:crosses val="autoZero"/>
        <c:auto val="1"/>
        <c:lblAlgn val="ctr"/>
        <c:lblOffset val="100"/>
        <c:noMultiLvlLbl val="0"/>
      </c:catAx>
      <c:valAx>
        <c:axId val="5224527"/>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k</a:t>
                </a:r>
                <a:r>
                  <a:rPr lang="en-US" baseline="0"/>
                  <a:t>  values [m</a:t>
                </a:r>
                <a:r>
                  <a:rPr lang="en-US" baseline="30000"/>
                  <a:t>3</a:t>
                </a:r>
                <a:r>
                  <a:rPr lang="en-US" baseline="0"/>
                  <a:t>molecule</a:t>
                </a:r>
                <a:r>
                  <a:rPr lang="en-US" baseline="30000"/>
                  <a:t>-1</a:t>
                </a:r>
                <a:r>
                  <a:rPr lang="en-US" baseline="0"/>
                  <a:t> s</a:t>
                </a:r>
                <a:r>
                  <a:rPr lang="en-US" baseline="30000"/>
                  <a:t>-1</a:t>
                </a:r>
                <a:r>
                  <a:rPr lang="en-US" baseline="0"/>
                  <a: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0.00E+00"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4208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FORWARD</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38100" cap="flat" cmpd="dbl" algn="ctr">
              <a:solidFill>
                <a:schemeClr val="accent1"/>
              </a:solidFill>
              <a:miter lim="800000"/>
            </a:ln>
            <a:effectLst/>
          </c:spPr>
          <c:marker>
            <c:symbol val="none"/>
          </c:marker>
          <c:cat>
            <c:numRef>
              <c:f>'NH3+H---NH2+H2'!$A$20:$A$37</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'NH3+H---NH2+H2'!$R$20:$R$37</c:f>
              <c:numCache>
                <c:formatCode>0.00E+00</c:formatCode>
                <c:ptCount val="18"/>
                <c:pt idx="0">
                  <c:v>1.1002470438619868E-31</c:v>
                </c:pt>
                <c:pt idx="1">
                  <c:v>1.2959372036781538E-26</c:v>
                </c:pt>
                <c:pt idx="2">
                  <c:v>1.4867201480062042E-23</c:v>
                </c:pt>
                <c:pt idx="3">
                  <c:v>1.6924281851317851E-21</c:v>
                </c:pt>
                <c:pt idx="4">
                  <c:v>5.1497719861565027E-20</c:v>
                </c:pt>
                <c:pt idx="5">
                  <c:v>6.863888989834833E-19</c:v>
                </c:pt>
                <c:pt idx="6">
                  <c:v>5.2693737906277541E-18</c:v>
                </c:pt>
                <c:pt idx="7">
                  <c:v>2.7453741378832504E-17</c:v>
                </c:pt>
                <c:pt idx="8">
                  <c:v>1.0775122688347428E-16</c:v>
                </c:pt>
                <c:pt idx="9">
                  <c:v>3.4155249095239359E-16</c:v>
                </c:pt>
                <c:pt idx="10">
                  <c:v>9.176429569265998E-16</c:v>
                </c:pt>
                <c:pt idx="11">
                  <c:v>2.1631357764068374E-15</c:v>
                </c:pt>
                <c:pt idx="12">
                  <c:v>4.5891451093018874E-15</c:v>
                </c:pt>
                <c:pt idx="13">
                  <c:v>8.9316574627956893E-15</c:v>
                </c:pt>
                <c:pt idx="14">
                  <c:v>1.618338895275133E-14</c:v>
                </c:pt>
                <c:pt idx="15">
                  <c:v>2.7614224698534834E-14</c:v>
                </c:pt>
                <c:pt idx="16">
                  <c:v>4.4779567234900855E-14</c:v>
                </c:pt>
                <c:pt idx="17">
                  <c:v>6.9517272184515565E-14</c:v>
                </c:pt>
              </c:numCache>
            </c:numRef>
          </c:val>
          <c:smooth val="0"/>
          <c:extLst>
            <c:ext xmlns:c16="http://schemas.microsoft.com/office/drawing/2014/chart" uri="{C3380CC4-5D6E-409C-BE32-E72D297353CC}">
              <c16:uniqueId val="{00000000-24F0-7B49-9617-35EF910A1A58}"/>
            </c:ext>
          </c:extLst>
        </c:ser>
        <c:ser>
          <c:idx val="1"/>
          <c:order val="1"/>
          <c:tx>
            <c:v>kc corrected</c:v>
          </c:tx>
          <c:spPr>
            <a:ln w="38100" cap="flat" cmpd="dbl" algn="ctr">
              <a:solidFill>
                <a:schemeClr val="accent2"/>
              </a:solidFill>
              <a:miter lim="800000"/>
            </a:ln>
            <a:effectLst/>
          </c:spPr>
          <c:marker>
            <c:symbol val="none"/>
          </c:marker>
          <c:cat>
            <c:numRef>
              <c:f>'NH3+H---NH2+H2'!$A$20:$A$37</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'NH3+H---NH2+H2'!$H$104:$H$121</c:f>
              <c:numCache>
                <c:formatCode>General</c:formatCode>
                <c:ptCount val="18"/>
                <c:pt idx="0" formatCode="0.00E+00">
                  <c:v>3.1085840963017055E-31</c:v>
                </c:pt>
                <c:pt idx="1">
                  <c:v>2.635813647420231E-26</c:v>
                </c:pt>
                <c:pt idx="2">
                  <c:v>2.4772809270523828E-23</c:v>
                </c:pt>
                <c:pt idx="3">
                  <c:v>2.4808712389511137E-21</c:v>
                </c:pt>
                <c:pt idx="4">
                  <c:v>6.9243904431604452E-20</c:v>
                </c:pt>
                <c:pt idx="5">
                  <c:v>8.6870873933065145E-19</c:v>
                </c:pt>
                <c:pt idx="6">
                  <c:v>6.3827157609156443E-18</c:v>
                </c:pt>
                <c:pt idx="7">
                  <c:v>3.2183594868293188E-17</c:v>
                </c:pt>
                <c:pt idx="8">
                  <c:v>1.2319507194088947E-16</c:v>
                </c:pt>
                <c:pt idx="9">
                  <c:v>3.8295885592143339E-16</c:v>
                </c:pt>
                <c:pt idx="10">
                  <c:v>1.0130530025225226E-15</c:v>
                </c:pt>
                <c:pt idx="11">
                  <c:v>2.358322973273702E-15</c:v>
                </c:pt>
                <c:pt idx="12">
                  <c:v>4.9521991608945719E-15</c:v>
                </c:pt>
                <c:pt idx="13">
                  <c:v>9.5566784354051511E-15</c:v>
                </c:pt>
                <c:pt idx="14">
                  <c:v>1.7192960073034457E-14</c:v>
                </c:pt>
                <c:pt idx="15">
                  <c:v>2.9160541453450018E-14</c:v>
                </c:pt>
                <c:pt idx="16">
                  <c:v>4.7044270939665477E-14</c:v>
                </c:pt>
                <c:pt idx="17">
                  <c:v>7.271015135997247E-14</c:v>
                </c:pt>
              </c:numCache>
            </c:numRef>
          </c:val>
          <c:smooth val="0"/>
          <c:extLst>
            <c:ext xmlns:c16="http://schemas.microsoft.com/office/drawing/2014/chart" uri="{C3380CC4-5D6E-409C-BE32-E72D297353CC}">
              <c16:uniqueId val="{00000001-24F0-7B49-9617-35EF910A1A58}"/>
            </c:ext>
          </c:extLst>
        </c:ser>
        <c:dLbls>
          <c:showLegendKey val="0"/>
          <c:showVal val="0"/>
          <c:showCatName val="0"/>
          <c:showSerName val="0"/>
          <c:showPercent val="0"/>
          <c:showBubbleSize val="0"/>
        </c:dLbls>
        <c:dropLines>
          <c:spPr>
            <a:ln w="9525">
              <a:solidFill>
                <a:schemeClr val="tx1">
                  <a:lumMod val="35000"/>
                  <a:lumOff val="65000"/>
                </a:schemeClr>
              </a:solidFill>
            </a:ln>
            <a:effectLst/>
          </c:spPr>
        </c:dropLines>
        <c:smooth val="0"/>
        <c:axId val="420801807"/>
        <c:axId val="5224527"/>
      </c:lineChart>
      <c:catAx>
        <c:axId val="4208018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224527"/>
        <c:crosses val="autoZero"/>
        <c:auto val="1"/>
        <c:lblAlgn val="ctr"/>
        <c:lblOffset val="100"/>
        <c:noMultiLvlLbl val="0"/>
      </c:catAx>
      <c:valAx>
        <c:axId val="5224527"/>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k</a:t>
                </a:r>
                <a:r>
                  <a:rPr lang="en-US" baseline="0"/>
                  <a:t>  values [m</a:t>
                </a:r>
                <a:r>
                  <a:rPr lang="en-US" baseline="30000"/>
                  <a:t>3</a:t>
                </a:r>
                <a:r>
                  <a:rPr lang="en-US" baseline="0"/>
                  <a:t>molecule</a:t>
                </a:r>
                <a:r>
                  <a:rPr lang="en-US" baseline="30000"/>
                  <a:t>-1</a:t>
                </a:r>
                <a:r>
                  <a:rPr lang="en-US" baseline="0"/>
                  <a:t> s</a:t>
                </a:r>
                <a:r>
                  <a:rPr lang="en-US" baseline="30000"/>
                  <a:t>-1</a:t>
                </a:r>
                <a:r>
                  <a:rPr lang="en-US" baseline="0"/>
                  <a: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0.00E+00"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4208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BACKWARD</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IT"/>
        </a:p>
      </c:txPr>
    </c:title>
    <c:autoTitleDeleted val="0"/>
    <c:plotArea>
      <c:layout/>
      <c:lineChart>
        <c:grouping val="standard"/>
        <c:varyColors val="0"/>
        <c:ser>
          <c:idx val="0"/>
          <c:order val="0"/>
          <c:tx>
            <c:v>kc theory</c:v>
          </c:tx>
          <c:spPr>
            <a:ln w="38100" cap="flat" cmpd="dbl" algn="ctr">
              <a:solidFill>
                <a:schemeClr val="accent1"/>
              </a:solidFill>
              <a:miter lim="800000"/>
            </a:ln>
            <a:effectLst/>
          </c:spPr>
          <c:marker>
            <c:symbol val="none"/>
          </c:marker>
          <c:val>
            <c:numRef>
              <c:f>'NH3+H---NH2+H2'!$R$57:$R$74</c:f>
              <c:numCache>
                <c:formatCode>0.00E+00</c:formatCode>
                <c:ptCount val="18"/>
                <c:pt idx="0">
                  <c:v>1.0005890088430227E-31</c:v>
                </c:pt>
                <c:pt idx="1">
                  <c:v>9.0536542692914623E-27</c:v>
                </c:pt>
                <c:pt idx="2">
                  <c:v>8.6649892962309016E-24</c:v>
                </c:pt>
                <c:pt idx="3">
                  <c:v>8.7138105276288356E-22</c:v>
                </c:pt>
                <c:pt idx="4">
                  <c:v>2.4422863218726773E-20</c:v>
                </c:pt>
                <c:pt idx="5">
                  <c:v>3.09422584998218E-19</c:v>
                </c:pt>
                <c:pt idx="6">
                  <c:v>2.3132869691107076E-18</c:v>
                </c:pt>
                <c:pt idx="7">
                  <c:v>1.1961679626926677E-17</c:v>
                </c:pt>
                <c:pt idx="8">
                  <c:v>4.7299421800434456E-17</c:v>
                </c:pt>
                <c:pt idx="9">
                  <c:v>1.5287851536128003E-16</c:v>
                </c:pt>
                <c:pt idx="10">
                  <c:v>4.2286847997121228E-16</c:v>
                </c:pt>
                <c:pt idx="11">
                  <c:v>1.0342628799987523E-15</c:v>
                </c:pt>
                <c:pt idx="12">
                  <c:v>2.2909398604118695E-15</c:v>
                </c:pt>
                <c:pt idx="13">
                  <c:v>4.6788422432046572E-15</c:v>
                </c:pt>
                <c:pt idx="14">
                  <c:v>8.9322011549182614E-15</c:v>
                </c:pt>
                <c:pt idx="15">
                  <c:v>1.6110514827101517E-14</c:v>
                </c:pt>
                <c:pt idx="16">
                  <c:v>2.7685876927910281E-14</c:v>
                </c:pt>
                <c:pt idx="17">
                  <c:v>4.5640195368800347E-14</c:v>
                </c:pt>
              </c:numCache>
            </c:numRef>
          </c:val>
          <c:smooth val="0"/>
          <c:extLst>
            <c:ext xmlns:c16="http://schemas.microsoft.com/office/drawing/2014/chart" uri="{C3380CC4-5D6E-409C-BE32-E72D297353CC}">
              <c16:uniqueId val="{00000000-DB84-EA47-8802-5348D515FD46}"/>
            </c:ext>
          </c:extLst>
        </c:ser>
        <c:ser>
          <c:idx val="1"/>
          <c:order val="1"/>
          <c:tx>
            <c:v>kc corrected wigner</c:v>
          </c:tx>
          <c:spPr>
            <a:ln w="38100" cap="flat" cmpd="dbl" algn="ctr">
              <a:solidFill>
                <a:schemeClr val="accent2"/>
              </a:solidFill>
              <a:miter lim="800000"/>
            </a:ln>
            <a:effectLst/>
          </c:spPr>
          <c:marker>
            <c:symbol val="none"/>
          </c:marker>
          <c:val>
            <c:numRef>
              <c:f>'NH3+H---NH2+H2'!$J$104:$J$121</c:f>
              <c:numCache>
                <c:formatCode>General</c:formatCode>
                <c:ptCount val="18"/>
                <c:pt idx="0" formatCode="0.00E+00">
                  <c:v>2.8254177978914037E-31</c:v>
                </c:pt>
                <c:pt idx="1">
                  <c:v>1.8403435972065923E-26</c:v>
                </c:pt>
                <c:pt idx="2">
                  <c:v>1.4429933727350753E-23</c:v>
                </c:pt>
                <c:pt idx="3">
                  <c:v>1.2766314368878454E-21</c:v>
                </c:pt>
                <c:pt idx="4">
                  <c:v>3.2822305505754554E-20</c:v>
                </c:pt>
                <c:pt idx="5">
                  <c:v>3.914267233425762E-19</c:v>
                </c:pt>
                <c:pt idx="6">
                  <c:v>2.8008198299190797E-18</c:v>
                </c:pt>
                <c:pt idx="7">
                  <c:v>1.4016762562806506E-17</c:v>
                </c:pt>
                <c:pt idx="8">
                  <c:v>5.4058193548840724E-17</c:v>
                </c:pt>
                <c:pt idx="9">
                  <c:v>1.7135094340932908E-16</c:v>
                </c:pt>
                <c:pt idx="10">
                  <c:v>4.6667957593894781E-16</c:v>
                </c:pt>
                <c:pt idx="11">
                  <c:v>1.127234171680466E-15</c:v>
                </c:pt>
                <c:pt idx="12">
                  <c:v>2.4714480341834228E-15</c:v>
                </c:pt>
                <c:pt idx="13">
                  <c:v>5.0048585043173483E-15</c:v>
                </c:pt>
                <c:pt idx="14">
                  <c:v>9.486903783711453E-15</c:v>
                </c:pt>
                <c:pt idx="15">
                  <c:v>1.7008370537769873E-14</c:v>
                </c:pt>
                <c:pt idx="16">
                  <c:v>2.9079097277125958E-14</c:v>
                </c:pt>
                <c:pt idx="17">
                  <c:v>4.7725488088358802E-14</c:v>
                </c:pt>
              </c:numCache>
            </c:numRef>
          </c:val>
          <c:smooth val="0"/>
          <c:extLst>
            <c:ext xmlns:c16="http://schemas.microsoft.com/office/drawing/2014/chart" uri="{C3380CC4-5D6E-409C-BE32-E72D297353CC}">
              <c16:uniqueId val="{00000001-DB84-EA47-8802-5348D515FD46}"/>
            </c:ext>
          </c:extLst>
        </c:ser>
        <c:dLbls>
          <c:showLegendKey val="0"/>
          <c:showVal val="0"/>
          <c:showCatName val="0"/>
          <c:showSerName val="0"/>
          <c:showPercent val="0"/>
          <c:showBubbleSize val="0"/>
        </c:dLbls>
        <c:dropLines>
          <c:spPr>
            <a:ln w="9525">
              <a:solidFill>
                <a:schemeClr val="tx1">
                  <a:lumMod val="35000"/>
                  <a:lumOff val="65000"/>
                </a:schemeClr>
              </a:solidFill>
            </a:ln>
            <a:effectLst/>
          </c:spPr>
        </c:dropLines>
        <c:smooth val="0"/>
        <c:axId val="420801807"/>
        <c:axId val="5224527"/>
      </c:lineChart>
      <c:catAx>
        <c:axId val="42080180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224527"/>
        <c:crosses val="autoZero"/>
        <c:auto val="1"/>
        <c:lblAlgn val="ctr"/>
        <c:lblOffset val="100"/>
        <c:noMultiLvlLbl val="0"/>
      </c:catAx>
      <c:valAx>
        <c:axId val="5224527"/>
        <c:scaling>
          <c:orientation val="minMax"/>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 k</a:t>
                </a:r>
                <a:r>
                  <a:rPr lang="en-US" baseline="0"/>
                  <a:t>  values [m</a:t>
                </a:r>
                <a:r>
                  <a:rPr lang="en-US" baseline="30000"/>
                  <a:t>3</a:t>
                </a:r>
                <a:r>
                  <a:rPr lang="en-US" baseline="0"/>
                  <a:t>molecule</a:t>
                </a:r>
                <a:r>
                  <a:rPr lang="en-US" baseline="30000"/>
                  <a:t>-1</a:t>
                </a:r>
                <a:r>
                  <a:rPr lang="en-US" baseline="0"/>
                  <a:t> s</a:t>
                </a:r>
                <a:r>
                  <a:rPr lang="en-US" baseline="30000"/>
                  <a:t>-1</a:t>
                </a:r>
                <a:r>
                  <a:rPr lang="en-US" baseline="0"/>
                  <a: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T"/>
            </a:p>
          </c:txPr>
        </c:title>
        <c:numFmt formatCode="0.00E+00" sourceLinked="1"/>
        <c:majorTickMark val="out"/>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42080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7.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8.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9.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31.xml"/><Relationship Id="rId7" Type="http://schemas.openxmlformats.org/officeDocument/2006/relationships/chart" Target="../charts/chart35.xml"/><Relationship Id="rId2" Type="http://schemas.openxmlformats.org/officeDocument/2006/relationships/chart" Target="../charts/chart30.xml"/><Relationship Id="rId1" Type="http://schemas.openxmlformats.org/officeDocument/2006/relationships/chart" Target="../charts/chart29.xml"/><Relationship Id="rId6" Type="http://schemas.openxmlformats.org/officeDocument/2006/relationships/chart" Target="../charts/chart34.xml"/><Relationship Id="rId5" Type="http://schemas.openxmlformats.org/officeDocument/2006/relationships/chart" Target="../charts/chart33.xml"/><Relationship Id="rId4" Type="http://schemas.openxmlformats.org/officeDocument/2006/relationships/chart" Target="../charts/chart32.xml"/></Relationships>
</file>

<file path=xl/drawings/_rels/drawing6.xml.rels><?xml version="1.0" encoding="UTF-8" standalone="yes"?>
<Relationships xmlns="http://schemas.openxmlformats.org/package/2006/relationships"><Relationship Id="rId8" Type="http://schemas.openxmlformats.org/officeDocument/2006/relationships/chart" Target="../charts/chart36.xml"/><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9.xml"/><Relationship Id="rId5" Type="http://schemas.openxmlformats.org/officeDocument/2006/relationships/image" Target="../media/image5.png"/><Relationship Id="rId10" Type="http://schemas.openxmlformats.org/officeDocument/2006/relationships/chart" Target="../charts/chart38.xml"/><Relationship Id="rId4" Type="http://schemas.openxmlformats.org/officeDocument/2006/relationships/image" Target="../media/image4.gif"/><Relationship Id="rId9"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F265C2CF-6E7C-E540-B543-CF43B3261686}"/>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EE3F95DA-D5F7-DF40-92CC-22C01DE5E057}"/>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C5B9EAA-6B76-EE45-B940-77ACCE06837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6C5B9EAA-6B76-EE45-B940-77ACCE06837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477CE3E-9632-6441-A8D2-53FF65323226}"/>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477CE3E-9632-6441-A8D2-53FF65323226}"/>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B208FB2-92F3-D744-9145-359274F6A278}"/>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2E9C71CE-DA04-4043-AE52-169E5A037F53}"/>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2E9C71CE-DA04-4043-AE52-169E5A037F53}"/>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449CADED-84E7-0D4E-90E8-C52BE1AAF020}"/>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449CADED-84E7-0D4E-90E8-C52BE1AAF020}"/>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271E3869-2810-124D-A59D-FBD36A54404A}"/>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F431B424-B68E-5D42-882B-6ABFA8B9C5EA}"/>
                </a:ext>
              </a:extLst>
            </xdr:cNvPr>
            <xdr:cNvSpPr/>
          </xdr:nvSpPr>
          <xdr:spPr>
            <a:xfrm>
              <a:off x="12863247" y="14841201"/>
              <a:ext cx="50437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F431B424-B68E-5D42-882B-6ABFA8B9C5EA}"/>
                </a:ext>
              </a:extLst>
            </xdr:cNvPr>
            <xdr:cNvSpPr/>
          </xdr:nvSpPr>
          <xdr:spPr>
            <a:xfrm>
              <a:off x="12863247" y="14841201"/>
              <a:ext cx="50437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54D61712-B5E7-674B-A54B-A51C32DD1B57}"/>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674603A5-FCBF-444B-8CF9-E74F9F9409AA}"/>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674603A5-FCBF-444B-8CF9-E74F9F9409AA}"/>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94842E4F-51A3-4E43-B290-9D4FB2DAF82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6B19029F-3618-8F46-AC2F-04CBD777E4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A154D5D4-D851-DA48-8B5D-289C30062FD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3CC0732B-1FF9-B343-8CD5-4961E5C6DF79}"/>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3CC0732B-1FF9-B343-8CD5-4961E5C6DF79}"/>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2083F7DE-8BD4-B24A-92A6-BEA18AA103E6}"/>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18" name="Chart 17">
          <a:extLst>
            <a:ext uri="{FF2B5EF4-FFF2-40B4-BE49-F238E27FC236}">
              <a16:creationId xmlns:a16="http://schemas.microsoft.com/office/drawing/2014/main" id="{6A48E57B-64D7-874B-AF5C-C0AEA68CA2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B48221C1-302B-F843-AAE9-E5339729EDD2}"/>
            </a:ext>
          </a:extLst>
        </xdr:cNvPr>
        <xdr:cNvCxnSpPr/>
      </xdr:nvCxnSpPr>
      <xdr:spPr>
        <a:xfrm>
          <a:off x="6002428" y="33354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BBFFF2B4-4A26-DB4F-BDAF-C9C9B8811C3D}"/>
                </a:ext>
              </a:extLst>
            </xdr:cNvPr>
            <xdr:cNvSpPr txBox="1"/>
          </xdr:nvSpPr>
          <xdr:spPr>
            <a:xfrm>
              <a:off x="9421430" y="329585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BBFFF2B4-4A26-DB4F-BDAF-C9C9B8811C3D}"/>
                </a:ext>
              </a:extLst>
            </xdr:cNvPr>
            <xdr:cNvSpPr txBox="1"/>
          </xdr:nvSpPr>
          <xdr:spPr>
            <a:xfrm>
              <a:off x="9421430" y="329585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9F8D087B-CCC5-2A43-83ED-297B4F5A176B}"/>
            </a:ext>
          </a:extLst>
        </xdr:cNvPr>
        <xdr:cNvSpPr/>
      </xdr:nvSpPr>
      <xdr:spPr>
        <a:xfrm>
          <a:off x="8764154" y="330540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43B86E4E-B35D-3546-B82B-513F850AD5F1}"/>
                </a:ext>
              </a:extLst>
            </xdr:cNvPr>
            <xdr:cNvSpPr/>
          </xdr:nvSpPr>
          <xdr:spPr>
            <a:xfrm>
              <a:off x="12521680" y="32961735"/>
              <a:ext cx="50437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43B86E4E-B35D-3546-B82B-513F850AD5F1}"/>
                </a:ext>
              </a:extLst>
            </xdr:cNvPr>
            <xdr:cNvSpPr/>
          </xdr:nvSpPr>
          <xdr:spPr>
            <a:xfrm>
              <a:off x="12521680" y="32961735"/>
              <a:ext cx="50437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B54072A2-8C84-B84E-A341-6A61B47CC364}"/>
                </a:ext>
              </a:extLst>
            </xdr:cNvPr>
            <xdr:cNvSpPr txBox="1"/>
          </xdr:nvSpPr>
          <xdr:spPr>
            <a:xfrm>
              <a:off x="9358575" y="336615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B54072A2-8C84-B84E-A341-6A61B47CC364}"/>
                </a:ext>
              </a:extLst>
            </xdr:cNvPr>
            <xdr:cNvSpPr txBox="1"/>
          </xdr:nvSpPr>
          <xdr:spPr>
            <a:xfrm>
              <a:off x="9358575" y="336615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34C7A669-FAAC-C040-883C-233034169B3E}"/>
            </a:ext>
          </a:extLst>
        </xdr:cNvPr>
        <xdr:cNvSpPr/>
      </xdr:nvSpPr>
      <xdr:spPr>
        <a:xfrm>
          <a:off x="9334499" y="336296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67CC77B7-72C1-4645-B8A3-FC2E46F84311}"/>
                </a:ext>
              </a:extLst>
            </xdr:cNvPr>
            <xdr:cNvSpPr txBox="1"/>
          </xdr:nvSpPr>
          <xdr:spPr>
            <a:xfrm>
              <a:off x="13408630" y="344052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67CC77B7-72C1-4645-B8A3-FC2E46F84311}"/>
                </a:ext>
              </a:extLst>
            </xdr:cNvPr>
            <xdr:cNvSpPr txBox="1"/>
          </xdr:nvSpPr>
          <xdr:spPr>
            <a:xfrm>
              <a:off x="13408630" y="344052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4D6D2995-1DD5-B845-B5BA-E29519228627}"/>
            </a:ext>
          </a:extLst>
        </xdr:cNvPr>
        <xdr:cNvCxnSpPr>
          <a:endCxn id="25" idx="1"/>
        </xdr:cNvCxnSpPr>
      </xdr:nvCxnSpPr>
      <xdr:spPr>
        <a:xfrm rot="16200000" flipH="1">
          <a:off x="12871846" y="342651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CCF7397F-5D94-2D43-B867-1C2601ADF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E57C265-E4A9-794E-8990-DF0366853D9B}"/>
            </a:ext>
          </a:extLst>
        </xdr:cNvPr>
        <xdr:cNvSpPr txBox="1"/>
      </xdr:nvSpPr>
      <xdr:spPr>
        <a:xfrm>
          <a:off x="11731458" y="40564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5ACBCCD-DAB8-D14C-B22A-115805BF55ED}"/>
            </a:ext>
          </a:extLst>
        </xdr:cNvPr>
        <xdr:cNvCxnSpPr/>
      </xdr:nvCxnSpPr>
      <xdr:spPr>
        <a:xfrm>
          <a:off x="6002428" y="42155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D35312AD-8ED6-8249-9528-287CD4B9881C}"/>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D35312AD-8ED6-8249-9528-287CD4B9881C}"/>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22177E92-752A-5A46-A0E5-0F5DFE54A698}"/>
            </a:ext>
          </a:extLst>
        </xdr:cNvPr>
        <xdr:cNvSpPr/>
      </xdr:nvSpPr>
      <xdr:spPr>
        <a:xfrm>
          <a:off x="12846314" y="41858335"/>
          <a:ext cx="50437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2D000112-8A25-9540-9158-7FDBB573CFD7}"/>
            </a:ext>
          </a:extLst>
        </xdr:cNvPr>
        <xdr:cNvCxnSpPr/>
      </xdr:nvCxnSpPr>
      <xdr:spPr>
        <a:xfrm flipV="1">
          <a:off x="11697138" y="42180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B2D3B35D-580E-F145-BF27-C25A2E9E6587}"/>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B2D3B35D-580E-F145-BF27-C25A2E9E6587}"/>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E3C4F1D7-B06A-384E-96EF-255B8F85E005}"/>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F9D4D155-697F-824D-A1DF-5144C5B70E35}"/>
            </a:ext>
          </a:extLst>
        </xdr:cNvPr>
        <xdr:cNvCxnSpPr>
          <a:endCxn id="33" idx="1"/>
        </xdr:cNvCxnSpPr>
      </xdr:nvCxnSpPr>
      <xdr:spPr>
        <a:xfrm rot="16200000" flipH="1">
          <a:off x="13281448" y="431404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67967F3D-3D32-3843-94CE-5BCFFBAF2CC0}"/>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67967F3D-3D32-3843-94CE-5BCFFBAF2CC0}"/>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9344594C-FD71-9B4D-BC97-9CAFD54EE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F5C707A7-A7BA-C944-AF97-05A165084582}"/>
            </a:ext>
          </a:extLst>
        </xdr:cNvPr>
        <xdr:cNvCxnSpPr/>
      </xdr:nvCxnSpPr>
      <xdr:spPr>
        <a:xfrm>
          <a:off x="6002428" y="50855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999840F1-0F3D-1D45-ABE2-044039CC4263}"/>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999840F1-0F3D-1D45-ABE2-044039CC4263}"/>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19F1D7D1-39A3-7145-A19A-33FB0486291E}"/>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19F1D7D1-39A3-7145-A19A-33FB0486291E}"/>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5D37C773-3C50-CE43-BE42-17CB0735BD02}"/>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5D37C773-3C50-CE43-BE42-17CB0735BD02}"/>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A0739676-7CD5-0F49-ACBC-8DA849791647}"/>
            </a:ext>
          </a:extLst>
        </xdr:cNvPr>
        <xdr:cNvSpPr txBox="1"/>
      </xdr:nvSpPr>
      <xdr:spPr>
        <a:xfrm>
          <a:off x="13413596" y="514286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0C179587-28A8-E64C-85F7-D6FF40420A20}"/>
            </a:ext>
          </a:extLst>
        </xdr:cNvPr>
        <xdr:cNvCxnSpPr/>
      </xdr:nvCxnSpPr>
      <xdr:spPr>
        <a:xfrm flipH="1">
          <a:off x="9039469" y="511404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A5EEFF21-A955-4D4C-B286-79F52744B843}"/>
            </a:ext>
          </a:extLst>
        </xdr:cNvPr>
        <xdr:cNvCxnSpPr/>
      </xdr:nvCxnSpPr>
      <xdr:spPr>
        <a:xfrm flipH="1">
          <a:off x="10337800" y="511218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C28C599A-B99C-614A-830A-3DD81F95B643}"/>
            </a:ext>
          </a:extLst>
        </xdr:cNvPr>
        <xdr:cNvCxnSpPr/>
      </xdr:nvCxnSpPr>
      <xdr:spPr>
        <a:xfrm>
          <a:off x="11412903" y="511282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28CE7B4E-1694-A041-B837-DD4A6E740973}"/>
            </a:ext>
          </a:extLst>
        </xdr:cNvPr>
        <xdr:cNvCxnSpPr/>
      </xdr:nvCxnSpPr>
      <xdr:spPr>
        <a:xfrm>
          <a:off x="12603774" y="511221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3F3C6379-3EDC-E241-BFB0-49D8F87BFFD7}"/>
            </a:ext>
          </a:extLst>
        </xdr:cNvPr>
        <xdr:cNvSpPr/>
      </xdr:nvSpPr>
      <xdr:spPr>
        <a:xfrm>
          <a:off x="13967461" y="50957481"/>
          <a:ext cx="35102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22712B81-2CE4-1F40-839C-8E4B66DDC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0C61B560-77DB-F445-90A5-CC36FBA1CD0D}"/>
            </a:ext>
          </a:extLst>
        </xdr:cNvPr>
        <xdr:cNvCxnSpPr/>
      </xdr:nvCxnSpPr>
      <xdr:spPr>
        <a:xfrm>
          <a:off x="6002428" y="6077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10842902-72EE-244A-85CB-E282052D248D}"/>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10842902-72EE-244A-85CB-E282052D248D}"/>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9209307F-BB4D-1445-B4D8-93736AE60FE1}"/>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9209307F-BB4D-1445-B4D8-93736AE60FE1}"/>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BE0388AF-C567-AF4E-B23B-EB7A06D2B74B}"/>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BE0388AF-C567-AF4E-B23B-EB7A06D2B74B}"/>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81BA0748-9485-0649-B622-D6E20D049DD1}"/>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81BA0748-9485-0649-B622-D6E20D049DD1}"/>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7786415E-370D-AF4A-8EB9-55B957A6AA40}"/>
            </a:ext>
          </a:extLst>
        </xdr:cNvPr>
        <xdr:cNvCxnSpPr/>
      </xdr:nvCxnSpPr>
      <xdr:spPr>
        <a:xfrm flipH="1">
          <a:off x="9039469" y="61059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E71B0511-53A2-A149-949A-15EC0DB5DF25}"/>
            </a:ext>
          </a:extLst>
        </xdr:cNvPr>
        <xdr:cNvCxnSpPr/>
      </xdr:nvCxnSpPr>
      <xdr:spPr>
        <a:xfrm flipH="1">
          <a:off x="10265207" y="61040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50DFAC6A-43A5-464B-89DD-0EDE86BDD6A1}"/>
            </a:ext>
          </a:extLst>
        </xdr:cNvPr>
        <xdr:cNvCxnSpPr/>
      </xdr:nvCxnSpPr>
      <xdr:spPr>
        <a:xfrm>
          <a:off x="11412903" y="61046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4A05933C-56CD-204B-9F0D-89EF790B72B1}"/>
            </a:ext>
          </a:extLst>
        </xdr:cNvPr>
        <xdr:cNvCxnSpPr/>
      </xdr:nvCxnSpPr>
      <xdr:spPr>
        <a:xfrm>
          <a:off x="12603774" y="61040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FFD04423-A02E-B041-9883-17ACA52746E3}"/>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FFD04423-A02E-B041-9883-17ACA52746E3}"/>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61FAA2A7-3C0C-2948-8CB6-225717932BA2}"/>
            </a:ext>
          </a:extLst>
        </xdr:cNvPr>
        <xdr:cNvCxnSpPr>
          <a:endCxn id="50" idx="0"/>
        </xdr:cNvCxnSpPr>
      </xdr:nvCxnSpPr>
      <xdr:spPr>
        <a:xfrm>
          <a:off x="8301567" y="61192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4E6C4072-D19D-9642-954E-7A3AD14A8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F8F38089-90E6-8744-A280-96E917B4E534}"/>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F8F38089-90E6-8744-A280-96E917B4E534}"/>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21</xdr:col>
      <xdr:colOff>1577878</xdr:colOff>
      <xdr:row>55</xdr:row>
      <xdr:rowOff>0</xdr:rowOff>
    </xdr:from>
    <xdr:to>
      <xdr:col>22</xdr:col>
      <xdr:colOff>1039091</xdr:colOff>
      <xdr:row>195</xdr:row>
      <xdr:rowOff>153939</xdr:rowOff>
    </xdr:to>
    <xdr:sp macro="" textlink="">
      <xdr:nvSpPr>
        <xdr:cNvPr id="62" name="Right Brace 61">
          <a:extLst>
            <a:ext uri="{FF2B5EF4-FFF2-40B4-BE49-F238E27FC236}">
              <a16:creationId xmlns:a16="http://schemas.microsoft.com/office/drawing/2014/main" id="{336E1236-FCA7-5441-A469-BD8B567D7F5E}"/>
            </a:ext>
          </a:extLst>
        </xdr:cNvPr>
        <xdr:cNvSpPr/>
      </xdr:nvSpPr>
      <xdr:spPr>
        <a:xfrm>
          <a:off x="26457178" y="14897100"/>
          <a:ext cx="820113" cy="353075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359975</xdr:colOff>
      <xdr:row>92</xdr:row>
      <xdr:rowOff>168476</xdr:rowOff>
    </xdr:from>
    <xdr:to>
      <xdr:col>30</xdr:col>
      <xdr:colOff>520551</xdr:colOff>
      <xdr:row>92</xdr:row>
      <xdr:rowOff>183073</xdr:rowOff>
    </xdr:to>
    <xdr:cxnSp macro="">
      <xdr:nvCxnSpPr>
        <xdr:cNvPr id="63" name="Straight Arrow Connector 62">
          <a:extLst>
            <a:ext uri="{FF2B5EF4-FFF2-40B4-BE49-F238E27FC236}">
              <a16:creationId xmlns:a16="http://schemas.microsoft.com/office/drawing/2014/main" id="{BDF95A0B-9232-E34C-9882-42C8A5AE7358}"/>
            </a:ext>
          </a:extLst>
        </xdr:cNvPr>
        <xdr:cNvCxnSpPr/>
      </xdr:nvCxnSpPr>
      <xdr:spPr>
        <a:xfrm>
          <a:off x="33532375" y="24069876"/>
          <a:ext cx="28021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30</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E527A1B6-0A14-BA42-9757-8FBCAF0690F3}"/>
                </a:ext>
              </a:extLst>
            </xdr:cNvPr>
            <xdr:cNvSpPr txBox="1"/>
          </xdr:nvSpPr>
          <xdr:spPr>
            <a:xfrm>
              <a:off x="36522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4" name="TextBox 63">
              <a:extLst>
                <a:ext uri="{FF2B5EF4-FFF2-40B4-BE49-F238E27FC236}">
                  <a16:creationId xmlns:a16="http://schemas.microsoft.com/office/drawing/2014/main" id="{E527A1B6-0A14-BA42-9757-8FBCAF0690F3}"/>
                </a:ext>
              </a:extLst>
            </xdr:cNvPr>
            <xdr:cNvSpPr txBox="1"/>
          </xdr:nvSpPr>
          <xdr:spPr>
            <a:xfrm>
              <a:off x="36522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25</xdr:col>
      <xdr:colOff>856511</xdr:colOff>
      <xdr:row>96</xdr:row>
      <xdr:rowOff>14766</xdr:rowOff>
    </xdr:from>
    <xdr:to>
      <xdr:col>30</xdr:col>
      <xdr:colOff>782674</xdr:colOff>
      <xdr:row>99</xdr:row>
      <xdr:rowOff>132906</xdr:rowOff>
    </xdr:to>
    <xdr:sp macro="" textlink="">
      <xdr:nvSpPr>
        <xdr:cNvPr id="65" name="TextBox 64">
          <a:extLst>
            <a:ext uri="{FF2B5EF4-FFF2-40B4-BE49-F238E27FC236}">
              <a16:creationId xmlns:a16="http://schemas.microsoft.com/office/drawing/2014/main" id="{14663CC2-4402-8F4A-95DC-39D4776BBC73}"/>
            </a:ext>
          </a:extLst>
        </xdr:cNvPr>
        <xdr:cNvSpPr txBox="1"/>
      </xdr:nvSpPr>
      <xdr:spPr>
        <a:xfrm>
          <a:off x="29787111" y="25008366"/>
          <a:ext cx="68095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32</xdr:col>
      <xdr:colOff>831850</xdr:colOff>
      <xdr:row>110</xdr:row>
      <xdr:rowOff>133349</xdr:rowOff>
    </xdr:from>
    <xdr:to>
      <xdr:col>38</xdr:col>
      <xdr:colOff>756596</xdr:colOff>
      <xdr:row>125</xdr:row>
      <xdr:rowOff>189148</xdr:rowOff>
    </xdr:to>
    <xdr:graphicFrame macro="">
      <xdr:nvGraphicFramePr>
        <xdr:cNvPr id="66" name="Chart 65">
          <a:extLst>
            <a:ext uri="{FF2B5EF4-FFF2-40B4-BE49-F238E27FC236}">
              <a16:creationId xmlns:a16="http://schemas.microsoft.com/office/drawing/2014/main" id="{44FFF791-8BBE-DF4E-8E0F-33CD44D61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16</xdr:col>
      <xdr:colOff>372629</xdr:colOff>
      <xdr:row>92</xdr:row>
      <xdr:rowOff>235526</xdr:rowOff>
    </xdr:from>
    <xdr:ext cx="1488997" cy="778931"/>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C59CBFC4-6597-A646-A825-C6CEAA5C833C}"/>
                </a:ext>
              </a:extLst>
            </xdr:cNvPr>
            <xdr:cNvSpPr txBox="1"/>
          </xdr:nvSpPr>
          <xdr:spPr>
            <a:xfrm>
              <a:off x="20108429" y="241369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67" name="TextBox 66">
              <a:extLst>
                <a:ext uri="{FF2B5EF4-FFF2-40B4-BE49-F238E27FC236}">
                  <a16:creationId xmlns:a16="http://schemas.microsoft.com/office/drawing/2014/main" id="{C59CBFC4-6597-A646-A825-C6CEAA5C833C}"/>
                </a:ext>
              </a:extLst>
            </xdr:cNvPr>
            <xdr:cNvSpPr txBox="1"/>
          </xdr:nvSpPr>
          <xdr:spPr>
            <a:xfrm>
              <a:off x="20108429" y="241369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62845975-0112-F14B-9C89-918149539403}"/>
            </a:ext>
          </a:extLst>
        </xdr:cNvPr>
        <xdr:cNvCxnSpPr/>
      </xdr:nvCxnSpPr>
      <xdr:spPr>
        <a:xfrm>
          <a:off x="5884845" y="70229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1719FED8-7267-FE43-A35F-149D66EAF59A}"/>
            </a:ext>
          </a:extLst>
        </xdr:cNvPr>
        <xdr:cNvCxnSpPr/>
      </xdr:nvCxnSpPr>
      <xdr:spPr>
        <a:xfrm>
          <a:off x="5841861" y="80378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093C6E1-DCB6-314B-B44E-D2760228A8F1}"/>
                </a:ext>
              </a:extLst>
            </xdr:cNvPr>
            <xdr:cNvSpPr txBox="1"/>
          </xdr:nvSpPr>
          <xdr:spPr>
            <a:xfrm>
              <a:off x="6984930" y="78105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9093C6E1-DCB6-314B-B44E-D2760228A8F1}"/>
                </a:ext>
              </a:extLst>
            </xdr:cNvPr>
            <xdr:cNvSpPr txBox="1"/>
          </xdr:nvSpPr>
          <xdr:spPr>
            <a:xfrm>
              <a:off x="6984930" y="78105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BEDF71C-7934-F647-9230-1BD52C04447B}"/>
                </a:ext>
              </a:extLst>
            </xdr:cNvPr>
            <xdr:cNvSpPr txBox="1"/>
          </xdr:nvSpPr>
          <xdr:spPr>
            <a:xfrm>
              <a:off x="7024393" y="67712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7BEDF71C-7934-F647-9230-1BD52C04447B}"/>
                </a:ext>
              </a:extLst>
            </xdr:cNvPr>
            <xdr:cNvSpPr txBox="1"/>
          </xdr:nvSpPr>
          <xdr:spPr>
            <a:xfrm>
              <a:off x="7024393" y="67712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B02381C7-5F15-6B4A-8FB4-A777C72D0BD4}"/>
            </a:ext>
          </a:extLst>
        </xdr:cNvPr>
        <xdr:cNvCxnSpPr/>
      </xdr:nvCxnSpPr>
      <xdr:spPr>
        <a:xfrm>
          <a:off x="6002428" y="1492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8F11236F-0B9F-C945-986D-2052BDFDD9F8}"/>
                </a:ext>
              </a:extLst>
            </xdr:cNvPr>
            <xdr:cNvSpPr txBox="1"/>
          </xdr:nvSpPr>
          <xdr:spPr>
            <a:xfrm>
              <a:off x="9421430" y="144800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8F11236F-0B9F-C945-986D-2052BDFDD9F8}"/>
                </a:ext>
              </a:extLst>
            </xdr:cNvPr>
            <xdr:cNvSpPr txBox="1"/>
          </xdr:nvSpPr>
          <xdr:spPr>
            <a:xfrm>
              <a:off x="9421430" y="144800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5FBFB702-6CA0-784F-B6F6-5955EEA365B0}"/>
                </a:ext>
              </a:extLst>
            </xdr:cNvPr>
            <xdr:cNvSpPr txBox="1"/>
          </xdr:nvSpPr>
          <xdr:spPr>
            <a:xfrm>
              <a:off x="9401190" y="151998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5FBFB702-6CA0-784F-B6F6-5955EEA365B0}"/>
                </a:ext>
              </a:extLst>
            </xdr:cNvPr>
            <xdr:cNvSpPr txBox="1"/>
          </xdr:nvSpPr>
          <xdr:spPr>
            <a:xfrm>
              <a:off x="9401190" y="151998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E65F243E-1787-854C-8DCE-394BFB349214}"/>
            </a:ext>
          </a:extLst>
        </xdr:cNvPr>
        <xdr:cNvSpPr/>
      </xdr:nvSpPr>
      <xdr:spPr>
        <a:xfrm>
          <a:off x="8764154" y="146263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794DE99E-4333-3647-A25D-6914CA2B2BA0}"/>
                </a:ext>
              </a:extLst>
            </xdr:cNvPr>
            <xdr:cNvSpPr/>
          </xdr:nvSpPr>
          <xdr:spPr>
            <a:xfrm>
              <a:off x="12863247" y="147396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794DE99E-4333-3647-A25D-6914CA2B2BA0}"/>
                </a:ext>
              </a:extLst>
            </xdr:cNvPr>
            <xdr:cNvSpPr/>
          </xdr:nvSpPr>
          <xdr:spPr>
            <a:xfrm>
              <a:off x="12863247" y="147396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09C5666D-E1FD-FF43-8FF1-352CC467FDBC}"/>
            </a:ext>
          </a:extLst>
        </xdr:cNvPr>
        <xdr:cNvCxnSpPr/>
      </xdr:nvCxnSpPr>
      <xdr:spPr>
        <a:xfrm flipV="1">
          <a:off x="7462426" y="99412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2812E098-563D-5D48-8C78-B9C53C7C6E00}"/>
                </a:ext>
              </a:extLst>
            </xdr:cNvPr>
            <xdr:cNvSpPr txBox="1"/>
          </xdr:nvSpPr>
          <xdr:spPr>
            <a:xfrm>
              <a:off x="6483515" y="93566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2812E098-563D-5D48-8C78-B9C53C7C6E00}"/>
                </a:ext>
              </a:extLst>
            </xdr:cNvPr>
            <xdr:cNvSpPr txBox="1"/>
          </xdr:nvSpPr>
          <xdr:spPr>
            <a:xfrm>
              <a:off x="6483515" y="93566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E380F072-20D2-1A49-AE97-B35865F9703B}"/>
            </a:ext>
          </a:extLst>
        </xdr:cNvPr>
        <xdr:cNvCxnSpPr/>
      </xdr:nvCxnSpPr>
      <xdr:spPr>
        <a:xfrm flipH="1" flipV="1">
          <a:off x="7944555" y="98754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17DAEE8-4ED0-BF48-B24D-0453B2130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673100</xdr:colOff>
      <xdr:row>107</xdr:row>
      <xdr:rowOff>50799</xdr:rowOff>
    </xdr:from>
    <xdr:to>
      <xdr:col>14</xdr:col>
      <xdr:colOff>1082675</xdr:colOff>
      <xdr:row>123</xdr:row>
      <xdr:rowOff>127000</xdr:rowOff>
    </xdr:to>
    <xdr:graphicFrame macro="">
      <xdr:nvGraphicFramePr>
        <xdr:cNvPr id="15" name="Chart 14">
          <a:extLst>
            <a:ext uri="{FF2B5EF4-FFF2-40B4-BE49-F238E27FC236}">
              <a16:creationId xmlns:a16="http://schemas.microsoft.com/office/drawing/2014/main" id="{437DE3E4-C900-C44D-B038-52150D1AD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46876413-3E48-5E4D-A57A-FE977DE00998}"/>
            </a:ext>
          </a:extLst>
        </xdr:cNvPr>
        <xdr:cNvCxnSpPr/>
      </xdr:nvCxnSpPr>
      <xdr:spPr>
        <a:xfrm>
          <a:off x="6002428" y="33367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CE20C23C-972C-9E4E-8A59-23801502C141}"/>
                </a:ext>
              </a:extLst>
            </xdr:cNvPr>
            <xdr:cNvSpPr txBox="1"/>
          </xdr:nvSpPr>
          <xdr:spPr>
            <a:xfrm>
              <a:off x="9421430" y="329712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17" name="TextBox 16">
              <a:extLst>
                <a:ext uri="{FF2B5EF4-FFF2-40B4-BE49-F238E27FC236}">
                  <a16:creationId xmlns:a16="http://schemas.microsoft.com/office/drawing/2014/main" id="{CE20C23C-972C-9E4E-8A59-23801502C141}"/>
                </a:ext>
              </a:extLst>
            </xdr:cNvPr>
            <xdr:cNvSpPr txBox="1"/>
          </xdr:nvSpPr>
          <xdr:spPr>
            <a:xfrm>
              <a:off x="9421430" y="329712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40EC9646-63C2-334B-9747-F224103BCC6F}"/>
            </a:ext>
          </a:extLst>
        </xdr:cNvPr>
        <xdr:cNvSpPr/>
      </xdr:nvSpPr>
      <xdr:spPr>
        <a:xfrm>
          <a:off x="8764154" y="330667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19" name="Rectangle 18">
              <a:extLst>
                <a:ext uri="{FF2B5EF4-FFF2-40B4-BE49-F238E27FC236}">
                  <a16:creationId xmlns:a16="http://schemas.microsoft.com/office/drawing/2014/main" id="{F65DB771-6DFA-6946-9CF3-8672753D6E87}"/>
                </a:ext>
              </a:extLst>
            </xdr:cNvPr>
            <xdr:cNvSpPr/>
          </xdr:nvSpPr>
          <xdr:spPr>
            <a:xfrm>
              <a:off x="12521680" y="329744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19" name="Rectangle 18">
              <a:extLst>
                <a:ext uri="{FF2B5EF4-FFF2-40B4-BE49-F238E27FC236}">
                  <a16:creationId xmlns:a16="http://schemas.microsoft.com/office/drawing/2014/main" id="{F65DB771-6DFA-6946-9CF3-8672753D6E87}"/>
                </a:ext>
              </a:extLst>
            </xdr:cNvPr>
            <xdr:cNvSpPr/>
          </xdr:nvSpPr>
          <xdr:spPr>
            <a:xfrm>
              <a:off x="12521680" y="329744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7BE2CAD4-A433-B44F-B7EE-8D8E0EEDB3BA}"/>
                </a:ext>
              </a:extLst>
            </xdr:cNvPr>
            <xdr:cNvSpPr txBox="1"/>
          </xdr:nvSpPr>
          <xdr:spPr>
            <a:xfrm>
              <a:off x="9358575" y="336742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7BE2CAD4-A433-B44F-B7EE-8D8E0EEDB3BA}"/>
                </a:ext>
              </a:extLst>
            </xdr:cNvPr>
            <xdr:cNvSpPr txBox="1"/>
          </xdr:nvSpPr>
          <xdr:spPr>
            <a:xfrm>
              <a:off x="9358575" y="336742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1" name="Rounded Rectangle 20">
          <a:extLst>
            <a:ext uri="{FF2B5EF4-FFF2-40B4-BE49-F238E27FC236}">
              <a16:creationId xmlns:a16="http://schemas.microsoft.com/office/drawing/2014/main" id="{CDD13F4A-DA3D-5042-B685-32352C3F01A6}"/>
            </a:ext>
          </a:extLst>
        </xdr:cNvPr>
        <xdr:cNvSpPr/>
      </xdr:nvSpPr>
      <xdr:spPr>
        <a:xfrm>
          <a:off x="9334499" y="336423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C42005B3-CD20-E94F-B6F6-0B16C68B5628}"/>
                </a:ext>
              </a:extLst>
            </xdr:cNvPr>
            <xdr:cNvSpPr txBox="1"/>
          </xdr:nvSpPr>
          <xdr:spPr>
            <a:xfrm>
              <a:off x="13408630" y="344179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2" name="TextBox 21">
              <a:extLst>
                <a:ext uri="{FF2B5EF4-FFF2-40B4-BE49-F238E27FC236}">
                  <a16:creationId xmlns:a16="http://schemas.microsoft.com/office/drawing/2014/main" id="{C42005B3-CD20-E94F-B6F6-0B16C68B5628}"/>
                </a:ext>
              </a:extLst>
            </xdr:cNvPr>
            <xdr:cNvSpPr txBox="1"/>
          </xdr:nvSpPr>
          <xdr:spPr>
            <a:xfrm>
              <a:off x="13408630" y="344179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3" name="Curved Connector 22">
          <a:extLst>
            <a:ext uri="{FF2B5EF4-FFF2-40B4-BE49-F238E27FC236}">
              <a16:creationId xmlns:a16="http://schemas.microsoft.com/office/drawing/2014/main" id="{C8474B24-1D47-6748-8A1C-A8ECA72AF411}"/>
            </a:ext>
          </a:extLst>
        </xdr:cNvPr>
        <xdr:cNvCxnSpPr>
          <a:endCxn id="22" idx="1"/>
        </xdr:cNvCxnSpPr>
      </xdr:nvCxnSpPr>
      <xdr:spPr>
        <a:xfrm rot="16200000" flipH="1">
          <a:off x="12871846" y="342778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4" name="Chart 23">
          <a:extLst>
            <a:ext uri="{FF2B5EF4-FFF2-40B4-BE49-F238E27FC236}">
              <a16:creationId xmlns:a16="http://schemas.microsoft.com/office/drawing/2014/main" id="{24A7BCEA-4958-4B46-A51D-DAECD17F1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5" name="TextBox 24">
          <a:extLst>
            <a:ext uri="{FF2B5EF4-FFF2-40B4-BE49-F238E27FC236}">
              <a16:creationId xmlns:a16="http://schemas.microsoft.com/office/drawing/2014/main" id="{A8ED6724-3923-E546-B6E4-346E15EA8756}"/>
            </a:ext>
          </a:extLst>
        </xdr:cNvPr>
        <xdr:cNvSpPr txBox="1"/>
      </xdr:nvSpPr>
      <xdr:spPr>
        <a:xfrm>
          <a:off x="11731458" y="40564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6" name="Straight Arrow Connector 25">
          <a:extLst>
            <a:ext uri="{FF2B5EF4-FFF2-40B4-BE49-F238E27FC236}">
              <a16:creationId xmlns:a16="http://schemas.microsoft.com/office/drawing/2014/main" id="{613DE7F5-7CBF-AC41-9AAD-B96D333B9217}"/>
            </a:ext>
          </a:extLst>
        </xdr:cNvPr>
        <xdr:cNvCxnSpPr/>
      </xdr:nvCxnSpPr>
      <xdr:spPr>
        <a:xfrm>
          <a:off x="6002428" y="42155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27" name="TextBox 26">
              <a:extLst>
                <a:ext uri="{FF2B5EF4-FFF2-40B4-BE49-F238E27FC236}">
                  <a16:creationId xmlns:a16="http://schemas.microsoft.com/office/drawing/2014/main" id="{04CDD072-1457-8149-84C0-8B488D6BDB14}"/>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27" name="TextBox 26">
              <a:extLst>
                <a:ext uri="{FF2B5EF4-FFF2-40B4-BE49-F238E27FC236}">
                  <a16:creationId xmlns:a16="http://schemas.microsoft.com/office/drawing/2014/main" id="{04CDD072-1457-8149-84C0-8B488D6BDB14}"/>
                </a:ext>
              </a:extLst>
            </xdr:cNvPr>
            <xdr:cNvSpPr txBox="1"/>
          </xdr:nvSpPr>
          <xdr:spPr>
            <a:xfrm>
              <a:off x="9506096" y="41780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8" name="Rectangle 27">
          <a:extLst>
            <a:ext uri="{FF2B5EF4-FFF2-40B4-BE49-F238E27FC236}">
              <a16:creationId xmlns:a16="http://schemas.microsoft.com/office/drawing/2014/main" id="{214545F6-C915-EA43-8BB5-18586CBA4159}"/>
            </a:ext>
          </a:extLst>
        </xdr:cNvPr>
        <xdr:cNvSpPr/>
      </xdr:nvSpPr>
      <xdr:spPr>
        <a:xfrm>
          <a:off x="12846314" y="418583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9" name="Curved Connector 28">
          <a:extLst>
            <a:ext uri="{FF2B5EF4-FFF2-40B4-BE49-F238E27FC236}">
              <a16:creationId xmlns:a16="http://schemas.microsoft.com/office/drawing/2014/main" id="{82962AC5-843B-4C4F-9F28-2A0622E6461F}"/>
            </a:ext>
          </a:extLst>
        </xdr:cNvPr>
        <xdr:cNvCxnSpPr/>
      </xdr:nvCxnSpPr>
      <xdr:spPr>
        <a:xfrm flipV="1">
          <a:off x="11697138" y="42180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83A6A18-35D6-EE4D-BE74-47E224F60C13}"/>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0" name="TextBox 29">
              <a:extLst>
                <a:ext uri="{FF2B5EF4-FFF2-40B4-BE49-F238E27FC236}">
                  <a16:creationId xmlns:a16="http://schemas.microsoft.com/office/drawing/2014/main" id="{883A6A18-35D6-EE4D-BE74-47E224F60C13}"/>
                </a:ext>
              </a:extLst>
            </xdr:cNvPr>
            <xdr:cNvSpPr txBox="1"/>
          </xdr:nvSpPr>
          <xdr:spPr>
            <a:xfrm>
              <a:off x="13635567" y="432519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1" name="Curved Connector 30">
          <a:extLst>
            <a:ext uri="{FF2B5EF4-FFF2-40B4-BE49-F238E27FC236}">
              <a16:creationId xmlns:a16="http://schemas.microsoft.com/office/drawing/2014/main" id="{827415F9-8F2A-8B44-BABC-3E3FB65A0D23}"/>
            </a:ext>
          </a:extLst>
        </xdr:cNvPr>
        <xdr:cNvCxnSpPr/>
      </xdr:nvCxnSpPr>
      <xdr:spPr>
        <a:xfrm>
          <a:off x="11796379" y="147314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2" name="Curved Connector 31">
          <a:extLst>
            <a:ext uri="{FF2B5EF4-FFF2-40B4-BE49-F238E27FC236}">
              <a16:creationId xmlns:a16="http://schemas.microsoft.com/office/drawing/2014/main" id="{BCA48EAC-B745-6649-9F3C-4BCFA33569DC}"/>
            </a:ext>
          </a:extLst>
        </xdr:cNvPr>
        <xdr:cNvCxnSpPr>
          <a:endCxn id="30" idx="1"/>
        </xdr:cNvCxnSpPr>
      </xdr:nvCxnSpPr>
      <xdr:spPr>
        <a:xfrm rot="16200000" flipH="1">
          <a:off x="13281448" y="431404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748EA925-7EB0-B748-B664-8272963285D4}"/>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3" name="TextBox 32">
              <a:extLst>
                <a:ext uri="{FF2B5EF4-FFF2-40B4-BE49-F238E27FC236}">
                  <a16:creationId xmlns:a16="http://schemas.microsoft.com/office/drawing/2014/main" id="{748EA925-7EB0-B748-B664-8272963285D4}"/>
                </a:ext>
              </a:extLst>
            </xdr:cNvPr>
            <xdr:cNvSpPr txBox="1"/>
          </xdr:nvSpPr>
          <xdr:spPr>
            <a:xfrm>
              <a:off x="10195473" y="42512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4" name="Chart 33">
          <a:extLst>
            <a:ext uri="{FF2B5EF4-FFF2-40B4-BE49-F238E27FC236}">
              <a16:creationId xmlns:a16="http://schemas.microsoft.com/office/drawing/2014/main" id="{1EE05663-30FB-CC4E-84E8-B634A3FEB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5" name="Straight Arrow Connector 34">
          <a:extLst>
            <a:ext uri="{FF2B5EF4-FFF2-40B4-BE49-F238E27FC236}">
              <a16:creationId xmlns:a16="http://schemas.microsoft.com/office/drawing/2014/main" id="{7346A7A2-17A1-6A45-A62B-2E2BBCB73B7C}"/>
            </a:ext>
          </a:extLst>
        </xdr:cNvPr>
        <xdr:cNvCxnSpPr/>
      </xdr:nvCxnSpPr>
      <xdr:spPr>
        <a:xfrm>
          <a:off x="6002428" y="50855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CA32CF57-B6E6-0E4B-8441-3E17D962A565}"/>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6" name="TextBox 35">
              <a:extLst>
                <a:ext uri="{FF2B5EF4-FFF2-40B4-BE49-F238E27FC236}">
                  <a16:creationId xmlns:a16="http://schemas.microsoft.com/office/drawing/2014/main" id="{CA32CF57-B6E6-0E4B-8441-3E17D962A565}"/>
                </a:ext>
              </a:extLst>
            </xdr:cNvPr>
            <xdr:cNvSpPr txBox="1"/>
          </xdr:nvSpPr>
          <xdr:spPr>
            <a:xfrm>
              <a:off x="8659887" y="514718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37" name="TextBox 36">
              <a:extLst>
                <a:ext uri="{FF2B5EF4-FFF2-40B4-BE49-F238E27FC236}">
                  <a16:creationId xmlns:a16="http://schemas.microsoft.com/office/drawing/2014/main" id="{2972AD45-997B-AB44-8B78-D81E48402FE8}"/>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37" name="TextBox 36">
              <a:extLst>
                <a:ext uri="{FF2B5EF4-FFF2-40B4-BE49-F238E27FC236}">
                  <a16:creationId xmlns:a16="http://schemas.microsoft.com/office/drawing/2014/main" id="{2972AD45-997B-AB44-8B78-D81E48402FE8}"/>
                </a:ext>
              </a:extLst>
            </xdr:cNvPr>
            <xdr:cNvSpPr txBox="1"/>
          </xdr:nvSpPr>
          <xdr:spPr>
            <a:xfrm>
              <a:off x="9186937" y="51981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38" name="TextBox 37">
              <a:extLst>
                <a:ext uri="{FF2B5EF4-FFF2-40B4-BE49-F238E27FC236}">
                  <a16:creationId xmlns:a16="http://schemas.microsoft.com/office/drawing/2014/main" id="{C323C60A-38C3-FC4C-9F5B-6138CAA6B32B}"/>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8" name="TextBox 37">
              <a:extLst>
                <a:ext uri="{FF2B5EF4-FFF2-40B4-BE49-F238E27FC236}">
                  <a16:creationId xmlns:a16="http://schemas.microsoft.com/office/drawing/2014/main" id="{C323C60A-38C3-FC4C-9F5B-6138CAA6B32B}"/>
                </a:ext>
              </a:extLst>
            </xdr:cNvPr>
            <xdr:cNvSpPr txBox="1"/>
          </xdr:nvSpPr>
          <xdr:spPr>
            <a:xfrm>
              <a:off x="12168996" y="518968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9" name="TextBox 38">
          <a:extLst>
            <a:ext uri="{FF2B5EF4-FFF2-40B4-BE49-F238E27FC236}">
              <a16:creationId xmlns:a16="http://schemas.microsoft.com/office/drawing/2014/main" id="{DE7EACBD-9C7A-F84C-A78A-E72F531A5BCA}"/>
            </a:ext>
          </a:extLst>
        </xdr:cNvPr>
        <xdr:cNvSpPr txBox="1"/>
      </xdr:nvSpPr>
      <xdr:spPr>
        <a:xfrm>
          <a:off x="13413596" y="514286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0" name="Straight Arrow Connector 39">
          <a:extLst>
            <a:ext uri="{FF2B5EF4-FFF2-40B4-BE49-F238E27FC236}">
              <a16:creationId xmlns:a16="http://schemas.microsoft.com/office/drawing/2014/main" id="{4899237E-3682-FD46-842C-99D7EA2A29F1}"/>
            </a:ext>
          </a:extLst>
        </xdr:cNvPr>
        <xdr:cNvCxnSpPr/>
      </xdr:nvCxnSpPr>
      <xdr:spPr>
        <a:xfrm flipH="1">
          <a:off x="9039469" y="511404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1" name="Straight Arrow Connector 40">
          <a:extLst>
            <a:ext uri="{FF2B5EF4-FFF2-40B4-BE49-F238E27FC236}">
              <a16:creationId xmlns:a16="http://schemas.microsoft.com/office/drawing/2014/main" id="{51184A2A-0F3D-A542-985B-EC4C7471188F}"/>
            </a:ext>
          </a:extLst>
        </xdr:cNvPr>
        <xdr:cNvCxnSpPr/>
      </xdr:nvCxnSpPr>
      <xdr:spPr>
        <a:xfrm flipH="1">
          <a:off x="10337800" y="511218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2" name="Straight Arrow Connector 41">
          <a:extLst>
            <a:ext uri="{FF2B5EF4-FFF2-40B4-BE49-F238E27FC236}">
              <a16:creationId xmlns:a16="http://schemas.microsoft.com/office/drawing/2014/main" id="{63F835DF-4F20-644B-B561-C072CC485D1E}"/>
            </a:ext>
          </a:extLst>
        </xdr:cNvPr>
        <xdr:cNvCxnSpPr/>
      </xdr:nvCxnSpPr>
      <xdr:spPr>
        <a:xfrm>
          <a:off x="11412903" y="511282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3" name="Straight Arrow Connector 42">
          <a:extLst>
            <a:ext uri="{FF2B5EF4-FFF2-40B4-BE49-F238E27FC236}">
              <a16:creationId xmlns:a16="http://schemas.microsoft.com/office/drawing/2014/main" id="{762245CB-7BC3-1243-899A-1343586C4B23}"/>
            </a:ext>
          </a:extLst>
        </xdr:cNvPr>
        <xdr:cNvCxnSpPr/>
      </xdr:nvCxnSpPr>
      <xdr:spPr>
        <a:xfrm>
          <a:off x="12603774" y="511221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4" name="Rectangle 43">
          <a:extLst>
            <a:ext uri="{FF2B5EF4-FFF2-40B4-BE49-F238E27FC236}">
              <a16:creationId xmlns:a16="http://schemas.microsoft.com/office/drawing/2014/main" id="{3F4262DB-A534-9C4F-8E78-5AAA2C850CFA}"/>
            </a:ext>
          </a:extLst>
        </xdr:cNvPr>
        <xdr:cNvSpPr/>
      </xdr:nvSpPr>
      <xdr:spPr>
        <a:xfrm>
          <a:off x="13967461" y="509574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5" name="Chart 44">
          <a:extLst>
            <a:ext uri="{FF2B5EF4-FFF2-40B4-BE49-F238E27FC236}">
              <a16:creationId xmlns:a16="http://schemas.microsoft.com/office/drawing/2014/main" id="{79568D6C-0C56-6447-BA27-84A02238B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6" name="Straight Arrow Connector 45">
          <a:extLst>
            <a:ext uri="{FF2B5EF4-FFF2-40B4-BE49-F238E27FC236}">
              <a16:creationId xmlns:a16="http://schemas.microsoft.com/office/drawing/2014/main" id="{97865EF7-3372-D242-8CAC-AF3D9811549C}"/>
            </a:ext>
          </a:extLst>
        </xdr:cNvPr>
        <xdr:cNvCxnSpPr/>
      </xdr:nvCxnSpPr>
      <xdr:spPr>
        <a:xfrm>
          <a:off x="6002428" y="6077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C4A954DC-8357-6E42-A74E-15D0E2CEB964}"/>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47" name="TextBox 46">
              <a:extLst>
                <a:ext uri="{FF2B5EF4-FFF2-40B4-BE49-F238E27FC236}">
                  <a16:creationId xmlns:a16="http://schemas.microsoft.com/office/drawing/2014/main" id="{C4A954DC-8357-6E42-A74E-15D0E2CEB964}"/>
                </a:ext>
              </a:extLst>
            </xdr:cNvPr>
            <xdr:cNvSpPr txBox="1"/>
          </xdr:nvSpPr>
          <xdr:spPr>
            <a:xfrm>
              <a:off x="7988516" y="61509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A9AAD532-D3B0-E34E-8C66-DDC24B59D7C9}"/>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48" name="TextBox 47">
              <a:extLst>
                <a:ext uri="{FF2B5EF4-FFF2-40B4-BE49-F238E27FC236}">
                  <a16:creationId xmlns:a16="http://schemas.microsoft.com/office/drawing/2014/main" id="{A9AAD532-D3B0-E34E-8C66-DDC24B59D7C9}"/>
                </a:ext>
              </a:extLst>
            </xdr:cNvPr>
            <xdr:cNvSpPr txBox="1"/>
          </xdr:nvSpPr>
          <xdr:spPr>
            <a:xfrm>
              <a:off x="8984037" y="62075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49" name="TextBox 48">
              <a:extLst>
                <a:ext uri="{FF2B5EF4-FFF2-40B4-BE49-F238E27FC236}">
                  <a16:creationId xmlns:a16="http://schemas.microsoft.com/office/drawing/2014/main" id="{2C84F5A4-050F-D041-93B8-0738A26A8BF9}"/>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49" name="TextBox 48">
              <a:extLst>
                <a:ext uri="{FF2B5EF4-FFF2-40B4-BE49-F238E27FC236}">
                  <a16:creationId xmlns:a16="http://schemas.microsoft.com/office/drawing/2014/main" id="{2C84F5A4-050F-D041-93B8-0738A26A8BF9}"/>
                </a:ext>
              </a:extLst>
            </xdr:cNvPr>
            <xdr:cNvSpPr txBox="1"/>
          </xdr:nvSpPr>
          <xdr:spPr>
            <a:xfrm>
              <a:off x="12168995" y="61802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EFA78501-9946-5B4F-9B6D-9185E52E2BD8}"/>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0" name="TextBox 49">
              <a:extLst>
                <a:ext uri="{FF2B5EF4-FFF2-40B4-BE49-F238E27FC236}">
                  <a16:creationId xmlns:a16="http://schemas.microsoft.com/office/drawing/2014/main" id="{EFA78501-9946-5B4F-9B6D-9185E52E2BD8}"/>
                </a:ext>
              </a:extLst>
            </xdr:cNvPr>
            <xdr:cNvSpPr txBox="1"/>
          </xdr:nvSpPr>
          <xdr:spPr>
            <a:xfrm>
              <a:off x="13413596" y="61347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1" name="Straight Arrow Connector 50">
          <a:extLst>
            <a:ext uri="{FF2B5EF4-FFF2-40B4-BE49-F238E27FC236}">
              <a16:creationId xmlns:a16="http://schemas.microsoft.com/office/drawing/2014/main" id="{158DBE73-3363-D343-9242-19EB53E2EF4F}"/>
            </a:ext>
          </a:extLst>
        </xdr:cNvPr>
        <xdr:cNvCxnSpPr/>
      </xdr:nvCxnSpPr>
      <xdr:spPr>
        <a:xfrm flipH="1">
          <a:off x="9039469" y="61059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2" name="Straight Arrow Connector 51">
          <a:extLst>
            <a:ext uri="{FF2B5EF4-FFF2-40B4-BE49-F238E27FC236}">
              <a16:creationId xmlns:a16="http://schemas.microsoft.com/office/drawing/2014/main" id="{E49A9E89-48B5-994D-BD50-A68741C890B1}"/>
            </a:ext>
          </a:extLst>
        </xdr:cNvPr>
        <xdr:cNvCxnSpPr/>
      </xdr:nvCxnSpPr>
      <xdr:spPr>
        <a:xfrm flipH="1">
          <a:off x="10265207" y="61040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3" name="Straight Arrow Connector 52">
          <a:extLst>
            <a:ext uri="{FF2B5EF4-FFF2-40B4-BE49-F238E27FC236}">
              <a16:creationId xmlns:a16="http://schemas.microsoft.com/office/drawing/2014/main" id="{D5C9F541-CD7B-EE4F-A13B-0A7CA573AEF4}"/>
            </a:ext>
          </a:extLst>
        </xdr:cNvPr>
        <xdr:cNvCxnSpPr/>
      </xdr:nvCxnSpPr>
      <xdr:spPr>
        <a:xfrm>
          <a:off x="11412903" y="61046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4" name="Straight Arrow Connector 53">
          <a:extLst>
            <a:ext uri="{FF2B5EF4-FFF2-40B4-BE49-F238E27FC236}">
              <a16:creationId xmlns:a16="http://schemas.microsoft.com/office/drawing/2014/main" id="{F53B5B79-A0B3-FC44-B53D-1536D8B65724}"/>
            </a:ext>
          </a:extLst>
        </xdr:cNvPr>
        <xdr:cNvCxnSpPr/>
      </xdr:nvCxnSpPr>
      <xdr:spPr>
        <a:xfrm>
          <a:off x="12603774" y="61040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5" name="CasellaDiTesto 25">
              <a:extLst>
                <a:ext uri="{FF2B5EF4-FFF2-40B4-BE49-F238E27FC236}">
                  <a16:creationId xmlns:a16="http://schemas.microsoft.com/office/drawing/2014/main" id="{E6C9BD11-0EED-B947-8AAB-FD7FEAB29479}"/>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5" name="CasellaDiTesto 25">
              <a:extLst>
                <a:ext uri="{FF2B5EF4-FFF2-40B4-BE49-F238E27FC236}">
                  <a16:creationId xmlns:a16="http://schemas.microsoft.com/office/drawing/2014/main" id="{E6C9BD11-0EED-B947-8AAB-FD7FEAB29479}"/>
                </a:ext>
              </a:extLst>
            </xdr:cNvPr>
            <xdr:cNvSpPr txBox="1"/>
          </xdr:nvSpPr>
          <xdr:spPr>
            <a:xfrm>
              <a:off x="7294032" y="61099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6" name="Curved Connector 55">
          <a:extLst>
            <a:ext uri="{FF2B5EF4-FFF2-40B4-BE49-F238E27FC236}">
              <a16:creationId xmlns:a16="http://schemas.microsoft.com/office/drawing/2014/main" id="{8EE4CDE0-2544-B846-8351-868A7B78186C}"/>
            </a:ext>
          </a:extLst>
        </xdr:cNvPr>
        <xdr:cNvCxnSpPr>
          <a:endCxn id="47" idx="0"/>
        </xdr:cNvCxnSpPr>
      </xdr:nvCxnSpPr>
      <xdr:spPr>
        <a:xfrm>
          <a:off x="8301567" y="61192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7" name="Chart 56">
          <a:extLst>
            <a:ext uri="{FF2B5EF4-FFF2-40B4-BE49-F238E27FC236}">
              <a16:creationId xmlns:a16="http://schemas.microsoft.com/office/drawing/2014/main" id="{B57C57A1-0BBA-674B-9EFB-FD09CA58D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865D5693-B0D8-F141-838C-449E725BF5B3}"/>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58" name="TextBox 57">
              <a:extLst>
                <a:ext uri="{FF2B5EF4-FFF2-40B4-BE49-F238E27FC236}">
                  <a16:creationId xmlns:a16="http://schemas.microsoft.com/office/drawing/2014/main" id="{865D5693-B0D8-F141-838C-449E725BF5B3}"/>
                </a:ext>
              </a:extLst>
            </xdr:cNvPr>
            <xdr:cNvSpPr txBox="1"/>
          </xdr:nvSpPr>
          <xdr:spPr>
            <a:xfrm>
              <a:off x="12745850" y="619396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5</xdr:col>
      <xdr:colOff>403552</xdr:colOff>
      <xdr:row>95</xdr:row>
      <xdr:rowOff>118692</xdr:rowOff>
    </xdr:from>
    <xdr:to>
      <xdr:col>10</xdr:col>
      <xdr:colOff>652805</xdr:colOff>
      <xdr:row>102</xdr:row>
      <xdr:rowOff>94953</xdr:rowOff>
    </xdr:to>
    <xdr:cxnSp macro="">
      <xdr:nvCxnSpPr>
        <xdr:cNvPr id="59" name="Curved Connector 58">
          <a:extLst>
            <a:ext uri="{FF2B5EF4-FFF2-40B4-BE49-F238E27FC236}">
              <a16:creationId xmlns:a16="http://schemas.microsoft.com/office/drawing/2014/main" id="{7B0AE225-5C04-2C44-817E-51C36CD3A051}"/>
            </a:ext>
          </a:extLst>
        </xdr:cNvPr>
        <xdr:cNvCxnSpPr/>
      </xdr:nvCxnSpPr>
      <xdr:spPr>
        <a:xfrm rot="10800000" flipV="1">
          <a:off x="7325052" y="24756692"/>
          <a:ext cx="5430853" cy="2135261"/>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832621</xdr:colOff>
      <xdr:row>106</xdr:row>
      <xdr:rowOff>79080</xdr:rowOff>
    </xdr:from>
    <xdr:to>
      <xdr:col>9</xdr:col>
      <xdr:colOff>998938</xdr:colOff>
      <xdr:row>114</xdr:row>
      <xdr:rowOff>162015</xdr:rowOff>
    </xdr:to>
    <mc:AlternateContent xmlns:mc="http://schemas.openxmlformats.org/markup-compatibility/2006" xmlns:a14="http://schemas.microsoft.com/office/drawing/2010/main">
      <mc:Choice Requires="a14">
        <xdr:sp macro="" textlink="">
          <xdr:nvSpPr>
            <xdr:cNvPr id="60" name="TextBox 59">
              <a:extLst>
                <a:ext uri="{FF2B5EF4-FFF2-40B4-BE49-F238E27FC236}">
                  <a16:creationId xmlns:a16="http://schemas.microsoft.com/office/drawing/2014/main" id="{F22462AB-4128-9643-BBA4-9523DB582ADD}"/>
                </a:ext>
              </a:extLst>
            </xdr:cNvPr>
            <xdr:cNvSpPr txBox="1"/>
          </xdr:nvSpPr>
          <xdr:spPr>
            <a:xfrm>
              <a:off x="7754121" y="27993680"/>
              <a:ext cx="4230317" cy="2153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0" name="TextBox 59">
              <a:extLst>
                <a:ext uri="{FF2B5EF4-FFF2-40B4-BE49-F238E27FC236}">
                  <a16:creationId xmlns:a16="http://schemas.microsoft.com/office/drawing/2014/main" id="{F22462AB-4128-9643-BBA4-9523DB582ADD}"/>
                </a:ext>
              </a:extLst>
            </xdr:cNvPr>
            <xdr:cNvSpPr txBox="1"/>
          </xdr:nvSpPr>
          <xdr:spPr>
            <a:xfrm>
              <a:off x="7754121" y="27993680"/>
              <a:ext cx="4230317" cy="2153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276996</xdr:colOff>
      <xdr:row>136</xdr:row>
      <xdr:rowOff>205933</xdr:rowOff>
    </xdr:from>
    <xdr:to>
      <xdr:col>7</xdr:col>
      <xdr:colOff>760813</xdr:colOff>
      <xdr:row>142</xdr:row>
      <xdr:rowOff>127001</xdr:rowOff>
    </xdr:to>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27DCD8D7-44B6-5341-AEB3-D27FFA80AEC1}"/>
                </a:ext>
              </a:extLst>
            </xdr:cNvPr>
            <xdr:cNvSpPr txBox="1"/>
          </xdr:nvSpPr>
          <xdr:spPr>
            <a:xfrm>
              <a:off x="5826896" y="358548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1" name="TextBox 60">
              <a:extLst>
                <a:ext uri="{FF2B5EF4-FFF2-40B4-BE49-F238E27FC236}">
                  <a16:creationId xmlns:a16="http://schemas.microsoft.com/office/drawing/2014/main" id="{27DCD8D7-44B6-5341-AEB3-D27FFA80AEC1}"/>
                </a:ext>
              </a:extLst>
            </xdr:cNvPr>
            <xdr:cNvSpPr txBox="1"/>
          </xdr:nvSpPr>
          <xdr:spPr>
            <a:xfrm>
              <a:off x="5826896" y="358548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460375</xdr:colOff>
      <xdr:row>174</xdr:row>
      <xdr:rowOff>31750</xdr:rowOff>
    </xdr:from>
    <xdr:to>
      <xdr:col>8</xdr:col>
      <xdr:colOff>86942</xdr:colOff>
      <xdr:row>176</xdr:row>
      <xdr:rowOff>254000</xdr:rowOff>
    </xdr:to>
    <xdr:sp macro="" textlink="">
      <xdr:nvSpPr>
        <xdr:cNvPr id="62" name="TextBox 61">
          <a:extLst>
            <a:ext uri="{FF2B5EF4-FFF2-40B4-BE49-F238E27FC236}">
              <a16:creationId xmlns:a16="http://schemas.microsoft.com/office/drawing/2014/main" id="{4FC03824-8816-564E-AE65-41BF466371BF}"/>
            </a:ext>
          </a:extLst>
        </xdr:cNvPr>
        <xdr:cNvSpPr txBox="1"/>
      </xdr:nvSpPr>
      <xdr:spPr>
        <a:xfrm>
          <a:off x="6010275" y="45015150"/>
          <a:ext cx="4236667"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Single H atom is a radical. As such, the spin multiplicity is =2 (one upaired electron)</a:t>
          </a:r>
          <a:endParaRPr lang="en-US" sz="1800">
            <a:solidFill>
              <a:srgbClr val="FF0000"/>
            </a:solidFill>
          </a:endParaRPr>
        </a:p>
      </xdr:txBody>
    </xdr:sp>
    <xdr:clientData/>
  </xdr:twoCellAnchor>
  <xdr:twoCellAnchor>
    <xdr:from>
      <xdr:col>16</xdr:col>
      <xdr:colOff>1577878</xdr:colOff>
      <xdr:row>55</xdr:row>
      <xdr:rowOff>0</xdr:rowOff>
    </xdr:from>
    <xdr:to>
      <xdr:col>17</xdr:col>
      <xdr:colOff>1039091</xdr:colOff>
      <xdr:row>195</xdr:row>
      <xdr:rowOff>153939</xdr:rowOff>
    </xdr:to>
    <xdr:sp macro="" textlink="">
      <xdr:nvSpPr>
        <xdr:cNvPr id="63" name="Right Brace 62">
          <a:extLst>
            <a:ext uri="{FF2B5EF4-FFF2-40B4-BE49-F238E27FC236}">
              <a16:creationId xmlns:a16="http://schemas.microsoft.com/office/drawing/2014/main" id="{2B42E765-56B5-C94C-95AD-90BFDF0680F6}"/>
            </a:ext>
          </a:extLst>
        </xdr:cNvPr>
        <xdr:cNvSpPr/>
      </xdr:nvSpPr>
      <xdr:spPr>
        <a:xfrm>
          <a:off x="21542278" y="14795500"/>
          <a:ext cx="1061413" cy="354091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4" name="Straight Arrow Connector 63">
          <a:extLst>
            <a:ext uri="{FF2B5EF4-FFF2-40B4-BE49-F238E27FC236}">
              <a16:creationId xmlns:a16="http://schemas.microsoft.com/office/drawing/2014/main" id="{586FD8B9-1793-064A-B451-EF0D9F450FBF}"/>
            </a:ext>
          </a:extLst>
        </xdr:cNvPr>
        <xdr:cNvCxnSpPr/>
      </xdr:nvCxnSpPr>
      <xdr:spPr>
        <a:xfrm>
          <a:off x="29354075" y="23968276"/>
          <a:ext cx="25989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646047DF-5538-7248-A195-EF3E5A563EB2}"/>
                </a:ext>
              </a:extLst>
            </xdr:cNvPr>
            <xdr:cNvSpPr txBox="1"/>
          </xdr:nvSpPr>
          <xdr:spPr>
            <a:xfrm>
              <a:off x="32141390" y="237501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5" name="TextBox 64">
              <a:extLst>
                <a:ext uri="{FF2B5EF4-FFF2-40B4-BE49-F238E27FC236}">
                  <a16:creationId xmlns:a16="http://schemas.microsoft.com/office/drawing/2014/main" id="{646047DF-5538-7248-A195-EF3E5A563EB2}"/>
                </a:ext>
              </a:extLst>
            </xdr:cNvPr>
            <xdr:cNvSpPr txBox="1"/>
          </xdr:nvSpPr>
          <xdr:spPr>
            <a:xfrm>
              <a:off x="32141390" y="237501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6" name="TextBox 65">
          <a:extLst>
            <a:ext uri="{FF2B5EF4-FFF2-40B4-BE49-F238E27FC236}">
              <a16:creationId xmlns:a16="http://schemas.microsoft.com/office/drawing/2014/main" id="{F7A6D4AE-0710-6240-9F09-9FAFB47DD330}"/>
            </a:ext>
          </a:extLst>
        </xdr:cNvPr>
        <xdr:cNvSpPr txBox="1"/>
      </xdr:nvSpPr>
      <xdr:spPr>
        <a:xfrm>
          <a:off x="25596111" y="24906766"/>
          <a:ext cx="6619063" cy="905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810845</xdr:colOff>
      <xdr:row>109</xdr:row>
      <xdr:rowOff>156307</xdr:rowOff>
    </xdr:from>
    <xdr:to>
      <xdr:col>33</xdr:col>
      <xdr:colOff>371230</xdr:colOff>
      <xdr:row>122</xdr:row>
      <xdr:rowOff>72292</xdr:rowOff>
    </xdr:to>
    <xdr:graphicFrame macro="">
      <xdr:nvGraphicFramePr>
        <xdr:cNvPr id="67" name="Chart 66">
          <a:extLst>
            <a:ext uri="{FF2B5EF4-FFF2-40B4-BE49-F238E27FC236}">
              <a16:creationId xmlns:a16="http://schemas.microsoft.com/office/drawing/2014/main" id="{458BCD60-8F13-1745-AAEC-54CF684AA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68" name="Straight Arrow Connector 67">
          <a:extLst>
            <a:ext uri="{FF2B5EF4-FFF2-40B4-BE49-F238E27FC236}">
              <a16:creationId xmlns:a16="http://schemas.microsoft.com/office/drawing/2014/main" id="{D5EA3DE7-6707-AE45-800F-018F3D8C9736}"/>
            </a:ext>
          </a:extLst>
        </xdr:cNvPr>
        <xdr:cNvCxnSpPr/>
      </xdr:nvCxnSpPr>
      <xdr:spPr>
        <a:xfrm>
          <a:off x="5909875" y="239682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2A628D99-8AA5-5A4E-88C3-76A2481D3B98}"/>
                </a:ext>
              </a:extLst>
            </xdr:cNvPr>
            <xdr:cNvSpPr txBox="1"/>
          </xdr:nvSpPr>
          <xdr:spPr>
            <a:xfrm>
              <a:off x="8900938" y="235116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69" name="TextBox 68">
              <a:extLst>
                <a:ext uri="{FF2B5EF4-FFF2-40B4-BE49-F238E27FC236}">
                  <a16:creationId xmlns:a16="http://schemas.microsoft.com/office/drawing/2014/main" id="{2A628D99-8AA5-5A4E-88C3-76A2481D3B98}"/>
                </a:ext>
              </a:extLst>
            </xdr:cNvPr>
            <xdr:cNvSpPr txBox="1"/>
          </xdr:nvSpPr>
          <xdr:spPr>
            <a:xfrm>
              <a:off x="8900938" y="235116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70" name="Rectangle 69">
          <a:extLst>
            <a:ext uri="{FF2B5EF4-FFF2-40B4-BE49-F238E27FC236}">
              <a16:creationId xmlns:a16="http://schemas.microsoft.com/office/drawing/2014/main" id="{4DF7A7DC-6B0A-8044-8221-459FA7420D32}"/>
            </a:ext>
          </a:extLst>
        </xdr:cNvPr>
        <xdr:cNvSpPr/>
      </xdr:nvSpPr>
      <xdr:spPr>
        <a:xfrm>
          <a:off x="11431081" y="233803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12</xdr:col>
      <xdr:colOff>779029</xdr:colOff>
      <xdr:row>95</xdr:row>
      <xdr:rowOff>45026</xdr:rowOff>
    </xdr:from>
    <xdr:ext cx="1488997" cy="778931"/>
    <mc:AlternateContent xmlns:mc="http://schemas.openxmlformats.org/markup-compatibility/2006" xmlns:a14="http://schemas.microsoft.com/office/drawing/2010/main">
      <mc:Choice Requires="a14">
        <xdr:sp macro="" textlink="">
          <xdr:nvSpPr>
            <xdr:cNvPr id="71" name="TextBox 70">
              <a:extLst>
                <a:ext uri="{FF2B5EF4-FFF2-40B4-BE49-F238E27FC236}">
                  <a16:creationId xmlns:a16="http://schemas.microsoft.com/office/drawing/2014/main" id="{EE048251-E313-FD45-B992-526121C86AA6}"/>
                </a:ext>
              </a:extLst>
            </xdr:cNvPr>
            <xdr:cNvSpPr txBox="1"/>
          </xdr:nvSpPr>
          <xdr:spPr>
            <a:xfrm>
              <a:off x="15053829" y="246830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71" name="TextBox 70">
              <a:extLst>
                <a:ext uri="{FF2B5EF4-FFF2-40B4-BE49-F238E27FC236}">
                  <a16:creationId xmlns:a16="http://schemas.microsoft.com/office/drawing/2014/main" id="{EE048251-E313-FD45-B992-526121C86AA6}"/>
                </a:ext>
              </a:extLst>
            </xdr:cNvPr>
            <xdr:cNvSpPr txBox="1"/>
          </xdr:nvSpPr>
          <xdr:spPr>
            <a:xfrm>
              <a:off x="15053829" y="246830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2B3EA77-D95E-0843-8FC7-4CE19D4413B6}"/>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832255A-D3A1-C348-9399-726B90B090AE}"/>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15F190-904F-A44D-9BC7-E9B1FE6E8CF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5715F190-904F-A44D-9BC7-E9B1FE6E8CF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841EC350-24B0-3D44-B634-A5F490872057}"/>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841EC350-24B0-3D44-B634-A5F490872057}"/>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6701C80-DF3F-AF42-87CA-4C6B56E73575}"/>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A4125E5-6920-974F-B77D-2F72F747D357}"/>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CA4125E5-6920-974F-B77D-2F72F747D357}"/>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5344F44D-63A9-954A-97B1-AE79D92CE397}"/>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5344F44D-63A9-954A-97B1-AE79D92CE397}"/>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3945526D-5F65-D542-95AA-40A5DB936623}"/>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50D971AD-93DF-BD49-861C-0C5E6DC04ED7}"/>
                </a:ext>
              </a:extLst>
            </xdr:cNvPr>
            <xdr:cNvSpPr/>
          </xdr:nvSpPr>
          <xdr:spPr>
            <a:xfrm>
              <a:off x="135744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50D971AD-93DF-BD49-861C-0C5E6DC04ED7}"/>
                </a:ext>
              </a:extLst>
            </xdr:cNvPr>
            <xdr:cNvSpPr/>
          </xdr:nvSpPr>
          <xdr:spPr>
            <a:xfrm>
              <a:off x="135744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A23949B1-51AD-8A48-9B83-8D77F34805DF}"/>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FDB12729-EAC7-F54F-A04B-F50703A9E8F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FDB12729-EAC7-F54F-A04B-F50703A9E8F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00B2111-BA24-9445-B663-B15219B5F631}"/>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A5992590-D16B-3340-A9B8-010D9EBB6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1003457</xdr:colOff>
      <xdr:row>107</xdr:row>
      <xdr:rowOff>266543</xdr:rowOff>
    </xdr:from>
    <xdr:to>
      <xdr:col>16</xdr:col>
      <xdr:colOff>31358</xdr:colOff>
      <xdr:row>124</xdr:row>
      <xdr:rowOff>50800</xdr:rowOff>
    </xdr:to>
    <xdr:graphicFrame macro="">
      <xdr:nvGraphicFramePr>
        <xdr:cNvPr id="15" name="Chart 14">
          <a:extLst>
            <a:ext uri="{FF2B5EF4-FFF2-40B4-BE49-F238E27FC236}">
              <a16:creationId xmlns:a16="http://schemas.microsoft.com/office/drawing/2014/main" id="{7EA4851C-B6FA-8641-B568-AFF87F738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139C7C17-DF24-7E45-B4AD-E40290D9AD8D}"/>
            </a:ext>
          </a:extLst>
        </xdr:cNvPr>
        <xdr:cNvCxnSpPr/>
      </xdr:nvCxnSpPr>
      <xdr:spPr>
        <a:xfrm>
          <a:off x="6002428" y="3327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71051EA0-D3DD-9141-953B-9D504589A855}"/>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17" name="TextBox 16">
              <a:extLst>
                <a:ext uri="{FF2B5EF4-FFF2-40B4-BE49-F238E27FC236}">
                  <a16:creationId xmlns:a16="http://schemas.microsoft.com/office/drawing/2014/main" id="{71051EA0-D3DD-9141-953B-9D504589A855}"/>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7CF582AF-5950-054D-BC3E-3D847EA51C84}"/>
            </a:ext>
          </a:extLst>
        </xdr:cNvPr>
        <xdr:cNvSpPr/>
      </xdr:nvSpPr>
      <xdr:spPr>
        <a:xfrm>
          <a:off x="8764154" y="329778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19" name="Rectangle 18">
              <a:extLst>
                <a:ext uri="{FF2B5EF4-FFF2-40B4-BE49-F238E27FC236}">
                  <a16:creationId xmlns:a16="http://schemas.microsoft.com/office/drawing/2014/main" id="{B7C85D4C-A7C6-1643-AE24-342B94ECD49A}"/>
                </a:ext>
              </a:extLst>
            </xdr:cNvPr>
            <xdr:cNvSpPr/>
          </xdr:nvSpPr>
          <xdr:spPr>
            <a:xfrm>
              <a:off x="13232880" y="32885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19" name="Rectangle 18">
              <a:extLst>
                <a:ext uri="{FF2B5EF4-FFF2-40B4-BE49-F238E27FC236}">
                  <a16:creationId xmlns:a16="http://schemas.microsoft.com/office/drawing/2014/main" id="{B7C85D4C-A7C6-1643-AE24-342B94ECD49A}"/>
                </a:ext>
              </a:extLst>
            </xdr:cNvPr>
            <xdr:cNvSpPr/>
          </xdr:nvSpPr>
          <xdr:spPr>
            <a:xfrm>
              <a:off x="13232880" y="32885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5BEBBE78-BF93-B848-B844-1E63D4CD4D5C}"/>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5BEBBE78-BF93-B848-B844-1E63D4CD4D5C}"/>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1" name="Rounded Rectangle 20">
          <a:extLst>
            <a:ext uri="{FF2B5EF4-FFF2-40B4-BE49-F238E27FC236}">
              <a16:creationId xmlns:a16="http://schemas.microsoft.com/office/drawing/2014/main" id="{D600F7F5-3BCB-A34A-8838-EB7206F32E0D}"/>
            </a:ext>
          </a:extLst>
        </xdr:cNvPr>
        <xdr:cNvSpPr/>
      </xdr:nvSpPr>
      <xdr:spPr>
        <a:xfrm>
          <a:off x="9334499" y="33553400"/>
          <a:ext cx="38426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8DD0EA6B-462A-7846-B9B2-E2D9402BC076}"/>
                </a:ext>
              </a:extLst>
            </xdr:cNvPr>
            <xdr:cNvSpPr txBox="1"/>
          </xdr:nvSpPr>
          <xdr:spPr>
            <a:xfrm>
              <a:off x="14119830" y="34329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2" name="TextBox 21">
              <a:extLst>
                <a:ext uri="{FF2B5EF4-FFF2-40B4-BE49-F238E27FC236}">
                  <a16:creationId xmlns:a16="http://schemas.microsoft.com/office/drawing/2014/main" id="{8DD0EA6B-462A-7846-B9B2-E2D9402BC076}"/>
                </a:ext>
              </a:extLst>
            </xdr:cNvPr>
            <xdr:cNvSpPr txBox="1"/>
          </xdr:nvSpPr>
          <xdr:spPr>
            <a:xfrm>
              <a:off x="14119830" y="34329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3" name="Curved Connector 22">
          <a:extLst>
            <a:ext uri="{FF2B5EF4-FFF2-40B4-BE49-F238E27FC236}">
              <a16:creationId xmlns:a16="http://schemas.microsoft.com/office/drawing/2014/main" id="{EDA3B37D-0608-9940-8B72-0DF4EE963451}"/>
            </a:ext>
          </a:extLst>
        </xdr:cNvPr>
        <xdr:cNvCxnSpPr>
          <a:endCxn id="22" idx="1"/>
        </xdr:cNvCxnSpPr>
      </xdr:nvCxnSpPr>
      <xdr:spPr>
        <a:xfrm rot="16200000" flipH="1">
          <a:off x="13583046" y="341889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4" name="Chart 23">
          <a:extLst>
            <a:ext uri="{FF2B5EF4-FFF2-40B4-BE49-F238E27FC236}">
              <a16:creationId xmlns:a16="http://schemas.microsoft.com/office/drawing/2014/main" id="{A81B713E-A08B-274B-B5E5-F2D454CDE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5" name="TextBox 24">
          <a:extLst>
            <a:ext uri="{FF2B5EF4-FFF2-40B4-BE49-F238E27FC236}">
              <a16:creationId xmlns:a16="http://schemas.microsoft.com/office/drawing/2014/main" id="{15F8A0E1-0C7F-8440-A29B-0696FC14840D}"/>
            </a:ext>
          </a:extLst>
        </xdr:cNvPr>
        <xdr:cNvSpPr txBox="1"/>
      </xdr:nvSpPr>
      <xdr:spPr>
        <a:xfrm>
          <a:off x="12442658" y="404880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6" name="Straight Arrow Connector 25">
          <a:extLst>
            <a:ext uri="{FF2B5EF4-FFF2-40B4-BE49-F238E27FC236}">
              <a16:creationId xmlns:a16="http://schemas.microsoft.com/office/drawing/2014/main" id="{8F468008-66C0-564F-B1F3-C3DD81C08BB8}"/>
            </a:ext>
          </a:extLst>
        </xdr:cNvPr>
        <xdr:cNvCxnSpPr/>
      </xdr:nvCxnSpPr>
      <xdr:spPr>
        <a:xfrm>
          <a:off x="6002428" y="42079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27" name="TextBox 26">
              <a:extLst>
                <a:ext uri="{FF2B5EF4-FFF2-40B4-BE49-F238E27FC236}">
                  <a16:creationId xmlns:a16="http://schemas.microsoft.com/office/drawing/2014/main" id="{7DE577E5-6F69-E64C-A00E-67C9DCA9249E}"/>
                </a:ext>
              </a:extLst>
            </xdr:cNvPr>
            <xdr:cNvSpPr txBox="1"/>
          </xdr:nvSpPr>
          <xdr:spPr>
            <a:xfrm>
              <a:off x="9506096" y="417046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27" name="TextBox 26">
              <a:extLst>
                <a:ext uri="{FF2B5EF4-FFF2-40B4-BE49-F238E27FC236}">
                  <a16:creationId xmlns:a16="http://schemas.microsoft.com/office/drawing/2014/main" id="{7DE577E5-6F69-E64C-A00E-67C9DCA9249E}"/>
                </a:ext>
              </a:extLst>
            </xdr:cNvPr>
            <xdr:cNvSpPr txBox="1"/>
          </xdr:nvSpPr>
          <xdr:spPr>
            <a:xfrm>
              <a:off x="9506096" y="417046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8" name="Rectangle 27">
          <a:extLst>
            <a:ext uri="{FF2B5EF4-FFF2-40B4-BE49-F238E27FC236}">
              <a16:creationId xmlns:a16="http://schemas.microsoft.com/office/drawing/2014/main" id="{D387DD6A-D80C-4D42-8075-218FD90D54C1}"/>
            </a:ext>
          </a:extLst>
        </xdr:cNvPr>
        <xdr:cNvSpPr/>
      </xdr:nvSpPr>
      <xdr:spPr>
        <a:xfrm>
          <a:off x="13557514" y="417821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9" name="Curved Connector 28">
          <a:extLst>
            <a:ext uri="{FF2B5EF4-FFF2-40B4-BE49-F238E27FC236}">
              <a16:creationId xmlns:a16="http://schemas.microsoft.com/office/drawing/2014/main" id="{5BE18586-B2FC-5D42-A3DF-1BF91F893532}"/>
            </a:ext>
          </a:extLst>
        </xdr:cNvPr>
        <xdr:cNvCxnSpPr/>
      </xdr:nvCxnSpPr>
      <xdr:spPr>
        <a:xfrm flipV="1">
          <a:off x="12408338" y="421040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44661C21-F01E-B440-86BC-52614D33DA05}"/>
                </a:ext>
              </a:extLst>
            </xdr:cNvPr>
            <xdr:cNvSpPr txBox="1"/>
          </xdr:nvSpPr>
          <xdr:spPr>
            <a:xfrm>
              <a:off x="14346767" y="431757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0" name="TextBox 29">
              <a:extLst>
                <a:ext uri="{FF2B5EF4-FFF2-40B4-BE49-F238E27FC236}">
                  <a16:creationId xmlns:a16="http://schemas.microsoft.com/office/drawing/2014/main" id="{44661C21-F01E-B440-86BC-52614D33DA05}"/>
                </a:ext>
              </a:extLst>
            </xdr:cNvPr>
            <xdr:cNvSpPr txBox="1"/>
          </xdr:nvSpPr>
          <xdr:spPr>
            <a:xfrm>
              <a:off x="14346767" y="431757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1" name="Curved Connector 30">
          <a:extLst>
            <a:ext uri="{FF2B5EF4-FFF2-40B4-BE49-F238E27FC236}">
              <a16:creationId xmlns:a16="http://schemas.microsoft.com/office/drawing/2014/main" id="{63D9D1A8-94C5-B643-9569-60476DC549F3}"/>
            </a:ext>
          </a:extLst>
        </xdr:cNvPr>
        <xdr:cNvCxnSpPr/>
      </xdr:nvCxnSpPr>
      <xdr:spPr>
        <a:xfrm>
          <a:off x="125075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2" name="Curved Connector 31">
          <a:extLst>
            <a:ext uri="{FF2B5EF4-FFF2-40B4-BE49-F238E27FC236}">
              <a16:creationId xmlns:a16="http://schemas.microsoft.com/office/drawing/2014/main" id="{06391A8D-4D8E-5442-90DF-EDA684A7F924}"/>
            </a:ext>
          </a:extLst>
        </xdr:cNvPr>
        <xdr:cNvCxnSpPr>
          <a:endCxn id="30" idx="1"/>
        </xdr:cNvCxnSpPr>
      </xdr:nvCxnSpPr>
      <xdr:spPr>
        <a:xfrm rot="16200000" flipH="1">
          <a:off x="13992648" y="430642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3D2AC808-DF77-314B-9F29-16BBDE25BF4F}"/>
                </a:ext>
              </a:extLst>
            </xdr:cNvPr>
            <xdr:cNvSpPr txBox="1"/>
          </xdr:nvSpPr>
          <xdr:spPr>
            <a:xfrm>
              <a:off x="10690773" y="424359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3" name="TextBox 32">
              <a:extLst>
                <a:ext uri="{FF2B5EF4-FFF2-40B4-BE49-F238E27FC236}">
                  <a16:creationId xmlns:a16="http://schemas.microsoft.com/office/drawing/2014/main" id="{3D2AC808-DF77-314B-9F29-16BBDE25BF4F}"/>
                </a:ext>
              </a:extLst>
            </xdr:cNvPr>
            <xdr:cNvSpPr txBox="1"/>
          </xdr:nvSpPr>
          <xdr:spPr>
            <a:xfrm>
              <a:off x="10690773" y="424359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4" name="Chart 33">
          <a:extLst>
            <a:ext uri="{FF2B5EF4-FFF2-40B4-BE49-F238E27FC236}">
              <a16:creationId xmlns:a16="http://schemas.microsoft.com/office/drawing/2014/main" id="{E5FEB289-657A-4647-B1F9-BED42261C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5" name="Straight Arrow Connector 34">
          <a:extLst>
            <a:ext uri="{FF2B5EF4-FFF2-40B4-BE49-F238E27FC236}">
              <a16:creationId xmlns:a16="http://schemas.microsoft.com/office/drawing/2014/main" id="{6EFAFDAA-CA79-6340-BAD4-ED01C3CF4D2A}"/>
            </a:ext>
          </a:extLst>
        </xdr:cNvPr>
        <xdr:cNvCxnSpPr/>
      </xdr:nvCxnSpPr>
      <xdr:spPr>
        <a:xfrm>
          <a:off x="6002428" y="50778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3F7A4A52-9379-8C47-B6D5-479572BFD5CD}"/>
                </a:ext>
              </a:extLst>
            </xdr:cNvPr>
            <xdr:cNvSpPr txBox="1"/>
          </xdr:nvSpPr>
          <xdr:spPr>
            <a:xfrm>
              <a:off x="8659887" y="51395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6" name="TextBox 35">
              <a:extLst>
                <a:ext uri="{FF2B5EF4-FFF2-40B4-BE49-F238E27FC236}">
                  <a16:creationId xmlns:a16="http://schemas.microsoft.com/office/drawing/2014/main" id="{3F7A4A52-9379-8C47-B6D5-479572BFD5CD}"/>
                </a:ext>
              </a:extLst>
            </xdr:cNvPr>
            <xdr:cNvSpPr txBox="1"/>
          </xdr:nvSpPr>
          <xdr:spPr>
            <a:xfrm>
              <a:off x="8659887" y="51395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37" name="TextBox 36">
              <a:extLst>
                <a:ext uri="{FF2B5EF4-FFF2-40B4-BE49-F238E27FC236}">
                  <a16:creationId xmlns:a16="http://schemas.microsoft.com/office/drawing/2014/main" id="{0B35A55D-763E-7944-9C1D-B4D9D00FD6E5}"/>
                </a:ext>
              </a:extLst>
            </xdr:cNvPr>
            <xdr:cNvSpPr txBox="1"/>
          </xdr:nvSpPr>
          <xdr:spPr>
            <a:xfrm>
              <a:off x="9186937" y="51905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37" name="TextBox 36">
              <a:extLst>
                <a:ext uri="{FF2B5EF4-FFF2-40B4-BE49-F238E27FC236}">
                  <a16:creationId xmlns:a16="http://schemas.microsoft.com/office/drawing/2014/main" id="{0B35A55D-763E-7944-9C1D-B4D9D00FD6E5}"/>
                </a:ext>
              </a:extLst>
            </xdr:cNvPr>
            <xdr:cNvSpPr txBox="1"/>
          </xdr:nvSpPr>
          <xdr:spPr>
            <a:xfrm>
              <a:off x="9186937" y="51905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38" name="TextBox 37">
              <a:extLst>
                <a:ext uri="{FF2B5EF4-FFF2-40B4-BE49-F238E27FC236}">
                  <a16:creationId xmlns:a16="http://schemas.microsoft.com/office/drawing/2014/main" id="{FE7A9853-D906-E743-862B-3F7881B5AB95}"/>
                </a:ext>
              </a:extLst>
            </xdr:cNvPr>
            <xdr:cNvSpPr txBox="1"/>
          </xdr:nvSpPr>
          <xdr:spPr>
            <a:xfrm>
              <a:off x="12880196" y="51820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8" name="TextBox 37">
              <a:extLst>
                <a:ext uri="{FF2B5EF4-FFF2-40B4-BE49-F238E27FC236}">
                  <a16:creationId xmlns:a16="http://schemas.microsoft.com/office/drawing/2014/main" id="{FE7A9853-D906-E743-862B-3F7881B5AB95}"/>
                </a:ext>
              </a:extLst>
            </xdr:cNvPr>
            <xdr:cNvSpPr txBox="1"/>
          </xdr:nvSpPr>
          <xdr:spPr>
            <a:xfrm>
              <a:off x="12880196" y="51820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9" name="TextBox 38">
          <a:extLst>
            <a:ext uri="{FF2B5EF4-FFF2-40B4-BE49-F238E27FC236}">
              <a16:creationId xmlns:a16="http://schemas.microsoft.com/office/drawing/2014/main" id="{07255777-B772-4D4C-9AD0-A4C0B5C80705}"/>
            </a:ext>
          </a:extLst>
        </xdr:cNvPr>
        <xdr:cNvSpPr txBox="1"/>
      </xdr:nvSpPr>
      <xdr:spPr>
        <a:xfrm>
          <a:off x="14124796" y="513524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0" name="Straight Arrow Connector 39">
          <a:extLst>
            <a:ext uri="{FF2B5EF4-FFF2-40B4-BE49-F238E27FC236}">
              <a16:creationId xmlns:a16="http://schemas.microsoft.com/office/drawing/2014/main" id="{2E3EDFD8-13FC-1B41-B7F3-9C4AFA861745}"/>
            </a:ext>
          </a:extLst>
        </xdr:cNvPr>
        <xdr:cNvCxnSpPr/>
      </xdr:nvCxnSpPr>
      <xdr:spPr>
        <a:xfrm flipH="1">
          <a:off x="9039469" y="510642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1" name="Straight Arrow Connector 40">
          <a:extLst>
            <a:ext uri="{FF2B5EF4-FFF2-40B4-BE49-F238E27FC236}">
              <a16:creationId xmlns:a16="http://schemas.microsoft.com/office/drawing/2014/main" id="{A5AE3945-F071-CA42-A337-E098B9265BC9}"/>
            </a:ext>
          </a:extLst>
        </xdr:cNvPr>
        <xdr:cNvCxnSpPr/>
      </xdr:nvCxnSpPr>
      <xdr:spPr>
        <a:xfrm flipH="1">
          <a:off x="10833100" y="510456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2" name="Straight Arrow Connector 41">
          <a:extLst>
            <a:ext uri="{FF2B5EF4-FFF2-40B4-BE49-F238E27FC236}">
              <a16:creationId xmlns:a16="http://schemas.microsoft.com/office/drawing/2014/main" id="{116CEF8B-02AF-7C48-9BBD-6A44E6E61B61}"/>
            </a:ext>
          </a:extLst>
        </xdr:cNvPr>
        <xdr:cNvCxnSpPr/>
      </xdr:nvCxnSpPr>
      <xdr:spPr>
        <a:xfrm>
          <a:off x="12124103" y="510520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3" name="Straight Arrow Connector 42">
          <a:extLst>
            <a:ext uri="{FF2B5EF4-FFF2-40B4-BE49-F238E27FC236}">
              <a16:creationId xmlns:a16="http://schemas.microsoft.com/office/drawing/2014/main" id="{A076976E-A7F4-974E-9DB4-887F7CDEC864}"/>
            </a:ext>
          </a:extLst>
        </xdr:cNvPr>
        <xdr:cNvCxnSpPr/>
      </xdr:nvCxnSpPr>
      <xdr:spPr>
        <a:xfrm>
          <a:off x="13314974" y="510459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4" name="Rectangle 43">
          <a:extLst>
            <a:ext uri="{FF2B5EF4-FFF2-40B4-BE49-F238E27FC236}">
              <a16:creationId xmlns:a16="http://schemas.microsoft.com/office/drawing/2014/main" id="{B8F2FF6E-9FDE-3345-848A-1776AC6700F6}"/>
            </a:ext>
          </a:extLst>
        </xdr:cNvPr>
        <xdr:cNvSpPr/>
      </xdr:nvSpPr>
      <xdr:spPr>
        <a:xfrm>
          <a:off x="14678661" y="508812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5" name="Chart 44">
          <a:extLst>
            <a:ext uri="{FF2B5EF4-FFF2-40B4-BE49-F238E27FC236}">
              <a16:creationId xmlns:a16="http://schemas.microsoft.com/office/drawing/2014/main" id="{7468D47F-3BD1-A04D-A320-065F5EDC2E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6" name="Straight Arrow Connector 45">
          <a:extLst>
            <a:ext uri="{FF2B5EF4-FFF2-40B4-BE49-F238E27FC236}">
              <a16:creationId xmlns:a16="http://schemas.microsoft.com/office/drawing/2014/main" id="{DE42DCF6-E002-6949-BE66-1070F35AA971}"/>
            </a:ext>
          </a:extLst>
        </xdr:cNvPr>
        <xdr:cNvCxnSpPr/>
      </xdr:nvCxnSpPr>
      <xdr:spPr>
        <a:xfrm>
          <a:off x="6002428" y="60697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3E72BCD4-0CDF-454D-BC3E-C6F182695371}"/>
                </a:ext>
              </a:extLst>
            </xdr:cNvPr>
            <xdr:cNvSpPr txBox="1"/>
          </xdr:nvSpPr>
          <xdr:spPr>
            <a:xfrm>
              <a:off x="7988516" y="61433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47" name="TextBox 46">
              <a:extLst>
                <a:ext uri="{FF2B5EF4-FFF2-40B4-BE49-F238E27FC236}">
                  <a16:creationId xmlns:a16="http://schemas.microsoft.com/office/drawing/2014/main" id="{3E72BCD4-0CDF-454D-BC3E-C6F182695371}"/>
                </a:ext>
              </a:extLst>
            </xdr:cNvPr>
            <xdr:cNvSpPr txBox="1"/>
          </xdr:nvSpPr>
          <xdr:spPr>
            <a:xfrm>
              <a:off x="7988516" y="61433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C24E2D6-CD85-CA4E-BE75-D75B33910509}"/>
                </a:ext>
              </a:extLst>
            </xdr:cNvPr>
            <xdr:cNvSpPr txBox="1"/>
          </xdr:nvSpPr>
          <xdr:spPr>
            <a:xfrm>
              <a:off x="8984037" y="61999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48" name="TextBox 47">
              <a:extLst>
                <a:ext uri="{FF2B5EF4-FFF2-40B4-BE49-F238E27FC236}">
                  <a16:creationId xmlns:a16="http://schemas.microsoft.com/office/drawing/2014/main" id="{0C24E2D6-CD85-CA4E-BE75-D75B33910509}"/>
                </a:ext>
              </a:extLst>
            </xdr:cNvPr>
            <xdr:cNvSpPr txBox="1"/>
          </xdr:nvSpPr>
          <xdr:spPr>
            <a:xfrm>
              <a:off x="8984037" y="61999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49" name="TextBox 48">
              <a:extLst>
                <a:ext uri="{FF2B5EF4-FFF2-40B4-BE49-F238E27FC236}">
                  <a16:creationId xmlns:a16="http://schemas.microsoft.com/office/drawing/2014/main" id="{C16640CB-0D0C-7E41-8EE2-F71C3B2CC0E9}"/>
                </a:ext>
              </a:extLst>
            </xdr:cNvPr>
            <xdr:cNvSpPr txBox="1"/>
          </xdr:nvSpPr>
          <xdr:spPr>
            <a:xfrm>
              <a:off x="12880195" y="61726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49" name="TextBox 48">
              <a:extLst>
                <a:ext uri="{FF2B5EF4-FFF2-40B4-BE49-F238E27FC236}">
                  <a16:creationId xmlns:a16="http://schemas.microsoft.com/office/drawing/2014/main" id="{C16640CB-0D0C-7E41-8EE2-F71C3B2CC0E9}"/>
                </a:ext>
              </a:extLst>
            </xdr:cNvPr>
            <xdr:cNvSpPr txBox="1"/>
          </xdr:nvSpPr>
          <xdr:spPr>
            <a:xfrm>
              <a:off x="12880195" y="61726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F6307CD7-433A-2F48-9B11-1B8DB9AECD2F}"/>
                </a:ext>
              </a:extLst>
            </xdr:cNvPr>
            <xdr:cNvSpPr txBox="1"/>
          </xdr:nvSpPr>
          <xdr:spPr>
            <a:xfrm>
              <a:off x="14124796" y="61271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0" name="TextBox 49">
              <a:extLst>
                <a:ext uri="{FF2B5EF4-FFF2-40B4-BE49-F238E27FC236}">
                  <a16:creationId xmlns:a16="http://schemas.microsoft.com/office/drawing/2014/main" id="{F6307CD7-433A-2F48-9B11-1B8DB9AECD2F}"/>
                </a:ext>
              </a:extLst>
            </xdr:cNvPr>
            <xdr:cNvSpPr txBox="1"/>
          </xdr:nvSpPr>
          <xdr:spPr>
            <a:xfrm>
              <a:off x="14124796" y="61271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1" name="Straight Arrow Connector 50">
          <a:extLst>
            <a:ext uri="{FF2B5EF4-FFF2-40B4-BE49-F238E27FC236}">
              <a16:creationId xmlns:a16="http://schemas.microsoft.com/office/drawing/2014/main" id="{4E3CD3E9-F530-E849-911E-DF4BECA59B05}"/>
            </a:ext>
          </a:extLst>
        </xdr:cNvPr>
        <xdr:cNvCxnSpPr/>
      </xdr:nvCxnSpPr>
      <xdr:spPr>
        <a:xfrm flipH="1">
          <a:off x="9039469" y="60982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2" name="Straight Arrow Connector 51">
          <a:extLst>
            <a:ext uri="{FF2B5EF4-FFF2-40B4-BE49-F238E27FC236}">
              <a16:creationId xmlns:a16="http://schemas.microsoft.com/office/drawing/2014/main" id="{C4966E69-7752-294B-8E36-190CCBEC2128}"/>
            </a:ext>
          </a:extLst>
        </xdr:cNvPr>
        <xdr:cNvCxnSpPr/>
      </xdr:nvCxnSpPr>
      <xdr:spPr>
        <a:xfrm flipH="1">
          <a:off x="10760507" y="609643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3" name="Straight Arrow Connector 52">
          <a:extLst>
            <a:ext uri="{FF2B5EF4-FFF2-40B4-BE49-F238E27FC236}">
              <a16:creationId xmlns:a16="http://schemas.microsoft.com/office/drawing/2014/main" id="{3854170A-0D13-F643-90AA-5A20290322D7}"/>
            </a:ext>
          </a:extLst>
        </xdr:cNvPr>
        <xdr:cNvCxnSpPr/>
      </xdr:nvCxnSpPr>
      <xdr:spPr>
        <a:xfrm>
          <a:off x="12124103" y="609707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4" name="Straight Arrow Connector 53">
          <a:extLst>
            <a:ext uri="{FF2B5EF4-FFF2-40B4-BE49-F238E27FC236}">
              <a16:creationId xmlns:a16="http://schemas.microsoft.com/office/drawing/2014/main" id="{1BE5B337-9E9E-934B-90E2-63653D8775D6}"/>
            </a:ext>
          </a:extLst>
        </xdr:cNvPr>
        <xdr:cNvCxnSpPr/>
      </xdr:nvCxnSpPr>
      <xdr:spPr>
        <a:xfrm>
          <a:off x="13314974" y="609646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5" name="CasellaDiTesto 25">
              <a:extLst>
                <a:ext uri="{FF2B5EF4-FFF2-40B4-BE49-F238E27FC236}">
                  <a16:creationId xmlns:a16="http://schemas.microsoft.com/office/drawing/2014/main" id="{A1F6932A-13A7-4949-9F52-0A9E6CBBCE27}"/>
                </a:ext>
              </a:extLst>
            </xdr:cNvPr>
            <xdr:cNvSpPr txBox="1"/>
          </xdr:nvSpPr>
          <xdr:spPr>
            <a:xfrm>
              <a:off x="7294032" y="61023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5" name="CasellaDiTesto 25">
              <a:extLst>
                <a:ext uri="{FF2B5EF4-FFF2-40B4-BE49-F238E27FC236}">
                  <a16:creationId xmlns:a16="http://schemas.microsoft.com/office/drawing/2014/main" id="{A1F6932A-13A7-4949-9F52-0A9E6CBBCE27}"/>
                </a:ext>
              </a:extLst>
            </xdr:cNvPr>
            <xdr:cNvSpPr txBox="1"/>
          </xdr:nvSpPr>
          <xdr:spPr>
            <a:xfrm>
              <a:off x="7294032" y="61023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6" name="Curved Connector 55">
          <a:extLst>
            <a:ext uri="{FF2B5EF4-FFF2-40B4-BE49-F238E27FC236}">
              <a16:creationId xmlns:a16="http://schemas.microsoft.com/office/drawing/2014/main" id="{8C57316D-456B-994C-988A-9D8850BCB2EC}"/>
            </a:ext>
          </a:extLst>
        </xdr:cNvPr>
        <xdr:cNvCxnSpPr>
          <a:endCxn id="47" idx="0"/>
        </xdr:cNvCxnSpPr>
      </xdr:nvCxnSpPr>
      <xdr:spPr>
        <a:xfrm>
          <a:off x="8301567" y="611166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7" name="Chart 56">
          <a:extLst>
            <a:ext uri="{FF2B5EF4-FFF2-40B4-BE49-F238E27FC236}">
              <a16:creationId xmlns:a16="http://schemas.microsoft.com/office/drawing/2014/main" id="{1796FD31-E143-0643-B822-8EA1252F1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C090E238-F0AF-9242-9963-9318796E70EE}"/>
                </a:ext>
              </a:extLst>
            </xdr:cNvPr>
            <xdr:cNvSpPr txBox="1"/>
          </xdr:nvSpPr>
          <xdr:spPr>
            <a:xfrm>
              <a:off x="13457050" y="618634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58" name="TextBox 57">
              <a:extLst>
                <a:ext uri="{FF2B5EF4-FFF2-40B4-BE49-F238E27FC236}">
                  <a16:creationId xmlns:a16="http://schemas.microsoft.com/office/drawing/2014/main" id="{C090E238-F0AF-9242-9963-9318796E70EE}"/>
                </a:ext>
              </a:extLst>
            </xdr:cNvPr>
            <xdr:cNvSpPr txBox="1"/>
          </xdr:nvSpPr>
          <xdr:spPr>
            <a:xfrm>
              <a:off x="13457050" y="618634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F7A9324A-C73F-8645-ABDE-EBAD277908B6}"/>
                </a:ext>
              </a:extLst>
            </xdr:cNvPr>
            <xdr:cNvSpPr txBox="1"/>
          </xdr:nvSpPr>
          <xdr:spPr>
            <a:xfrm>
              <a:off x="6178486" y="447175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NH2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mlns="">
        <xdr:sp macro="" textlink="">
          <xdr:nvSpPr>
            <xdr:cNvPr id="59" name="TextBox 58">
              <a:extLst>
                <a:ext uri="{FF2B5EF4-FFF2-40B4-BE49-F238E27FC236}">
                  <a16:creationId xmlns:a16="http://schemas.microsoft.com/office/drawing/2014/main" id="{F7A9324A-C73F-8645-ABDE-EBAD277908B6}"/>
                </a:ext>
              </a:extLst>
            </xdr:cNvPr>
            <xdr:cNvSpPr txBox="1"/>
          </xdr:nvSpPr>
          <xdr:spPr>
            <a:xfrm>
              <a:off x="6178486" y="447175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NH2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16</xdr:col>
      <xdr:colOff>1577878</xdr:colOff>
      <xdr:row>55</xdr:row>
      <xdr:rowOff>0</xdr:rowOff>
    </xdr:from>
    <xdr:to>
      <xdr:col>17</xdr:col>
      <xdr:colOff>1039091</xdr:colOff>
      <xdr:row>195</xdr:row>
      <xdr:rowOff>153939</xdr:rowOff>
    </xdr:to>
    <xdr:sp macro="" textlink="">
      <xdr:nvSpPr>
        <xdr:cNvPr id="60" name="Right Brace 59">
          <a:extLst>
            <a:ext uri="{FF2B5EF4-FFF2-40B4-BE49-F238E27FC236}">
              <a16:creationId xmlns:a16="http://schemas.microsoft.com/office/drawing/2014/main" id="{D3B75FEB-1D85-2D4A-8A8A-8323D58A0C19}"/>
            </a:ext>
          </a:extLst>
        </xdr:cNvPr>
        <xdr:cNvSpPr/>
      </xdr:nvSpPr>
      <xdr:spPr>
        <a:xfrm>
          <a:off x="21707378" y="14897100"/>
          <a:ext cx="1061413" cy="352313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1" name="Straight Arrow Connector 60">
          <a:extLst>
            <a:ext uri="{FF2B5EF4-FFF2-40B4-BE49-F238E27FC236}">
              <a16:creationId xmlns:a16="http://schemas.microsoft.com/office/drawing/2014/main" id="{25D34F01-2140-6246-99A5-0978BFD386E4}"/>
            </a:ext>
          </a:extLst>
        </xdr:cNvPr>
        <xdr:cNvCxnSpPr/>
      </xdr:nvCxnSpPr>
      <xdr:spPr>
        <a:xfrm>
          <a:off x="287952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E3157A36-D839-6F43-9E6D-259B2DCE1582}"/>
                </a:ext>
              </a:extLst>
            </xdr:cNvPr>
            <xdr:cNvSpPr txBox="1"/>
          </xdr:nvSpPr>
          <xdr:spPr>
            <a:xfrm>
              <a:off x="312650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2" name="TextBox 61">
              <a:extLst>
                <a:ext uri="{FF2B5EF4-FFF2-40B4-BE49-F238E27FC236}">
                  <a16:creationId xmlns:a16="http://schemas.microsoft.com/office/drawing/2014/main" id="{E3157A36-D839-6F43-9E6D-259B2DCE1582}"/>
                </a:ext>
              </a:extLst>
            </xdr:cNvPr>
            <xdr:cNvSpPr txBox="1"/>
          </xdr:nvSpPr>
          <xdr:spPr>
            <a:xfrm>
              <a:off x="312650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3" name="TextBox 62">
          <a:extLst>
            <a:ext uri="{FF2B5EF4-FFF2-40B4-BE49-F238E27FC236}">
              <a16:creationId xmlns:a16="http://schemas.microsoft.com/office/drawing/2014/main" id="{CE057D02-A83B-504C-BBB3-6D3C16BB2FF5}"/>
            </a:ext>
          </a:extLst>
        </xdr:cNvPr>
        <xdr:cNvSpPr txBox="1"/>
      </xdr:nvSpPr>
      <xdr:spPr>
        <a:xfrm>
          <a:off x="257612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4" name="Chart 63">
          <a:extLst>
            <a:ext uri="{FF2B5EF4-FFF2-40B4-BE49-F238E27FC236}">
              <a16:creationId xmlns:a16="http://schemas.microsoft.com/office/drawing/2014/main" id="{5B4FCC30-0551-C044-963B-65E0D67BE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65" name="Straight Arrow Connector 64">
          <a:extLst>
            <a:ext uri="{FF2B5EF4-FFF2-40B4-BE49-F238E27FC236}">
              <a16:creationId xmlns:a16="http://schemas.microsoft.com/office/drawing/2014/main" id="{BFB12A96-A0CC-434D-AB57-58DA1AD3253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xmlns:a14="http://schemas.microsoft.com/office/drawing/2010/main">
      <mc:Choice Requires="a14">
        <xdr:sp macro="" textlink="">
          <xdr:nvSpPr>
            <xdr:cNvPr id="66" name="TextBox 65">
              <a:extLst>
                <a:ext uri="{FF2B5EF4-FFF2-40B4-BE49-F238E27FC236}">
                  <a16:creationId xmlns:a16="http://schemas.microsoft.com/office/drawing/2014/main" id="{08FA7FB4-50F3-DE48-BC0C-7AE6C6522CC5}"/>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66" name="TextBox 65">
              <a:extLst>
                <a:ext uri="{FF2B5EF4-FFF2-40B4-BE49-F238E27FC236}">
                  <a16:creationId xmlns:a16="http://schemas.microsoft.com/office/drawing/2014/main" id="{08FA7FB4-50F3-DE48-BC0C-7AE6C6522CC5}"/>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67" name="Rectangle 66">
          <a:extLst>
            <a:ext uri="{FF2B5EF4-FFF2-40B4-BE49-F238E27FC236}">
              <a16:creationId xmlns:a16="http://schemas.microsoft.com/office/drawing/2014/main" id="{B6E6668F-46CB-A84C-8C02-D50BEF460E01}"/>
            </a:ext>
          </a:extLst>
        </xdr:cNvPr>
        <xdr:cNvSpPr/>
      </xdr:nvSpPr>
      <xdr:spPr>
        <a:xfrm>
          <a:off x="121422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13</xdr:col>
      <xdr:colOff>372629</xdr:colOff>
      <xdr:row>92</xdr:row>
      <xdr:rowOff>95826</xdr:rowOff>
    </xdr:from>
    <xdr:ext cx="1488997" cy="778931"/>
    <mc:AlternateContent xmlns:mc="http://schemas.openxmlformats.org/markup-compatibility/2006" xmlns:a14="http://schemas.microsoft.com/office/drawing/2010/main">
      <mc:Choice Requires="a14">
        <xdr:sp macro="" textlink="">
          <xdr:nvSpPr>
            <xdr:cNvPr id="68" name="TextBox 67">
              <a:extLst>
                <a:ext uri="{FF2B5EF4-FFF2-40B4-BE49-F238E27FC236}">
                  <a16:creationId xmlns:a16="http://schemas.microsoft.com/office/drawing/2014/main" id="{BC3E01E8-22C7-BD4B-A060-399203DE693A}"/>
                </a:ext>
              </a:extLst>
            </xdr:cNvPr>
            <xdr:cNvSpPr txBox="1"/>
          </xdr:nvSpPr>
          <xdr:spPr>
            <a:xfrm>
              <a:off x="165778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68" name="TextBox 67">
              <a:extLst>
                <a:ext uri="{FF2B5EF4-FFF2-40B4-BE49-F238E27FC236}">
                  <a16:creationId xmlns:a16="http://schemas.microsoft.com/office/drawing/2014/main" id="{BC3E01E8-22C7-BD4B-A060-399203DE693A}"/>
                </a:ext>
              </a:extLst>
            </xdr:cNvPr>
            <xdr:cNvSpPr txBox="1"/>
          </xdr:nvSpPr>
          <xdr:spPr>
            <a:xfrm>
              <a:off x="165778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2C0C3970-383D-5D41-898D-1C406D1D64FB}"/>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DA29547-6791-CE40-9CA9-3CAAFE9E63D2}"/>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76744AA4-67A3-BF46-8D0E-CA2D7669FF49}"/>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76744AA4-67A3-BF46-8D0E-CA2D7669FF49}"/>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DA974F06-8BAD-5643-B738-3FC7412E7CD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DA974F06-8BAD-5643-B738-3FC7412E7CD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F0134E78-B4E8-D342-8600-85CFBBB308C7}"/>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79AB4DE3-9DAA-BF43-8878-A9BCB3A04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79AB4DE3-9DAA-BF43-8878-A9BCB3A04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C71277A-9758-4B4A-9314-ADD8A852DAD5}"/>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DC71277A-9758-4B4A-9314-ADD8A852DAD5}"/>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B252DB3A-9E47-7F43-B1C8-8EEEF0979C28}"/>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A6EFC51B-BC02-BB4E-A125-94104CBA06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A6EFC51B-BC02-BB4E-A125-94104CBA06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8910AA9D-66AC-614A-936A-EBF2D72AF224}"/>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5B1105CD-C468-084C-AA7F-E01E28D7380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5B1105CD-C468-084C-AA7F-E01E28D7380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CDC5F40-FB44-3A40-A37C-4FDCE114D8C6}"/>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CAE4CDBC-B2DF-E241-A172-1C0D4F99F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558800</xdr:colOff>
      <xdr:row>107</xdr:row>
      <xdr:rowOff>228599</xdr:rowOff>
    </xdr:from>
    <xdr:to>
      <xdr:col>16</xdr:col>
      <xdr:colOff>30976</xdr:colOff>
      <xdr:row>124</xdr:row>
      <xdr:rowOff>50800</xdr:rowOff>
    </xdr:to>
    <xdr:graphicFrame macro="">
      <xdr:nvGraphicFramePr>
        <xdr:cNvPr id="15" name="Chart 14">
          <a:extLst>
            <a:ext uri="{FF2B5EF4-FFF2-40B4-BE49-F238E27FC236}">
              <a16:creationId xmlns:a16="http://schemas.microsoft.com/office/drawing/2014/main" id="{EE2B0F95-9635-9C4E-AE58-77034D413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6" name="Straight Arrow Connector 15">
          <a:extLst>
            <a:ext uri="{FF2B5EF4-FFF2-40B4-BE49-F238E27FC236}">
              <a16:creationId xmlns:a16="http://schemas.microsoft.com/office/drawing/2014/main" id="{45D8DF7C-AB32-E241-9C49-F658E5988DB4}"/>
            </a:ext>
          </a:extLst>
        </xdr:cNvPr>
        <xdr:cNvCxnSpPr/>
      </xdr:nvCxnSpPr>
      <xdr:spPr>
        <a:xfrm>
          <a:off x="6002428" y="3327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FCEC2A27-E960-654D-9D05-11054968929F}"/>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17" name="TextBox 16">
              <a:extLst>
                <a:ext uri="{FF2B5EF4-FFF2-40B4-BE49-F238E27FC236}">
                  <a16:creationId xmlns:a16="http://schemas.microsoft.com/office/drawing/2014/main" id="{FCEC2A27-E960-654D-9D05-11054968929F}"/>
                </a:ext>
              </a:extLst>
            </xdr:cNvPr>
            <xdr:cNvSpPr txBox="1"/>
          </xdr:nvSpPr>
          <xdr:spPr>
            <a:xfrm>
              <a:off x="9421430" y="32882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18" name="Left Brace 17">
          <a:extLst>
            <a:ext uri="{FF2B5EF4-FFF2-40B4-BE49-F238E27FC236}">
              <a16:creationId xmlns:a16="http://schemas.microsoft.com/office/drawing/2014/main" id="{F9BB80EE-930E-BF4B-99A4-9E2C388423DD}"/>
            </a:ext>
          </a:extLst>
        </xdr:cNvPr>
        <xdr:cNvSpPr/>
      </xdr:nvSpPr>
      <xdr:spPr>
        <a:xfrm>
          <a:off x="8764154" y="32977859"/>
          <a:ext cx="669348" cy="12347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128</xdr:row>
      <xdr:rowOff>228600</xdr:rowOff>
    </xdr:to>
    <mc:AlternateContent xmlns:mc="http://schemas.openxmlformats.org/markup-compatibility/2006" xmlns:a14="http://schemas.microsoft.com/office/drawing/2010/main">
      <mc:Choice Requires="a14">
        <xdr:sp macro="" textlink="">
          <xdr:nvSpPr>
            <xdr:cNvPr id="19" name="Rectangle 18">
              <a:extLst>
                <a:ext uri="{FF2B5EF4-FFF2-40B4-BE49-F238E27FC236}">
                  <a16:creationId xmlns:a16="http://schemas.microsoft.com/office/drawing/2014/main" id="{ADFAE449-D973-804D-963B-37A727881F48}"/>
                </a:ext>
              </a:extLst>
            </xdr:cNvPr>
            <xdr:cNvSpPr/>
          </xdr:nvSpPr>
          <xdr:spPr>
            <a:xfrm>
              <a:off x="12521680" y="32885535"/>
              <a:ext cx="4726253" cy="832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endParaRPr lang="en-US" sz="1100" b="0"/>
            </a:p>
          </xdr:txBody>
        </xdr:sp>
      </mc:Choice>
      <mc:Fallback xmlns="">
        <xdr:sp macro="" textlink="">
          <xdr:nvSpPr>
            <xdr:cNvPr id="19" name="Rectangle 18">
              <a:extLst>
                <a:ext uri="{FF2B5EF4-FFF2-40B4-BE49-F238E27FC236}">
                  <a16:creationId xmlns:a16="http://schemas.microsoft.com/office/drawing/2014/main" id="{ADFAE449-D973-804D-963B-37A727881F48}"/>
                </a:ext>
              </a:extLst>
            </xdr:cNvPr>
            <xdr:cNvSpPr/>
          </xdr:nvSpPr>
          <xdr:spPr>
            <a:xfrm>
              <a:off x="12521680" y="32885535"/>
              <a:ext cx="4726253" cy="832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CD146E4F-0B06-444D-9321-1E9D295322D9}"/>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CD146E4F-0B06-444D-9321-1E9D295322D9}"/>
                </a:ext>
              </a:extLst>
            </xdr:cNvPr>
            <xdr:cNvSpPr txBox="1"/>
          </xdr:nvSpPr>
          <xdr:spPr>
            <a:xfrm>
              <a:off x="9358575" y="33585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1168399</xdr:colOff>
      <xdr:row>125</xdr:row>
      <xdr:rowOff>50800</xdr:rowOff>
    </xdr:from>
    <xdr:to>
      <xdr:col>9</xdr:col>
      <xdr:colOff>266700</xdr:colOff>
      <xdr:row>128</xdr:row>
      <xdr:rowOff>50800</xdr:rowOff>
    </xdr:to>
    <xdr:sp macro="" textlink="">
      <xdr:nvSpPr>
        <xdr:cNvPr id="21" name="Rounded Rectangle 20">
          <a:extLst>
            <a:ext uri="{FF2B5EF4-FFF2-40B4-BE49-F238E27FC236}">
              <a16:creationId xmlns:a16="http://schemas.microsoft.com/office/drawing/2014/main" id="{38CA3145-04B2-AE4F-85C7-6456E4EDCC97}"/>
            </a:ext>
          </a:extLst>
        </xdr:cNvPr>
        <xdr:cNvSpPr/>
      </xdr:nvSpPr>
      <xdr:spPr>
        <a:xfrm>
          <a:off x="9182099" y="32753300"/>
          <a:ext cx="2070101"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2" name="Chart 21">
          <a:extLst>
            <a:ext uri="{FF2B5EF4-FFF2-40B4-BE49-F238E27FC236}">
              <a16:creationId xmlns:a16="http://schemas.microsoft.com/office/drawing/2014/main" id="{F8E14146-8EC7-6649-A3BC-12792D6CE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3" name="TextBox 22">
          <a:extLst>
            <a:ext uri="{FF2B5EF4-FFF2-40B4-BE49-F238E27FC236}">
              <a16:creationId xmlns:a16="http://schemas.microsoft.com/office/drawing/2014/main" id="{E9329B0F-23FB-9A4B-8028-CE6B471EBF24}"/>
            </a:ext>
          </a:extLst>
        </xdr:cNvPr>
        <xdr:cNvSpPr txBox="1"/>
      </xdr:nvSpPr>
      <xdr:spPr>
        <a:xfrm>
          <a:off x="11731458" y="405769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4" name="Straight Arrow Connector 23">
          <a:extLst>
            <a:ext uri="{FF2B5EF4-FFF2-40B4-BE49-F238E27FC236}">
              <a16:creationId xmlns:a16="http://schemas.microsoft.com/office/drawing/2014/main" id="{27BEA1B3-D451-0049-8CE8-7125ED0393FF}"/>
            </a:ext>
          </a:extLst>
        </xdr:cNvPr>
        <xdr:cNvCxnSpPr/>
      </xdr:nvCxnSpPr>
      <xdr:spPr>
        <a:xfrm>
          <a:off x="6002428" y="42168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5D82A40-9732-6C4A-8760-8CE4FEEFA348}"/>
                </a:ext>
              </a:extLst>
            </xdr:cNvPr>
            <xdr:cNvSpPr txBox="1"/>
          </xdr:nvSpPr>
          <xdr:spPr>
            <a:xfrm>
              <a:off x="9506096" y="41793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25" name="TextBox 24">
              <a:extLst>
                <a:ext uri="{FF2B5EF4-FFF2-40B4-BE49-F238E27FC236}">
                  <a16:creationId xmlns:a16="http://schemas.microsoft.com/office/drawing/2014/main" id="{05D82A40-9732-6C4A-8760-8CE4FEEFA348}"/>
                </a:ext>
              </a:extLst>
            </xdr:cNvPr>
            <xdr:cNvSpPr txBox="1"/>
          </xdr:nvSpPr>
          <xdr:spPr>
            <a:xfrm>
              <a:off x="9506096" y="41793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26" name="Rectangle 25">
          <a:extLst>
            <a:ext uri="{FF2B5EF4-FFF2-40B4-BE49-F238E27FC236}">
              <a16:creationId xmlns:a16="http://schemas.microsoft.com/office/drawing/2014/main" id="{5A59F2FE-16F2-7B48-AFE6-E31B448CA78A}"/>
            </a:ext>
          </a:extLst>
        </xdr:cNvPr>
        <xdr:cNvSpPr/>
      </xdr:nvSpPr>
      <xdr:spPr>
        <a:xfrm>
          <a:off x="12846314" y="418710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27" name="Curved Connector 26">
          <a:extLst>
            <a:ext uri="{FF2B5EF4-FFF2-40B4-BE49-F238E27FC236}">
              <a16:creationId xmlns:a16="http://schemas.microsoft.com/office/drawing/2014/main" id="{D641DE80-03EA-704F-BCE7-FD6F45468D29}"/>
            </a:ext>
          </a:extLst>
        </xdr:cNvPr>
        <xdr:cNvCxnSpPr/>
      </xdr:nvCxnSpPr>
      <xdr:spPr>
        <a:xfrm flipV="1">
          <a:off x="11697138" y="421929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28" name="TextBox 27">
              <a:extLst>
                <a:ext uri="{FF2B5EF4-FFF2-40B4-BE49-F238E27FC236}">
                  <a16:creationId xmlns:a16="http://schemas.microsoft.com/office/drawing/2014/main" id="{35205C78-F9FF-B647-AA48-C2D87F22177D}"/>
                </a:ext>
              </a:extLst>
            </xdr:cNvPr>
            <xdr:cNvSpPr txBox="1"/>
          </xdr:nvSpPr>
          <xdr:spPr>
            <a:xfrm>
              <a:off x="13635567" y="432646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28" name="TextBox 27">
              <a:extLst>
                <a:ext uri="{FF2B5EF4-FFF2-40B4-BE49-F238E27FC236}">
                  <a16:creationId xmlns:a16="http://schemas.microsoft.com/office/drawing/2014/main" id="{35205C78-F9FF-B647-AA48-C2D87F22177D}"/>
                </a:ext>
              </a:extLst>
            </xdr:cNvPr>
            <xdr:cNvSpPr txBox="1"/>
          </xdr:nvSpPr>
          <xdr:spPr>
            <a:xfrm>
              <a:off x="13635567" y="432646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29" name="Curved Connector 28">
          <a:extLst>
            <a:ext uri="{FF2B5EF4-FFF2-40B4-BE49-F238E27FC236}">
              <a16:creationId xmlns:a16="http://schemas.microsoft.com/office/drawing/2014/main" id="{4B101A4C-DDDC-C347-BE17-2BA04FDAB1B6}"/>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0" name="Curved Connector 29">
          <a:extLst>
            <a:ext uri="{FF2B5EF4-FFF2-40B4-BE49-F238E27FC236}">
              <a16:creationId xmlns:a16="http://schemas.microsoft.com/office/drawing/2014/main" id="{CBC28D94-40C6-F64F-A761-7F0454CC869C}"/>
            </a:ext>
          </a:extLst>
        </xdr:cNvPr>
        <xdr:cNvCxnSpPr>
          <a:endCxn id="28" idx="1"/>
        </xdr:cNvCxnSpPr>
      </xdr:nvCxnSpPr>
      <xdr:spPr>
        <a:xfrm rot="16200000" flipH="1">
          <a:off x="13281448" y="431531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1" name="TextBox 30">
              <a:extLst>
                <a:ext uri="{FF2B5EF4-FFF2-40B4-BE49-F238E27FC236}">
                  <a16:creationId xmlns:a16="http://schemas.microsoft.com/office/drawing/2014/main" id="{B717FFAA-83BD-AD4F-8767-B8FDF0C204A6}"/>
                </a:ext>
              </a:extLst>
            </xdr:cNvPr>
            <xdr:cNvSpPr txBox="1"/>
          </xdr:nvSpPr>
          <xdr:spPr>
            <a:xfrm>
              <a:off x="10195473" y="42524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1" name="TextBox 30">
              <a:extLst>
                <a:ext uri="{FF2B5EF4-FFF2-40B4-BE49-F238E27FC236}">
                  <a16:creationId xmlns:a16="http://schemas.microsoft.com/office/drawing/2014/main" id="{B717FFAA-83BD-AD4F-8767-B8FDF0C204A6}"/>
                </a:ext>
              </a:extLst>
            </xdr:cNvPr>
            <xdr:cNvSpPr txBox="1"/>
          </xdr:nvSpPr>
          <xdr:spPr>
            <a:xfrm>
              <a:off x="10195473" y="42524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2" name="Chart 31">
          <a:extLst>
            <a:ext uri="{FF2B5EF4-FFF2-40B4-BE49-F238E27FC236}">
              <a16:creationId xmlns:a16="http://schemas.microsoft.com/office/drawing/2014/main" id="{DC1D92C8-8EB4-8842-86A2-CA510657E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3" name="Straight Arrow Connector 32">
          <a:extLst>
            <a:ext uri="{FF2B5EF4-FFF2-40B4-BE49-F238E27FC236}">
              <a16:creationId xmlns:a16="http://schemas.microsoft.com/office/drawing/2014/main" id="{7D0556B5-7481-8B4D-8DB7-F899A9BAA5F5}"/>
            </a:ext>
          </a:extLst>
        </xdr:cNvPr>
        <xdr:cNvCxnSpPr/>
      </xdr:nvCxnSpPr>
      <xdr:spPr>
        <a:xfrm>
          <a:off x="6002428" y="50867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50D6E4A0-0DE2-FD47-94BE-F353D24C3BE4}"/>
                </a:ext>
              </a:extLst>
            </xdr:cNvPr>
            <xdr:cNvSpPr txBox="1"/>
          </xdr:nvSpPr>
          <xdr:spPr>
            <a:xfrm>
              <a:off x="8659887" y="51484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4" name="TextBox 33">
              <a:extLst>
                <a:ext uri="{FF2B5EF4-FFF2-40B4-BE49-F238E27FC236}">
                  <a16:creationId xmlns:a16="http://schemas.microsoft.com/office/drawing/2014/main" id="{50D6E4A0-0DE2-FD47-94BE-F353D24C3BE4}"/>
                </a:ext>
              </a:extLst>
            </xdr:cNvPr>
            <xdr:cNvSpPr txBox="1"/>
          </xdr:nvSpPr>
          <xdr:spPr>
            <a:xfrm>
              <a:off x="8659887" y="51484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35" name="TextBox 34">
              <a:extLst>
                <a:ext uri="{FF2B5EF4-FFF2-40B4-BE49-F238E27FC236}">
                  <a16:creationId xmlns:a16="http://schemas.microsoft.com/office/drawing/2014/main" id="{F6062F3B-DD48-B443-AA31-766093134E92}"/>
                </a:ext>
              </a:extLst>
            </xdr:cNvPr>
            <xdr:cNvSpPr txBox="1"/>
          </xdr:nvSpPr>
          <xdr:spPr>
            <a:xfrm>
              <a:off x="9186937" y="51994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35" name="TextBox 34">
              <a:extLst>
                <a:ext uri="{FF2B5EF4-FFF2-40B4-BE49-F238E27FC236}">
                  <a16:creationId xmlns:a16="http://schemas.microsoft.com/office/drawing/2014/main" id="{F6062F3B-DD48-B443-AA31-766093134E92}"/>
                </a:ext>
              </a:extLst>
            </xdr:cNvPr>
            <xdr:cNvSpPr txBox="1"/>
          </xdr:nvSpPr>
          <xdr:spPr>
            <a:xfrm>
              <a:off x="9186937" y="51994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36" name="TextBox 35">
          <a:extLst>
            <a:ext uri="{FF2B5EF4-FFF2-40B4-BE49-F238E27FC236}">
              <a16:creationId xmlns:a16="http://schemas.microsoft.com/office/drawing/2014/main" id="{12ACEB9D-BCFA-B94A-97B9-6C83CAEC587B}"/>
            </a:ext>
          </a:extLst>
        </xdr:cNvPr>
        <xdr:cNvSpPr txBox="1"/>
      </xdr:nvSpPr>
      <xdr:spPr>
        <a:xfrm>
          <a:off x="13413596" y="514413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37" name="Straight Arrow Connector 36">
          <a:extLst>
            <a:ext uri="{FF2B5EF4-FFF2-40B4-BE49-F238E27FC236}">
              <a16:creationId xmlns:a16="http://schemas.microsoft.com/office/drawing/2014/main" id="{1DA22E0A-A431-D544-BECE-478718CD6B53}"/>
            </a:ext>
          </a:extLst>
        </xdr:cNvPr>
        <xdr:cNvCxnSpPr/>
      </xdr:nvCxnSpPr>
      <xdr:spPr>
        <a:xfrm flipH="1">
          <a:off x="9039469" y="51153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38" name="Straight Arrow Connector 37">
          <a:extLst>
            <a:ext uri="{FF2B5EF4-FFF2-40B4-BE49-F238E27FC236}">
              <a16:creationId xmlns:a16="http://schemas.microsoft.com/office/drawing/2014/main" id="{944E630B-DC99-DA46-9666-F2D24A4AF473}"/>
            </a:ext>
          </a:extLst>
        </xdr:cNvPr>
        <xdr:cNvCxnSpPr/>
      </xdr:nvCxnSpPr>
      <xdr:spPr>
        <a:xfrm flipH="1">
          <a:off x="10337800" y="511345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39" name="Straight Arrow Connector 38">
          <a:extLst>
            <a:ext uri="{FF2B5EF4-FFF2-40B4-BE49-F238E27FC236}">
              <a16:creationId xmlns:a16="http://schemas.microsoft.com/office/drawing/2014/main" id="{1AA66086-63B9-7244-869B-59D54FAA92FC}"/>
            </a:ext>
          </a:extLst>
        </xdr:cNvPr>
        <xdr:cNvCxnSpPr/>
      </xdr:nvCxnSpPr>
      <xdr:spPr>
        <a:xfrm>
          <a:off x="11412903" y="511409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0" name="Straight Arrow Connector 39">
          <a:extLst>
            <a:ext uri="{FF2B5EF4-FFF2-40B4-BE49-F238E27FC236}">
              <a16:creationId xmlns:a16="http://schemas.microsoft.com/office/drawing/2014/main" id="{AE17A8D8-C9CE-C94D-AB0A-DF02EB29344D}"/>
            </a:ext>
          </a:extLst>
        </xdr:cNvPr>
        <xdr:cNvCxnSpPr/>
      </xdr:nvCxnSpPr>
      <xdr:spPr>
        <a:xfrm>
          <a:off x="12603774" y="511348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1" name="Rectangle 40">
          <a:extLst>
            <a:ext uri="{FF2B5EF4-FFF2-40B4-BE49-F238E27FC236}">
              <a16:creationId xmlns:a16="http://schemas.microsoft.com/office/drawing/2014/main" id="{83CC6DBB-C3AD-3B43-B6AA-FA5EC1CC975D}"/>
            </a:ext>
          </a:extLst>
        </xdr:cNvPr>
        <xdr:cNvSpPr/>
      </xdr:nvSpPr>
      <xdr:spPr>
        <a:xfrm>
          <a:off x="13967461" y="509701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2" name="Chart 41">
          <a:extLst>
            <a:ext uri="{FF2B5EF4-FFF2-40B4-BE49-F238E27FC236}">
              <a16:creationId xmlns:a16="http://schemas.microsoft.com/office/drawing/2014/main" id="{474F85FA-4405-6641-A45B-F3C4B0C97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3" name="Straight Arrow Connector 42">
          <a:extLst>
            <a:ext uri="{FF2B5EF4-FFF2-40B4-BE49-F238E27FC236}">
              <a16:creationId xmlns:a16="http://schemas.microsoft.com/office/drawing/2014/main" id="{FD8F673B-1967-4240-9D62-0BE504331267}"/>
            </a:ext>
          </a:extLst>
        </xdr:cNvPr>
        <xdr:cNvCxnSpPr/>
      </xdr:nvCxnSpPr>
      <xdr:spPr>
        <a:xfrm>
          <a:off x="6002428" y="60786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755F80AC-29E9-9245-92DC-D525E20FEA00}"/>
                </a:ext>
              </a:extLst>
            </xdr:cNvPr>
            <xdr:cNvSpPr txBox="1"/>
          </xdr:nvSpPr>
          <xdr:spPr>
            <a:xfrm>
              <a:off x="7988516" y="615224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44" name="TextBox 43">
              <a:extLst>
                <a:ext uri="{FF2B5EF4-FFF2-40B4-BE49-F238E27FC236}">
                  <a16:creationId xmlns:a16="http://schemas.microsoft.com/office/drawing/2014/main" id="{755F80AC-29E9-9245-92DC-D525E20FEA00}"/>
                </a:ext>
              </a:extLst>
            </xdr:cNvPr>
            <xdr:cNvSpPr txBox="1"/>
          </xdr:nvSpPr>
          <xdr:spPr>
            <a:xfrm>
              <a:off x="7988516" y="615224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974FC4A3-827D-A249-B1E2-12D176536FA0}"/>
                </a:ext>
              </a:extLst>
            </xdr:cNvPr>
            <xdr:cNvSpPr txBox="1"/>
          </xdr:nvSpPr>
          <xdr:spPr>
            <a:xfrm>
              <a:off x="8984037" y="620885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45" name="TextBox 44">
              <a:extLst>
                <a:ext uri="{FF2B5EF4-FFF2-40B4-BE49-F238E27FC236}">
                  <a16:creationId xmlns:a16="http://schemas.microsoft.com/office/drawing/2014/main" id="{974FC4A3-827D-A249-B1E2-12D176536FA0}"/>
                </a:ext>
              </a:extLst>
            </xdr:cNvPr>
            <xdr:cNvSpPr txBox="1"/>
          </xdr:nvSpPr>
          <xdr:spPr>
            <a:xfrm>
              <a:off x="8984037" y="620885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9FD5F055-9C17-174A-A927-02B2BF6719F8}"/>
                </a:ext>
              </a:extLst>
            </xdr:cNvPr>
            <xdr:cNvSpPr txBox="1"/>
          </xdr:nvSpPr>
          <xdr:spPr>
            <a:xfrm>
              <a:off x="12168995" y="618155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46" name="TextBox 45">
              <a:extLst>
                <a:ext uri="{FF2B5EF4-FFF2-40B4-BE49-F238E27FC236}">
                  <a16:creationId xmlns:a16="http://schemas.microsoft.com/office/drawing/2014/main" id="{9FD5F055-9C17-174A-A927-02B2BF6719F8}"/>
                </a:ext>
              </a:extLst>
            </xdr:cNvPr>
            <xdr:cNvSpPr txBox="1"/>
          </xdr:nvSpPr>
          <xdr:spPr>
            <a:xfrm>
              <a:off x="12168995" y="618155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2BE46E5E-DB16-1A41-9D08-D20956D81838}"/>
                </a:ext>
              </a:extLst>
            </xdr:cNvPr>
            <xdr:cNvSpPr txBox="1"/>
          </xdr:nvSpPr>
          <xdr:spPr>
            <a:xfrm>
              <a:off x="13413596" y="613600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47" name="TextBox 46">
              <a:extLst>
                <a:ext uri="{FF2B5EF4-FFF2-40B4-BE49-F238E27FC236}">
                  <a16:creationId xmlns:a16="http://schemas.microsoft.com/office/drawing/2014/main" id="{2BE46E5E-DB16-1A41-9D08-D20956D81838}"/>
                </a:ext>
              </a:extLst>
            </xdr:cNvPr>
            <xdr:cNvSpPr txBox="1"/>
          </xdr:nvSpPr>
          <xdr:spPr>
            <a:xfrm>
              <a:off x="13413596" y="613600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48" name="Straight Arrow Connector 47">
          <a:extLst>
            <a:ext uri="{FF2B5EF4-FFF2-40B4-BE49-F238E27FC236}">
              <a16:creationId xmlns:a16="http://schemas.microsoft.com/office/drawing/2014/main" id="{19566005-73F3-A741-8665-D2EDE3A5DEF9}"/>
            </a:ext>
          </a:extLst>
        </xdr:cNvPr>
        <xdr:cNvCxnSpPr/>
      </xdr:nvCxnSpPr>
      <xdr:spPr>
        <a:xfrm flipH="1">
          <a:off x="9039469" y="61071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49" name="Straight Arrow Connector 48">
          <a:extLst>
            <a:ext uri="{FF2B5EF4-FFF2-40B4-BE49-F238E27FC236}">
              <a16:creationId xmlns:a16="http://schemas.microsoft.com/office/drawing/2014/main" id="{E8566AF2-42E2-094D-8C4B-6702AA4264E6}"/>
            </a:ext>
          </a:extLst>
        </xdr:cNvPr>
        <xdr:cNvCxnSpPr/>
      </xdr:nvCxnSpPr>
      <xdr:spPr>
        <a:xfrm flipH="1">
          <a:off x="10265207" y="610532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0" name="Straight Arrow Connector 49">
          <a:extLst>
            <a:ext uri="{FF2B5EF4-FFF2-40B4-BE49-F238E27FC236}">
              <a16:creationId xmlns:a16="http://schemas.microsoft.com/office/drawing/2014/main" id="{283F82FB-90F8-C34F-87F7-9127191C22EC}"/>
            </a:ext>
          </a:extLst>
        </xdr:cNvPr>
        <xdr:cNvCxnSpPr/>
      </xdr:nvCxnSpPr>
      <xdr:spPr>
        <a:xfrm>
          <a:off x="11412903" y="610596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1" name="Straight Arrow Connector 50">
          <a:extLst>
            <a:ext uri="{FF2B5EF4-FFF2-40B4-BE49-F238E27FC236}">
              <a16:creationId xmlns:a16="http://schemas.microsoft.com/office/drawing/2014/main" id="{E645039A-BF14-E749-AC4A-CD7BBBAB7F27}"/>
            </a:ext>
          </a:extLst>
        </xdr:cNvPr>
        <xdr:cNvCxnSpPr/>
      </xdr:nvCxnSpPr>
      <xdr:spPr>
        <a:xfrm>
          <a:off x="12603774" y="610535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2" name="CasellaDiTesto 25">
              <a:extLst>
                <a:ext uri="{FF2B5EF4-FFF2-40B4-BE49-F238E27FC236}">
                  <a16:creationId xmlns:a16="http://schemas.microsoft.com/office/drawing/2014/main" id="{C2488CD1-85C5-454E-9AD5-35F339214ABE}"/>
                </a:ext>
              </a:extLst>
            </xdr:cNvPr>
            <xdr:cNvSpPr txBox="1"/>
          </xdr:nvSpPr>
          <xdr:spPr>
            <a:xfrm>
              <a:off x="7294032" y="611124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2" name="CasellaDiTesto 25">
              <a:extLst>
                <a:ext uri="{FF2B5EF4-FFF2-40B4-BE49-F238E27FC236}">
                  <a16:creationId xmlns:a16="http://schemas.microsoft.com/office/drawing/2014/main" id="{C2488CD1-85C5-454E-9AD5-35F339214ABE}"/>
                </a:ext>
              </a:extLst>
            </xdr:cNvPr>
            <xdr:cNvSpPr txBox="1"/>
          </xdr:nvSpPr>
          <xdr:spPr>
            <a:xfrm>
              <a:off x="7294032" y="611124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3" name="Curved Connector 52">
          <a:extLst>
            <a:ext uri="{FF2B5EF4-FFF2-40B4-BE49-F238E27FC236}">
              <a16:creationId xmlns:a16="http://schemas.microsoft.com/office/drawing/2014/main" id="{0D1983E8-FAF7-0541-A2F4-DBEE08C13EA0}"/>
            </a:ext>
          </a:extLst>
        </xdr:cNvPr>
        <xdr:cNvCxnSpPr>
          <a:endCxn id="44" idx="0"/>
        </xdr:cNvCxnSpPr>
      </xdr:nvCxnSpPr>
      <xdr:spPr>
        <a:xfrm>
          <a:off x="8301567" y="612055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54" name="Chart 53">
          <a:extLst>
            <a:ext uri="{FF2B5EF4-FFF2-40B4-BE49-F238E27FC236}">
              <a16:creationId xmlns:a16="http://schemas.microsoft.com/office/drawing/2014/main" id="{0F883D31-3608-584F-AAFA-3BDBA34C8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11</xdr:col>
      <xdr:colOff>147450</xdr:colOff>
      <xdr:row>244</xdr:row>
      <xdr:rowOff>90622</xdr:rowOff>
    </xdr:from>
    <xdr:ext cx="4580678" cy="776366"/>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69DC5A7A-2713-B448-A1BF-59E7D93E9474}"/>
                </a:ext>
              </a:extLst>
            </xdr:cNvPr>
            <xdr:cNvSpPr txBox="1"/>
          </xdr:nvSpPr>
          <xdr:spPr>
            <a:xfrm>
              <a:off x="13342750" y="61965022"/>
              <a:ext cx="4580678" cy="776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a:solidFill>
                    <a:srgbClr val="FF0000"/>
                  </a:solidFill>
                </a:rPr>
                <a:t>and</a:t>
              </a:r>
              <a14:m>
                <m:oMath xmlns:m="http://schemas.openxmlformats.org/officeDocument/2006/math">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a14:m>
              <a:endParaRPr lang="it-IT" sz="1400" b="0">
                <a:solidFill>
                  <a:srgbClr val="FF0000"/>
                </a:solidFill>
              </a:endParaRPr>
            </a:p>
            <a:p>
              <a:endParaRPr lang="en-US" sz="140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+1</m:t>
                          </m:r>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8</m:t>
                      </m:r>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ea typeface="Cambria Math" panose="02040503050406030204" pitchFamily="18" charset="0"/>
                            </a:rPr>
                            <m:t>𝜋</m:t>
                          </m:r>
                        </m:e>
                        <m:sup>
                          <m:r>
                            <a:rPr lang="it-IT" sz="1400" b="0" i="1">
                              <a:solidFill>
                                <a:srgbClr val="FF0000"/>
                              </a:solidFill>
                              <a:latin typeface="Cambria Math" panose="02040503050406030204" pitchFamily="18" charset="0"/>
                            </a:rPr>
                            <m:t>2</m:t>
                          </m:r>
                        </m:sup>
                      </m:sSup>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𝑘</m:t>
                          </m:r>
                        </m:e>
                        <m:sub>
                          <m:r>
                            <a:rPr lang="it-IT" sz="1400" b="0" i="1">
                              <a:solidFill>
                                <a:srgbClr val="FF0000"/>
                              </a:solidFill>
                              <a:latin typeface="Cambria Math" panose="02040503050406030204" pitchFamily="18" charset="0"/>
                            </a:rPr>
                            <m:t>𝑏</m:t>
                          </m:r>
                        </m:sub>
                      </m:sSub>
                      <m:r>
                        <a:rPr lang="it-IT" sz="1400" b="0" i="1">
                          <a:solidFill>
                            <a:srgbClr val="FF0000"/>
                          </a:solidFill>
                          <a:latin typeface="Cambria Math" panose="02040503050406030204" pitchFamily="18" charset="0"/>
                        </a:rPr>
                        <m:t>𝑇𝐼</m:t>
                      </m:r>
                    </m:num>
                    <m:den>
                      <m:r>
                        <a:rPr lang="it-IT" sz="1400" b="0" i="1">
                          <a:solidFill>
                            <a:srgbClr val="FF0000"/>
                          </a:solidFill>
                          <a:latin typeface="Cambria Math" panose="02040503050406030204" pitchFamily="18" charset="0"/>
                          <a:ea typeface="Cambria Math" panose="02040503050406030204" pitchFamily="18" charset="0"/>
                        </a:rPr>
                        <m:t>𝜎</m:t>
                      </m:r>
                      <m:sSup>
                        <m:sSupPr>
                          <m:ctrlPr>
                            <a:rPr lang="it-IT" sz="1400" b="0" i="1">
                              <a:solidFill>
                                <a:srgbClr val="FF0000"/>
                              </a:solidFill>
                              <a:latin typeface="Cambria Math" panose="02040503050406030204" pitchFamily="18" charset="0"/>
                              <a:ea typeface="Cambria Math" panose="02040503050406030204" pitchFamily="18" charset="0"/>
                            </a:rPr>
                          </m:ctrlPr>
                        </m:sSupPr>
                        <m:e>
                          <m:r>
                            <a:rPr lang="it-IT" sz="1400" b="0" i="1">
                              <a:solidFill>
                                <a:srgbClr val="FF0000"/>
                              </a:solidFill>
                              <a:latin typeface="Cambria Math" panose="02040503050406030204" pitchFamily="18" charset="0"/>
                              <a:ea typeface="Cambria Math" panose="02040503050406030204" pitchFamily="18" charset="0"/>
                            </a:rPr>
                            <m:t>h</m:t>
                          </m:r>
                        </m:e>
                        <m:sup>
                          <m:r>
                            <a:rPr lang="it-IT" sz="1400" b="0" i="1">
                              <a:solidFill>
                                <a:srgbClr val="FF0000"/>
                              </a:solidFill>
                              <a:latin typeface="Cambria Math" panose="02040503050406030204" pitchFamily="18" charset="0"/>
                              <a:ea typeface="Cambria Math" panose="02040503050406030204" pitchFamily="18" charset="0"/>
                            </a:rPr>
                            <m:t>2</m:t>
                          </m:r>
                        </m:sup>
                      </m:sSup>
                    </m:den>
                  </m:f>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xdr:txBody>
        </xdr:sp>
      </mc:Choice>
      <mc:Fallback xmlns="">
        <xdr:sp macro="" textlink="">
          <xdr:nvSpPr>
            <xdr:cNvPr id="55" name="TextBox 54">
              <a:extLst>
                <a:ext uri="{FF2B5EF4-FFF2-40B4-BE49-F238E27FC236}">
                  <a16:creationId xmlns:a16="http://schemas.microsoft.com/office/drawing/2014/main" id="{69DC5A7A-2713-B448-A1BF-59E7D93E9474}"/>
                </a:ext>
              </a:extLst>
            </xdr:cNvPr>
            <xdr:cNvSpPr txBox="1"/>
          </xdr:nvSpPr>
          <xdr:spPr>
            <a:xfrm>
              <a:off x="13342750" y="61965022"/>
              <a:ext cx="4580678" cy="7763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a:solidFill>
                    <a:srgbClr val="FF0000"/>
                  </a:solidFill>
                </a:rPr>
                <a:t>and</a:t>
              </a:r>
              <a:r>
                <a:rPr lang="it-IT" sz="1400" b="0" i="0">
                  <a:solidFill>
                    <a:srgbClr val="FF0000"/>
                  </a:solidFill>
                  <a:latin typeface="Cambria Math" panose="02040503050406030204" pitchFamily="18" charset="0"/>
                </a:rPr>
                <a:t>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pPr marL="0" marR="0" indent="0" defTabSz="914400" eaLnBrk="1" fontAlgn="auto" latinLnBrk="0" hangingPunct="1">
                <a:lnSpc>
                  <a:spcPct val="100000"/>
                </a:lnSpc>
                <a:spcBef>
                  <a:spcPts val="0"/>
                </a:spcBef>
                <a:spcAft>
                  <a:spcPts val="0"/>
                </a:spcAft>
                <a:buClrTx/>
                <a:buSzTx/>
                <a:buFontTx/>
                <a:buNone/>
                <a:tabLst/>
                <a:defRPr/>
              </a:pPr>
              <a:r>
                <a:rPr lang="it-IT" sz="1400" b="0" i="0">
                  <a:solidFill>
                    <a:srgbClr val="FF0000"/>
                  </a:solidFill>
                  <a:latin typeface="Cambria Math" panose="02040503050406030204" pitchFamily="18" charset="0"/>
                </a:rPr>
                <a:t>𝑅⁡(ln(𝑞_𝑟 )+1)</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𝑟=(8</a:t>
              </a:r>
              <a:r>
                <a:rPr lang="it-IT" sz="1400" b="0" i="0">
                  <a:solidFill>
                    <a:srgbClr val="FF0000"/>
                  </a:solidFill>
                  <a:latin typeface="Cambria Math" panose="02040503050406030204" pitchFamily="18" charset="0"/>
                  <a:ea typeface="Cambria Math" panose="02040503050406030204" pitchFamily="18" charset="0"/>
                </a:rPr>
                <a:t>𝜋^</a:t>
              </a:r>
              <a:r>
                <a:rPr lang="it-IT" sz="1400" b="0" i="0">
                  <a:solidFill>
                    <a:srgbClr val="FF0000"/>
                  </a:solidFill>
                  <a:latin typeface="Cambria Math" panose="02040503050406030204" pitchFamily="18" charset="0"/>
                </a:rPr>
                <a:t>2 𝑘_𝑏 𝑇𝐼)/(</a:t>
              </a:r>
              <a:r>
                <a:rPr lang="it-IT" sz="1400" b="0" i="0">
                  <a:solidFill>
                    <a:srgbClr val="FF0000"/>
                  </a:solidFill>
                  <a:latin typeface="Cambria Math" panose="02040503050406030204" pitchFamily="18" charset="0"/>
                  <a:ea typeface="Cambria Math" panose="02040503050406030204" pitchFamily="18" charset="0"/>
                </a:rPr>
                <a:t>𝜎ℎ^2 )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xdr:txBody>
        </xdr:sp>
      </mc:Fallback>
    </mc:AlternateContent>
    <xdr:clientData/>
  </xdr:oneCellAnchor>
  <xdr:twoCellAnchor>
    <xdr:from>
      <xdr:col>16</xdr:col>
      <xdr:colOff>1577878</xdr:colOff>
      <xdr:row>55</xdr:row>
      <xdr:rowOff>0</xdr:rowOff>
    </xdr:from>
    <xdr:to>
      <xdr:col>17</xdr:col>
      <xdr:colOff>1039091</xdr:colOff>
      <xdr:row>195</xdr:row>
      <xdr:rowOff>153939</xdr:rowOff>
    </xdr:to>
    <xdr:sp macro="" textlink="">
      <xdr:nvSpPr>
        <xdr:cNvPr id="56" name="Right Brace 55">
          <a:extLst>
            <a:ext uri="{FF2B5EF4-FFF2-40B4-BE49-F238E27FC236}">
              <a16:creationId xmlns:a16="http://schemas.microsoft.com/office/drawing/2014/main" id="{6668EDB2-66D7-0343-9C37-75DAF09058B4}"/>
            </a:ext>
          </a:extLst>
        </xdr:cNvPr>
        <xdr:cNvSpPr/>
      </xdr:nvSpPr>
      <xdr:spPr>
        <a:xfrm>
          <a:off x="20996178" y="14897100"/>
          <a:ext cx="1061413" cy="353202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57" name="Straight Arrow Connector 56">
          <a:extLst>
            <a:ext uri="{FF2B5EF4-FFF2-40B4-BE49-F238E27FC236}">
              <a16:creationId xmlns:a16="http://schemas.microsoft.com/office/drawing/2014/main" id="{C7E61064-90BB-4B42-966A-DFA768941414}"/>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DB2643D5-9947-7C43-B111-B2DD0B93B0D8}"/>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58" name="TextBox 57">
              <a:extLst>
                <a:ext uri="{FF2B5EF4-FFF2-40B4-BE49-F238E27FC236}">
                  <a16:creationId xmlns:a16="http://schemas.microsoft.com/office/drawing/2014/main" id="{DB2643D5-9947-7C43-B111-B2DD0B93B0D8}"/>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59" name="TextBox 58">
          <a:extLst>
            <a:ext uri="{FF2B5EF4-FFF2-40B4-BE49-F238E27FC236}">
              <a16:creationId xmlns:a16="http://schemas.microsoft.com/office/drawing/2014/main" id="{FAA79B4C-F5C9-254B-A9FA-1B329C949077}"/>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 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0" name="Chart 59">
          <a:extLst>
            <a:ext uri="{FF2B5EF4-FFF2-40B4-BE49-F238E27FC236}">
              <a16:creationId xmlns:a16="http://schemas.microsoft.com/office/drawing/2014/main" id="{98C4ABD8-071F-E743-BE99-73268FD9A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8486B12E-82D3-3946-9C45-D8F40C08617A}"/>
                </a:ext>
              </a:extLst>
            </xdr:cNvPr>
            <xdr:cNvSpPr txBox="1"/>
          </xdr:nvSpPr>
          <xdr:spPr>
            <a:xfrm>
              <a:off x="5869940" y="337743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mlns="">
        <xdr:sp macro="" textlink="">
          <xdr:nvSpPr>
            <xdr:cNvPr id="61" name="TextBox 60">
              <a:extLst>
                <a:ext uri="{FF2B5EF4-FFF2-40B4-BE49-F238E27FC236}">
                  <a16:creationId xmlns:a16="http://schemas.microsoft.com/office/drawing/2014/main" id="{8486B12E-82D3-3946-9C45-D8F40C08617A}"/>
                </a:ext>
              </a:extLst>
            </xdr:cNvPr>
            <xdr:cNvSpPr txBox="1"/>
          </xdr:nvSpPr>
          <xdr:spPr>
            <a:xfrm>
              <a:off x="5869940" y="337743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oneCellAnchor>
    <xdr:from>
      <xdr:col>9</xdr:col>
      <xdr:colOff>850474</xdr:colOff>
      <xdr:row>204</xdr:row>
      <xdr:rowOff>31451</xdr:rowOff>
    </xdr:from>
    <xdr:ext cx="282578" cy="278224"/>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C8C6DD95-0CD3-1D48-A7B0-08B5ED919110}"/>
                </a:ext>
              </a:extLst>
            </xdr:cNvPr>
            <xdr:cNvSpPr txBox="1"/>
          </xdr:nvSpPr>
          <xdr:spPr>
            <a:xfrm>
              <a:off x="11835974" y="52253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mlns="">
        <xdr:sp macro="" textlink="">
          <xdr:nvSpPr>
            <xdr:cNvPr id="62" name="TextBox 61">
              <a:extLst>
                <a:ext uri="{FF2B5EF4-FFF2-40B4-BE49-F238E27FC236}">
                  <a16:creationId xmlns:a16="http://schemas.microsoft.com/office/drawing/2014/main" id="{C8C6DD95-0CD3-1D48-A7B0-08B5ED919110}"/>
                </a:ext>
              </a:extLst>
            </xdr:cNvPr>
            <xdr:cNvSpPr txBox="1"/>
          </xdr:nvSpPr>
          <xdr:spPr>
            <a:xfrm>
              <a:off x="11835974" y="52253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twoCellAnchor>
    <xdr:from>
      <xdr:col>9</xdr:col>
      <xdr:colOff>745067</xdr:colOff>
      <xdr:row>203</xdr:row>
      <xdr:rowOff>95955</xdr:rowOff>
    </xdr:from>
    <xdr:to>
      <xdr:col>10</xdr:col>
      <xdr:colOff>118534</xdr:colOff>
      <xdr:row>205</xdr:row>
      <xdr:rowOff>141111</xdr:rowOff>
    </xdr:to>
    <xdr:sp macro="" textlink="">
      <xdr:nvSpPr>
        <xdr:cNvPr id="63" name="Oval 62">
          <a:extLst>
            <a:ext uri="{FF2B5EF4-FFF2-40B4-BE49-F238E27FC236}">
              <a16:creationId xmlns:a16="http://schemas.microsoft.com/office/drawing/2014/main" id="{75ED252F-83F1-B649-9FD6-0E7DBD624F22}"/>
            </a:ext>
          </a:extLst>
        </xdr:cNvPr>
        <xdr:cNvSpPr/>
      </xdr:nvSpPr>
      <xdr:spPr>
        <a:xfrm>
          <a:off x="11730567" y="52064355"/>
          <a:ext cx="491067" cy="5404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205</xdr:row>
      <xdr:rowOff>33868</xdr:rowOff>
    </xdr:from>
    <xdr:to>
      <xdr:col>12</xdr:col>
      <xdr:colOff>536224</xdr:colOff>
      <xdr:row>207</xdr:row>
      <xdr:rowOff>16933</xdr:rowOff>
    </xdr:to>
    <xdr:sp macro="" textlink="">
      <xdr:nvSpPr>
        <xdr:cNvPr id="64" name="Rectangle 63">
          <a:extLst>
            <a:ext uri="{FF2B5EF4-FFF2-40B4-BE49-F238E27FC236}">
              <a16:creationId xmlns:a16="http://schemas.microsoft.com/office/drawing/2014/main" id="{CD545D0C-9527-F34C-ADEC-3600A621BBC1}"/>
            </a:ext>
          </a:extLst>
        </xdr:cNvPr>
        <xdr:cNvSpPr/>
      </xdr:nvSpPr>
      <xdr:spPr>
        <a:xfrm>
          <a:off x="12407903" y="52497568"/>
          <a:ext cx="2403121" cy="465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oneCellAnchor>
    <xdr:from>
      <xdr:col>10</xdr:col>
      <xdr:colOff>11545</xdr:colOff>
      <xdr:row>252</xdr:row>
      <xdr:rowOff>115455</xdr:rowOff>
    </xdr:from>
    <xdr:ext cx="1638370" cy="434158"/>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9D57FEE8-CA07-BB4D-81C0-C311D3E51387}"/>
                </a:ext>
              </a:extLst>
            </xdr:cNvPr>
            <xdr:cNvSpPr txBox="1"/>
          </xdr:nvSpPr>
          <xdr:spPr>
            <a:xfrm>
              <a:off x="12114645" y="63920255"/>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5" name="TextBox 64">
              <a:extLst>
                <a:ext uri="{FF2B5EF4-FFF2-40B4-BE49-F238E27FC236}">
                  <a16:creationId xmlns:a16="http://schemas.microsoft.com/office/drawing/2014/main" id="{9D57FEE8-CA07-BB4D-81C0-C311D3E51387}"/>
                </a:ext>
              </a:extLst>
            </xdr:cNvPr>
            <xdr:cNvSpPr txBox="1"/>
          </xdr:nvSpPr>
          <xdr:spPr>
            <a:xfrm>
              <a:off x="12114645" y="63920255"/>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359975</xdr:colOff>
      <xdr:row>92</xdr:row>
      <xdr:rowOff>168476</xdr:rowOff>
    </xdr:from>
    <xdr:to>
      <xdr:col>6</xdr:col>
      <xdr:colOff>520551</xdr:colOff>
      <xdr:row>92</xdr:row>
      <xdr:rowOff>183073</xdr:rowOff>
    </xdr:to>
    <xdr:cxnSp macro="">
      <xdr:nvCxnSpPr>
        <xdr:cNvPr id="66" name="Straight Arrow Connector 65">
          <a:extLst>
            <a:ext uri="{FF2B5EF4-FFF2-40B4-BE49-F238E27FC236}">
              <a16:creationId xmlns:a16="http://schemas.microsoft.com/office/drawing/2014/main" id="{13F7842F-E464-5F40-931E-C301BDA9B2D1}"/>
            </a:ext>
          </a:extLst>
        </xdr:cNvPr>
        <xdr:cNvCxnSpPr/>
      </xdr:nvCxnSpPr>
      <xdr:spPr>
        <a:xfrm>
          <a:off x="5909875" y="240698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146100" cy="727379"/>
    <mc:AlternateContent xmlns:mc="http://schemas.openxmlformats.org/markup-compatibility/2006" xmlns:a14="http://schemas.microsoft.com/office/drawing/2010/main">
      <mc:Choice Requires="a14">
        <xdr:sp macro="" textlink="">
          <xdr:nvSpPr>
            <xdr:cNvPr id="67" name="TextBox 66">
              <a:extLst>
                <a:ext uri="{FF2B5EF4-FFF2-40B4-BE49-F238E27FC236}">
                  <a16:creationId xmlns:a16="http://schemas.microsoft.com/office/drawing/2014/main" id="{196F8DBC-C8F6-0042-9506-A990BA04384E}"/>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𝑣𝑖𝑏</m:t>
                        </m:r>
                      </m:sub>
                      <m:sup>
                        <m:r>
                          <a:rPr lang="it-IT" sz="1600" b="0" i="1">
                            <a:latin typeface="Cambria Math" panose="02040503050406030204" pitchFamily="18" charset="0"/>
                            <a:ea typeface="Cambria Math" panose="02040503050406030204" pitchFamily="18" charset="0"/>
                          </a:rPr>
                          <m:t>𝜐</m:t>
                        </m:r>
                        <m:r>
                          <a:rPr lang="it-IT" sz="1600" b="0" i="1">
                            <a:latin typeface="Cambria Math" panose="02040503050406030204" pitchFamily="18" charset="0"/>
                            <a:ea typeface="Cambria Math" panose="02040503050406030204" pitchFamily="18" charset="0"/>
                          </a:rPr>
                          <m:t>=0</m:t>
                        </m:r>
                      </m:sup>
                    </m:sSubSup>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r>
                              <a:rPr lang="it-IT" sz="1600" b="0" i="1">
                                <a:latin typeface="Cambria Math" panose="02040503050406030204" pitchFamily="18" charset="0"/>
                              </a:rPr>
                              <m:t>1</m:t>
                            </m:r>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67" name="TextBox 66">
              <a:extLst>
                <a:ext uri="{FF2B5EF4-FFF2-40B4-BE49-F238E27FC236}">
                  <a16:creationId xmlns:a16="http://schemas.microsoft.com/office/drawing/2014/main" id="{196F8DBC-C8F6-0042-9506-A990BA04384E}"/>
                </a:ext>
              </a:extLst>
            </xdr:cNvPr>
            <xdr:cNvSpPr txBox="1"/>
          </xdr:nvSpPr>
          <xdr:spPr>
            <a:xfrm>
              <a:off x="8900938" y="23613210"/>
              <a:ext cx="2146100" cy="7273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𝑄_𝑣𝑖𝑏^(</a:t>
              </a:r>
              <a:r>
                <a:rPr lang="it-IT" sz="1600" b="0" i="0">
                  <a:latin typeface="Cambria Math" panose="02040503050406030204" pitchFamily="18" charset="0"/>
                  <a:ea typeface="Cambria Math" panose="02040503050406030204" pitchFamily="18" charset="0"/>
                </a:rPr>
                <a:t>𝜐=0)</a:t>
              </a:r>
              <a:r>
                <a:rPr lang="it-IT" sz="1600" b="0" i="0">
                  <a:latin typeface="Cambria Math" panose="02040503050406030204" pitchFamily="18" charset="0"/>
                </a:rPr>
                <a:t>=∏_(𝑖=1)^(𝑁_𝑣𝑖𝑏)▒1/(1−𝑒^((−(ℎ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68" name="Rectangle 67">
          <a:extLst>
            <a:ext uri="{FF2B5EF4-FFF2-40B4-BE49-F238E27FC236}">
              <a16:creationId xmlns:a16="http://schemas.microsoft.com/office/drawing/2014/main" id="{CB713C26-AAC0-3443-812A-699C445E8AA7}"/>
            </a:ext>
          </a:extLst>
        </xdr:cNvPr>
        <xdr:cNvSpPr/>
      </xdr:nvSpPr>
      <xdr:spPr>
        <a:xfrm>
          <a:off x="11431081" y="234819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oneCellAnchor>
    <xdr:from>
      <xdr:col>13</xdr:col>
      <xdr:colOff>372629</xdr:colOff>
      <xdr:row>92</xdr:row>
      <xdr:rowOff>95826</xdr:rowOff>
    </xdr:from>
    <xdr:ext cx="1488997" cy="778931"/>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DAD74E4-30A8-D643-9F53-C3CDE19927D2}"/>
                </a:ext>
              </a:extLst>
            </xdr:cNvPr>
            <xdr:cNvSpPr txBox="1"/>
          </xdr:nvSpPr>
          <xdr:spPr>
            <a:xfrm>
              <a:off x="158666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69" name="TextBox 68">
              <a:extLst>
                <a:ext uri="{FF2B5EF4-FFF2-40B4-BE49-F238E27FC236}">
                  <a16:creationId xmlns:a16="http://schemas.microsoft.com/office/drawing/2014/main" id="{6DAD74E4-30A8-D643-9F53-C3CDE19927D2}"/>
                </a:ext>
              </a:extLst>
            </xdr:cNvPr>
            <xdr:cNvSpPr txBox="1"/>
          </xdr:nvSpPr>
          <xdr:spPr>
            <a:xfrm>
              <a:off x="15866629" y="239972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800" b="0" i="0">
                  <a:latin typeface="Cambria Math" panose="02040503050406030204" pitchFamily="18" charset="0"/>
                </a:rPr>
                <a:t>𝑍𝑃𝐸=∑24_(𝑖=1)^(𝑁_𝑣𝑖𝑏)▒(ℎ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5957E9E-1BD0-B24D-9DE1-AE71309DB3A8}"/>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5F95F7AD-6502-034A-A13B-6668AC50D759}"/>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BBD22AA-20A1-874B-BA7B-0ECDC3D6440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6BBD22AA-20A1-874B-BA7B-0ECDC3D6440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DF6B6F4-A2D9-6F48-8EB8-163BA43D494F}"/>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BDF6B6F4-A2D9-6F48-8EB8-163BA43D494F}"/>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F7C307E8-1855-B14D-81EA-1C21A5D4312D}"/>
            </a:ext>
          </a:extLst>
        </xdr:cNvPr>
        <xdr:cNvCxnSpPr/>
      </xdr:nvCxnSpPr>
      <xdr:spPr>
        <a:xfrm>
          <a:off x="6002428" y="1504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86930</xdr:colOff>
      <xdr:row>54</xdr:row>
      <xdr:rowOff>27468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50FB167A-C78F-2641-BB4B-C7EE7C397D5B}"/>
                </a:ext>
              </a:extLst>
            </xdr:cNvPr>
            <xdr:cNvSpPr txBox="1"/>
          </xdr:nvSpPr>
          <xdr:spPr>
            <a:xfrm>
              <a:off x="9383330" y="146832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50FB167A-C78F-2641-BB4B-C7EE7C397D5B}"/>
                </a:ext>
              </a:extLst>
            </xdr:cNvPr>
            <xdr:cNvSpPr txBox="1"/>
          </xdr:nvSpPr>
          <xdr:spPr>
            <a:xfrm>
              <a:off x="9383330" y="146832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130190</xdr:colOff>
      <xdr:row>57</xdr:row>
      <xdr:rowOff>10697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BCD714F-C121-B349-9DF4-E5B23D00205C}"/>
                </a:ext>
              </a:extLst>
            </xdr:cNvPr>
            <xdr:cNvSpPr txBox="1"/>
          </xdr:nvSpPr>
          <xdr:spPr>
            <a:xfrm>
              <a:off x="9426590" y="155046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DBCD714F-C121-B349-9DF4-E5B23D00205C}"/>
                </a:ext>
              </a:extLst>
            </xdr:cNvPr>
            <xdr:cNvSpPr txBox="1"/>
          </xdr:nvSpPr>
          <xdr:spPr>
            <a:xfrm>
              <a:off x="9426590" y="155046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59</xdr:row>
      <xdr:rowOff>127000</xdr:rowOff>
    </xdr:to>
    <xdr:sp macro="" textlink="">
      <xdr:nvSpPr>
        <xdr:cNvPr id="9" name="Left Brace 8">
          <a:extLst>
            <a:ext uri="{FF2B5EF4-FFF2-40B4-BE49-F238E27FC236}">
              <a16:creationId xmlns:a16="http://schemas.microsoft.com/office/drawing/2014/main" id="{D855E8DF-72A0-7349-87FF-AC588A0421DF}"/>
            </a:ext>
          </a:extLst>
        </xdr:cNvPr>
        <xdr:cNvSpPr/>
      </xdr:nvSpPr>
      <xdr:spPr>
        <a:xfrm>
          <a:off x="8764154" y="14727959"/>
          <a:ext cx="669348" cy="1375641"/>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747447</xdr:colOff>
      <xdr:row>55</xdr:row>
      <xdr:rowOff>185401</xdr:rowOff>
    </xdr:from>
    <xdr:to>
      <xdr:col>14</xdr:col>
      <xdr:colOff>1066800</xdr:colOff>
      <xdr:row>60</xdr:row>
      <xdr:rowOff>96131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77D9B69F-EA33-A145-B3A7-39B91DF2F9B5}"/>
                </a:ext>
              </a:extLst>
            </xdr:cNvPr>
            <xdr:cNvSpPr/>
          </xdr:nvSpPr>
          <xdr:spPr>
            <a:xfrm>
              <a:off x="13345847" y="15095201"/>
              <a:ext cx="4726253" cy="12188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77D9B69F-EA33-A145-B3A7-39B91DF2F9B5}"/>
                </a:ext>
              </a:extLst>
            </xdr:cNvPr>
            <xdr:cNvSpPr/>
          </xdr:nvSpPr>
          <xdr:spPr>
            <a:xfrm>
              <a:off x="13345847" y="15095201"/>
              <a:ext cx="4726253" cy="12188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977343F2-CF75-0046-899E-419965393086}"/>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330BA4E5-679F-D341-B43E-0F8EB30F0F4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330BA4E5-679F-D341-B43E-0F8EB30F0F4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7D67EA72-6647-E145-A0A4-FDDA1169800D}"/>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1DAAD220-8591-144B-B48D-D4F9F8A88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EC591735-75DA-7B41-B8D1-5CB093E4ACC0}"/>
            </a:ext>
          </a:extLst>
        </xdr:cNvPr>
        <xdr:cNvCxnSpPr/>
      </xdr:nvCxnSpPr>
      <xdr:spPr>
        <a:xfrm>
          <a:off x="5909875" y="240825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99D01B34-9B01-F94F-8AB0-501CE9B8DD90}"/>
                </a:ext>
              </a:extLst>
            </xdr:cNvPr>
            <xdr:cNvSpPr txBox="1"/>
          </xdr:nvSpPr>
          <xdr:spPr>
            <a:xfrm>
              <a:off x="8900938" y="23625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99D01B34-9B01-F94F-8AB0-501CE9B8DD90}"/>
                </a:ext>
              </a:extLst>
            </xdr:cNvPr>
            <xdr:cNvSpPr txBox="1"/>
          </xdr:nvSpPr>
          <xdr:spPr>
            <a:xfrm>
              <a:off x="8900938" y="23625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7A697AD7-7B05-9543-8EBB-291F96A3AC31}"/>
            </a:ext>
          </a:extLst>
        </xdr:cNvPr>
        <xdr:cNvSpPr/>
      </xdr:nvSpPr>
      <xdr:spPr>
        <a:xfrm>
          <a:off x="11926381" y="234946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17</xdr:col>
      <xdr:colOff>558800</xdr:colOff>
      <xdr:row>107</xdr:row>
      <xdr:rowOff>228599</xdr:rowOff>
    </xdr:from>
    <xdr:to>
      <xdr:col>22</xdr:col>
      <xdr:colOff>728383</xdr:colOff>
      <xdr:row>124</xdr:row>
      <xdr:rowOff>50800</xdr:rowOff>
    </xdr:to>
    <xdr:graphicFrame macro="">
      <xdr:nvGraphicFramePr>
        <xdr:cNvPr id="18" name="Chart 17">
          <a:extLst>
            <a:ext uri="{FF2B5EF4-FFF2-40B4-BE49-F238E27FC236}">
              <a16:creationId xmlns:a16="http://schemas.microsoft.com/office/drawing/2014/main" id="{AEC75C72-83F3-DD4E-A841-5D6E79F47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72823BB5-C3B3-F042-8D15-D92EFBC854BD}"/>
            </a:ext>
          </a:extLst>
        </xdr:cNvPr>
        <xdr:cNvCxnSpPr/>
      </xdr:nvCxnSpPr>
      <xdr:spPr>
        <a:xfrm>
          <a:off x="6002428" y="332910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DEA11564-4602-294F-8EDB-72DBC92E8742}"/>
                </a:ext>
              </a:extLst>
            </xdr:cNvPr>
            <xdr:cNvSpPr txBox="1"/>
          </xdr:nvSpPr>
          <xdr:spPr>
            <a:xfrm>
              <a:off x="9421430" y="328950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DEA11564-4602-294F-8EDB-72DBC92E8742}"/>
                </a:ext>
              </a:extLst>
            </xdr:cNvPr>
            <xdr:cNvSpPr txBox="1"/>
          </xdr:nvSpPr>
          <xdr:spPr>
            <a:xfrm>
              <a:off x="9421430" y="328950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846C3D7E-A308-B749-8D37-34DBB8CDF6F8}"/>
            </a:ext>
          </a:extLst>
        </xdr:cNvPr>
        <xdr:cNvSpPr/>
      </xdr:nvSpPr>
      <xdr:spPr>
        <a:xfrm>
          <a:off x="8764154" y="329905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AF7820C9-8631-BC4F-9B6D-4B68A05BDDBC}"/>
                </a:ext>
              </a:extLst>
            </xdr:cNvPr>
            <xdr:cNvSpPr/>
          </xdr:nvSpPr>
          <xdr:spPr>
            <a:xfrm>
              <a:off x="13016980" y="328982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AF7820C9-8631-BC4F-9B6D-4B68A05BDDBC}"/>
                </a:ext>
              </a:extLst>
            </xdr:cNvPr>
            <xdr:cNvSpPr/>
          </xdr:nvSpPr>
          <xdr:spPr>
            <a:xfrm>
              <a:off x="13016980" y="328982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58B14657-76FF-6148-9A8D-73A2A26FF8CF}"/>
                </a:ext>
              </a:extLst>
            </xdr:cNvPr>
            <xdr:cNvSpPr txBox="1"/>
          </xdr:nvSpPr>
          <xdr:spPr>
            <a:xfrm>
              <a:off x="9358575" y="335980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58B14657-76FF-6148-9A8D-73A2A26FF8CF}"/>
                </a:ext>
              </a:extLst>
            </xdr:cNvPr>
            <xdr:cNvSpPr txBox="1"/>
          </xdr:nvSpPr>
          <xdr:spPr>
            <a:xfrm>
              <a:off x="9358575" y="335980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F0C7A3F8-BD22-5943-A91B-C88BA7A5FC3F}"/>
            </a:ext>
          </a:extLst>
        </xdr:cNvPr>
        <xdr:cNvSpPr/>
      </xdr:nvSpPr>
      <xdr:spPr>
        <a:xfrm>
          <a:off x="9334499" y="33566100"/>
          <a:ext cx="36267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E75AA07D-245B-DF48-86F8-2EB97DAA42DD}"/>
                </a:ext>
              </a:extLst>
            </xdr:cNvPr>
            <xdr:cNvSpPr txBox="1"/>
          </xdr:nvSpPr>
          <xdr:spPr>
            <a:xfrm>
              <a:off x="13903930" y="343417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E75AA07D-245B-DF48-86F8-2EB97DAA42DD}"/>
                </a:ext>
              </a:extLst>
            </xdr:cNvPr>
            <xdr:cNvSpPr txBox="1"/>
          </xdr:nvSpPr>
          <xdr:spPr>
            <a:xfrm>
              <a:off x="13903930" y="343417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9248EB0A-65DD-D746-A81D-8CA9CA559625}"/>
            </a:ext>
          </a:extLst>
        </xdr:cNvPr>
        <xdr:cNvCxnSpPr>
          <a:endCxn id="25" idx="1"/>
        </xdr:cNvCxnSpPr>
      </xdr:nvCxnSpPr>
      <xdr:spPr>
        <a:xfrm rot="16200000" flipH="1">
          <a:off x="13367146" y="342016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EE13A345-DCA8-BF4E-8C92-D96A333966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6A67267E-C351-F040-927A-586873E6E597}"/>
            </a:ext>
          </a:extLst>
        </xdr:cNvPr>
        <xdr:cNvSpPr txBox="1"/>
      </xdr:nvSpPr>
      <xdr:spPr>
        <a:xfrm>
          <a:off x="12226758" y="405007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46089E0-3AD0-6D42-99D0-BAAFD7CC10D1}"/>
            </a:ext>
          </a:extLst>
        </xdr:cNvPr>
        <xdr:cNvCxnSpPr/>
      </xdr:nvCxnSpPr>
      <xdr:spPr>
        <a:xfrm>
          <a:off x="6002428" y="42092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6E8DCE45-8C12-014B-B29B-1EF8E5C87C05}"/>
                </a:ext>
              </a:extLst>
            </xdr:cNvPr>
            <xdr:cNvSpPr txBox="1"/>
          </xdr:nvSpPr>
          <xdr:spPr>
            <a:xfrm>
              <a:off x="9506096" y="41717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6E8DCE45-8C12-014B-B29B-1EF8E5C87C05}"/>
                </a:ext>
              </a:extLst>
            </xdr:cNvPr>
            <xdr:cNvSpPr txBox="1"/>
          </xdr:nvSpPr>
          <xdr:spPr>
            <a:xfrm>
              <a:off x="9506096" y="41717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3277CEAC-6BDD-5844-877B-10991396079B}"/>
            </a:ext>
          </a:extLst>
        </xdr:cNvPr>
        <xdr:cNvSpPr/>
      </xdr:nvSpPr>
      <xdr:spPr>
        <a:xfrm>
          <a:off x="13341614" y="417948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7E985E3D-95AB-B84A-9E8C-F3B5C3CED76E}"/>
            </a:ext>
          </a:extLst>
        </xdr:cNvPr>
        <xdr:cNvCxnSpPr/>
      </xdr:nvCxnSpPr>
      <xdr:spPr>
        <a:xfrm flipV="1">
          <a:off x="12192438" y="421167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90A27912-A4CB-074E-A781-5C77EC5E5FA0}"/>
                </a:ext>
              </a:extLst>
            </xdr:cNvPr>
            <xdr:cNvSpPr txBox="1"/>
          </xdr:nvSpPr>
          <xdr:spPr>
            <a:xfrm>
              <a:off x="14130867" y="43188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90A27912-A4CB-074E-A781-5C77EC5E5FA0}"/>
                </a:ext>
              </a:extLst>
            </xdr:cNvPr>
            <xdr:cNvSpPr txBox="1"/>
          </xdr:nvSpPr>
          <xdr:spPr>
            <a:xfrm>
              <a:off x="14130867" y="43188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368300</xdr:colOff>
      <xdr:row>55</xdr:row>
      <xdr:rowOff>50800</xdr:rowOff>
    </xdr:from>
    <xdr:to>
      <xdr:col>10</xdr:col>
      <xdr:colOff>596900</xdr:colOff>
      <xdr:row>55</xdr:row>
      <xdr:rowOff>317500</xdr:rowOff>
    </xdr:to>
    <xdr:cxnSp macro="">
      <xdr:nvCxnSpPr>
        <xdr:cNvPr id="34" name="Curved Connector 33">
          <a:extLst>
            <a:ext uri="{FF2B5EF4-FFF2-40B4-BE49-F238E27FC236}">
              <a16:creationId xmlns:a16="http://schemas.microsoft.com/office/drawing/2014/main" id="{7E5151F4-6C45-804F-B0B9-142A9F99B829}"/>
            </a:ext>
          </a:extLst>
        </xdr:cNvPr>
        <xdr:cNvCxnSpPr/>
      </xdr:nvCxnSpPr>
      <xdr:spPr>
        <a:xfrm>
          <a:off x="11849100" y="14960600"/>
          <a:ext cx="1346200" cy="266700"/>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98D0FD82-6C08-B34F-9143-46E4C52497A4}"/>
            </a:ext>
          </a:extLst>
        </xdr:cNvPr>
        <xdr:cNvCxnSpPr>
          <a:endCxn id="33" idx="1"/>
        </xdr:cNvCxnSpPr>
      </xdr:nvCxnSpPr>
      <xdr:spPr>
        <a:xfrm rot="16200000" flipH="1">
          <a:off x="13776748" y="430769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E9774E9D-B028-9E46-8440-9217C57411E6}"/>
                </a:ext>
              </a:extLst>
            </xdr:cNvPr>
            <xdr:cNvSpPr txBox="1"/>
          </xdr:nvSpPr>
          <xdr:spPr>
            <a:xfrm>
              <a:off x="10690773" y="42448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E9774E9D-B028-9E46-8440-9217C57411E6}"/>
                </a:ext>
              </a:extLst>
            </xdr:cNvPr>
            <xdr:cNvSpPr txBox="1"/>
          </xdr:nvSpPr>
          <xdr:spPr>
            <a:xfrm>
              <a:off x="10690773" y="42448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4D83CC45-2151-324C-9C81-2BC8A3476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A46BF28F-23B2-DE43-962C-00630D3482C0}"/>
            </a:ext>
          </a:extLst>
        </xdr:cNvPr>
        <xdr:cNvCxnSpPr/>
      </xdr:nvCxnSpPr>
      <xdr:spPr>
        <a:xfrm>
          <a:off x="6002428" y="50791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27927A20-8538-8348-B9E1-B7CFDAAF7BFE}"/>
                </a:ext>
              </a:extLst>
            </xdr:cNvPr>
            <xdr:cNvSpPr txBox="1"/>
          </xdr:nvSpPr>
          <xdr:spPr>
            <a:xfrm>
              <a:off x="8659887" y="514083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27927A20-8538-8348-B9E1-B7CFDAAF7BFE}"/>
                </a:ext>
              </a:extLst>
            </xdr:cNvPr>
            <xdr:cNvSpPr txBox="1"/>
          </xdr:nvSpPr>
          <xdr:spPr>
            <a:xfrm>
              <a:off x="8659887" y="514083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9E2326DE-5035-E946-A8BF-04D59A22287A}"/>
                </a:ext>
              </a:extLst>
            </xdr:cNvPr>
            <xdr:cNvSpPr txBox="1"/>
          </xdr:nvSpPr>
          <xdr:spPr>
            <a:xfrm>
              <a:off x="9186937" y="519184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9E2326DE-5035-E946-A8BF-04D59A22287A}"/>
                </a:ext>
              </a:extLst>
            </xdr:cNvPr>
            <xdr:cNvSpPr txBox="1"/>
          </xdr:nvSpPr>
          <xdr:spPr>
            <a:xfrm>
              <a:off x="9186937" y="519184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A804B707-5A66-1D43-BC62-633C1F69955D}"/>
                </a:ext>
              </a:extLst>
            </xdr:cNvPr>
            <xdr:cNvSpPr txBox="1"/>
          </xdr:nvSpPr>
          <xdr:spPr>
            <a:xfrm>
              <a:off x="12664296" y="518333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A804B707-5A66-1D43-BC62-633C1F69955D}"/>
                </a:ext>
              </a:extLst>
            </xdr:cNvPr>
            <xdr:cNvSpPr txBox="1"/>
          </xdr:nvSpPr>
          <xdr:spPr>
            <a:xfrm>
              <a:off x="12664296" y="518333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0F98CCB2-851B-8C42-9A69-F7AC27279297}"/>
            </a:ext>
          </a:extLst>
        </xdr:cNvPr>
        <xdr:cNvSpPr txBox="1"/>
      </xdr:nvSpPr>
      <xdr:spPr>
        <a:xfrm>
          <a:off x="13908896" y="513651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AE52851B-007D-7E4F-ACD6-C1536A57708C}"/>
            </a:ext>
          </a:extLst>
        </xdr:cNvPr>
        <xdr:cNvCxnSpPr/>
      </xdr:nvCxnSpPr>
      <xdr:spPr>
        <a:xfrm flipH="1">
          <a:off x="9039469" y="51076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AD685E4-13F9-714E-9AC2-48E8B2DEB1E4}"/>
            </a:ext>
          </a:extLst>
        </xdr:cNvPr>
        <xdr:cNvCxnSpPr/>
      </xdr:nvCxnSpPr>
      <xdr:spPr>
        <a:xfrm flipH="1">
          <a:off x="10833100" y="510583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D56736E7-CED8-6143-82A4-3D159BAA13AC}"/>
            </a:ext>
          </a:extLst>
        </xdr:cNvPr>
        <xdr:cNvCxnSpPr/>
      </xdr:nvCxnSpPr>
      <xdr:spPr>
        <a:xfrm>
          <a:off x="11908203" y="510647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D202D145-B6C7-614A-BCC6-9F1914171409}"/>
            </a:ext>
          </a:extLst>
        </xdr:cNvPr>
        <xdr:cNvCxnSpPr/>
      </xdr:nvCxnSpPr>
      <xdr:spPr>
        <a:xfrm>
          <a:off x="13099074" y="510586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D6DFF69F-5FF3-F249-83EC-7EBBBC0C72C0}"/>
            </a:ext>
          </a:extLst>
        </xdr:cNvPr>
        <xdr:cNvSpPr/>
      </xdr:nvSpPr>
      <xdr:spPr>
        <a:xfrm>
          <a:off x="14462761" y="508939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3E5E718-443D-5A40-9D5F-F8C2508FC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F73DB1BB-5121-1341-BAF3-791DC9F3A5B4}"/>
            </a:ext>
          </a:extLst>
        </xdr:cNvPr>
        <xdr:cNvCxnSpPr/>
      </xdr:nvCxnSpPr>
      <xdr:spPr>
        <a:xfrm>
          <a:off x="6002428" y="60710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166306E2-EA87-D34E-BFB7-A83E30C389F9}"/>
                </a:ext>
              </a:extLst>
            </xdr:cNvPr>
            <xdr:cNvSpPr txBox="1"/>
          </xdr:nvSpPr>
          <xdr:spPr>
            <a:xfrm>
              <a:off x="7988516" y="614462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166306E2-EA87-D34E-BFB7-A83E30C389F9}"/>
                </a:ext>
              </a:extLst>
            </xdr:cNvPr>
            <xdr:cNvSpPr txBox="1"/>
          </xdr:nvSpPr>
          <xdr:spPr>
            <a:xfrm>
              <a:off x="7988516" y="614462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539B9725-9423-5545-8340-5ECA3C531130}"/>
                </a:ext>
              </a:extLst>
            </xdr:cNvPr>
            <xdr:cNvSpPr txBox="1"/>
          </xdr:nvSpPr>
          <xdr:spPr>
            <a:xfrm>
              <a:off x="8984037" y="620123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539B9725-9423-5545-8340-5ECA3C531130}"/>
                </a:ext>
              </a:extLst>
            </xdr:cNvPr>
            <xdr:cNvSpPr txBox="1"/>
          </xdr:nvSpPr>
          <xdr:spPr>
            <a:xfrm>
              <a:off x="8984037" y="620123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6B7EC973-C33D-6641-9A4A-447DD9885E58}"/>
                </a:ext>
              </a:extLst>
            </xdr:cNvPr>
            <xdr:cNvSpPr txBox="1"/>
          </xdr:nvSpPr>
          <xdr:spPr>
            <a:xfrm>
              <a:off x="12664295" y="617393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6B7EC973-C33D-6641-9A4A-447DD9885E58}"/>
                </a:ext>
              </a:extLst>
            </xdr:cNvPr>
            <xdr:cNvSpPr txBox="1"/>
          </xdr:nvSpPr>
          <xdr:spPr>
            <a:xfrm>
              <a:off x="12664295" y="617393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8A34007F-6317-4A4E-BBA0-75123E9EFCE0}"/>
                </a:ext>
              </a:extLst>
            </xdr:cNvPr>
            <xdr:cNvSpPr txBox="1"/>
          </xdr:nvSpPr>
          <xdr:spPr>
            <a:xfrm>
              <a:off x="13908896" y="612838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8A34007F-6317-4A4E-BBA0-75123E9EFCE0}"/>
                </a:ext>
              </a:extLst>
            </xdr:cNvPr>
            <xdr:cNvSpPr txBox="1"/>
          </xdr:nvSpPr>
          <xdr:spPr>
            <a:xfrm>
              <a:off x="13908896" y="612838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81CF491C-9709-A642-9E7C-76A2F2098EAA}"/>
            </a:ext>
          </a:extLst>
        </xdr:cNvPr>
        <xdr:cNvCxnSpPr/>
      </xdr:nvCxnSpPr>
      <xdr:spPr>
        <a:xfrm flipH="1">
          <a:off x="9039469" y="609956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8748AA45-8F53-AC40-82C8-07D4C8260833}"/>
            </a:ext>
          </a:extLst>
        </xdr:cNvPr>
        <xdr:cNvCxnSpPr/>
      </xdr:nvCxnSpPr>
      <xdr:spPr>
        <a:xfrm flipH="1">
          <a:off x="10760507" y="609770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C6AF8386-5988-DE47-8A0D-ACF0DEF0C859}"/>
            </a:ext>
          </a:extLst>
        </xdr:cNvPr>
        <xdr:cNvCxnSpPr/>
      </xdr:nvCxnSpPr>
      <xdr:spPr>
        <a:xfrm>
          <a:off x="11908203" y="609834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A603D9E5-16D8-D040-B482-08008295CB6D}"/>
            </a:ext>
          </a:extLst>
        </xdr:cNvPr>
        <xdr:cNvCxnSpPr/>
      </xdr:nvCxnSpPr>
      <xdr:spPr>
        <a:xfrm>
          <a:off x="13099074" y="609773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07855DC6-6F18-EE4F-B3FE-1F7DAA64D7F0}"/>
                </a:ext>
              </a:extLst>
            </xdr:cNvPr>
            <xdr:cNvSpPr txBox="1"/>
          </xdr:nvSpPr>
          <xdr:spPr>
            <a:xfrm>
              <a:off x="7294032" y="61036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07855DC6-6F18-EE4F-B3FE-1F7DAA64D7F0}"/>
                </a:ext>
              </a:extLst>
            </xdr:cNvPr>
            <xdr:cNvSpPr txBox="1"/>
          </xdr:nvSpPr>
          <xdr:spPr>
            <a:xfrm>
              <a:off x="7294032" y="61036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95EC178A-E287-BE44-B181-8966F15C8147}"/>
            </a:ext>
          </a:extLst>
        </xdr:cNvPr>
        <xdr:cNvCxnSpPr>
          <a:endCxn id="50" idx="0"/>
        </xdr:cNvCxnSpPr>
      </xdr:nvCxnSpPr>
      <xdr:spPr>
        <a:xfrm>
          <a:off x="8301567" y="61129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9F7FC37E-95DE-1E41-AE46-DF2D9D83D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22FC3509-434A-F84D-9149-2B697493F0E9}"/>
                </a:ext>
              </a:extLst>
            </xdr:cNvPr>
            <xdr:cNvSpPr txBox="1"/>
          </xdr:nvSpPr>
          <xdr:spPr>
            <a:xfrm>
              <a:off x="13241150" y="618761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22FC3509-434A-F84D-9149-2B697493F0E9}"/>
                </a:ext>
              </a:extLst>
            </xdr:cNvPr>
            <xdr:cNvSpPr txBox="1"/>
          </xdr:nvSpPr>
          <xdr:spPr>
            <a:xfrm>
              <a:off x="13241150" y="618761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8FEA3BD0-D3B3-DC45-A165-1DA0C40C20E3}"/>
                </a:ext>
              </a:extLst>
            </xdr:cNvPr>
            <xdr:cNvSpPr txBox="1"/>
          </xdr:nvSpPr>
          <xdr:spPr>
            <a:xfrm>
              <a:off x="6178486" y="447302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mlns="">
        <xdr:sp macro="" textlink="">
          <xdr:nvSpPr>
            <xdr:cNvPr id="62" name="TextBox 61">
              <a:extLst>
                <a:ext uri="{FF2B5EF4-FFF2-40B4-BE49-F238E27FC236}">
                  <a16:creationId xmlns:a16="http://schemas.microsoft.com/office/drawing/2014/main" id="{8FEA3BD0-D3B3-DC45-A165-1DA0C40C20E3}"/>
                </a:ext>
              </a:extLst>
            </xdr:cNvPr>
            <xdr:cNvSpPr txBox="1"/>
          </xdr:nvSpPr>
          <xdr:spPr>
            <a:xfrm>
              <a:off x="6178486" y="44730298"/>
              <a:ext cx="3259025" cy="1639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26</xdr:col>
      <xdr:colOff>358678</xdr:colOff>
      <xdr:row>55</xdr:row>
      <xdr:rowOff>279400</xdr:rowOff>
    </xdr:from>
    <xdr:to>
      <xdr:col>27</xdr:col>
      <xdr:colOff>581891</xdr:colOff>
      <xdr:row>197</xdr:row>
      <xdr:rowOff>1539</xdr:rowOff>
    </xdr:to>
    <xdr:sp macro="" textlink="">
      <xdr:nvSpPr>
        <xdr:cNvPr id="63" name="Right Brace 62">
          <a:extLst>
            <a:ext uri="{FF2B5EF4-FFF2-40B4-BE49-F238E27FC236}">
              <a16:creationId xmlns:a16="http://schemas.microsoft.com/office/drawing/2014/main" id="{E825AA75-0653-154F-884A-B557BF84ECA2}"/>
            </a:ext>
          </a:extLst>
        </xdr:cNvPr>
        <xdr:cNvSpPr/>
      </xdr:nvSpPr>
      <xdr:spPr>
        <a:xfrm>
          <a:off x="32781778" y="15189200"/>
          <a:ext cx="1048713" cy="352186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31</xdr:col>
      <xdr:colOff>359975</xdr:colOff>
      <xdr:row>92</xdr:row>
      <xdr:rowOff>168476</xdr:rowOff>
    </xdr:from>
    <xdr:to>
      <xdr:col>33</xdr:col>
      <xdr:colOff>520551</xdr:colOff>
      <xdr:row>92</xdr:row>
      <xdr:rowOff>183073</xdr:rowOff>
    </xdr:to>
    <xdr:cxnSp macro="">
      <xdr:nvCxnSpPr>
        <xdr:cNvPr id="64" name="Straight Arrow Connector 63">
          <a:extLst>
            <a:ext uri="{FF2B5EF4-FFF2-40B4-BE49-F238E27FC236}">
              <a16:creationId xmlns:a16="http://schemas.microsoft.com/office/drawing/2014/main" id="{1B2738E3-1F73-9C40-8B42-A994BED9787F}"/>
            </a:ext>
          </a:extLst>
        </xdr:cNvPr>
        <xdr:cNvCxnSpPr/>
      </xdr:nvCxnSpPr>
      <xdr:spPr>
        <a:xfrm>
          <a:off x="38447275" y="24082576"/>
          <a:ext cx="23576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33</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067CF3E3-BD1F-0D46-9230-783B57145C34}"/>
                </a:ext>
              </a:extLst>
            </xdr:cNvPr>
            <xdr:cNvSpPr txBox="1"/>
          </xdr:nvSpPr>
          <xdr:spPr>
            <a:xfrm>
              <a:off x="40993290" y="238644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5" name="TextBox 64">
              <a:extLst>
                <a:ext uri="{FF2B5EF4-FFF2-40B4-BE49-F238E27FC236}">
                  <a16:creationId xmlns:a16="http://schemas.microsoft.com/office/drawing/2014/main" id="{067CF3E3-BD1F-0D46-9230-783B57145C34}"/>
                </a:ext>
              </a:extLst>
            </xdr:cNvPr>
            <xdr:cNvSpPr txBox="1"/>
          </xdr:nvSpPr>
          <xdr:spPr>
            <a:xfrm>
              <a:off x="40993290" y="238644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28</xdr:col>
      <xdr:colOff>856511</xdr:colOff>
      <xdr:row>96</xdr:row>
      <xdr:rowOff>14766</xdr:rowOff>
    </xdr:from>
    <xdr:to>
      <xdr:col>33</xdr:col>
      <xdr:colOff>782674</xdr:colOff>
      <xdr:row>99</xdr:row>
      <xdr:rowOff>132906</xdr:rowOff>
    </xdr:to>
    <xdr:sp macro="" textlink="">
      <xdr:nvSpPr>
        <xdr:cNvPr id="66" name="TextBox 65">
          <a:extLst>
            <a:ext uri="{FF2B5EF4-FFF2-40B4-BE49-F238E27FC236}">
              <a16:creationId xmlns:a16="http://schemas.microsoft.com/office/drawing/2014/main" id="{467182AD-8EF0-374F-9E8C-5516C2CC3073}"/>
            </a:ext>
          </a:extLst>
        </xdr:cNvPr>
        <xdr:cNvSpPr txBox="1"/>
      </xdr:nvSpPr>
      <xdr:spPr>
        <a:xfrm>
          <a:off x="35146511" y="25021066"/>
          <a:ext cx="59205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35</xdr:col>
      <xdr:colOff>831850</xdr:colOff>
      <xdr:row>110</xdr:row>
      <xdr:rowOff>133349</xdr:rowOff>
    </xdr:from>
    <xdr:to>
      <xdr:col>41</xdr:col>
      <xdr:colOff>756596</xdr:colOff>
      <xdr:row>125</xdr:row>
      <xdr:rowOff>189148</xdr:rowOff>
    </xdr:to>
    <xdr:graphicFrame macro="">
      <xdr:nvGraphicFramePr>
        <xdr:cNvPr id="67" name="Chart 66">
          <a:extLst>
            <a:ext uri="{FF2B5EF4-FFF2-40B4-BE49-F238E27FC236}">
              <a16:creationId xmlns:a16="http://schemas.microsoft.com/office/drawing/2014/main" id="{AF1C5505-A639-034F-B7D1-B68F7B44F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18</xdr:col>
      <xdr:colOff>372629</xdr:colOff>
      <xdr:row>92</xdr:row>
      <xdr:rowOff>235526</xdr:rowOff>
    </xdr:from>
    <xdr:ext cx="1488997" cy="778931"/>
    <mc:AlternateContent xmlns:mc="http://schemas.openxmlformats.org/markup-compatibility/2006" xmlns:a14="http://schemas.microsoft.com/office/drawing/2010/main">
      <mc:Choice Requires="a14">
        <xdr:sp macro="" textlink="">
          <xdr:nvSpPr>
            <xdr:cNvPr id="68" name="TextBox 67">
              <a:extLst>
                <a:ext uri="{FF2B5EF4-FFF2-40B4-BE49-F238E27FC236}">
                  <a16:creationId xmlns:a16="http://schemas.microsoft.com/office/drawing/2014/main" id="{8315903D-7494-7B4B-B1E9-4A4D181B6F30}"/>
                </a:ext>
              </a:extLst>
            </xdr:cNvPr>
            <xdr:cNvSpPr txBox="1"/>
          </xdr:nvSpPr>
          <xdr:spPr>
            <a:xfrm>
              <a:off x="23410429" y="241496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800" b="0" i="1">
                        <a:latin typeface="Cambria Math" panose="02040503050406030204" pitchFamily="18" charset="0"/>
                      </a:rPr>
                      <m:t>𝑍𝑃𝐸</m:t>
                    </m:r>
                    <m:r>
                      <a:rPr lang="it-IT" sz="1800" b="0" i="1">
                        <a:latin typeface="Cambria Math" panose="02040503050406030204" pitchFamily="18" charset="0"/>
                      </a:rPr>
                      <m:t>=</m:t>
                    </m:r>
                    <m:nary>
                      <m:naryPr>
                        <m:chr m:val="∑"/>
                        <m:ctrlPr>
                          <a:rPr lang="it-IT" sz="1800" b="0" i="1">
                            <a:latin typeface="Cambria Math" panose="02040503050406030204" pitchFamily="18" charset="0"/>
                          </a:rPr>
                        </m:ctrlPr>
                      </m:naryPr>
                      <m:sub>
                        <m:r>
                          <m:rPr>
                            <m:brk m:alnAt="23"/>
                          </m:rPr>
                          <a:rPr lang="it-IT" sz="1800" b="0" i="1">
                            <a:latin typeface="Cambria Math" panose="02040503050406030204" pitchFamily="18" charset="0"/>
                          </a:rPr>
                          <m:t>𝑖</m:t>
                        </m:r>
                        <m:r>
                          <a:rPr lang="it-IT" sz="1800" b="0" i="1">
                            <a:latin typeface="Cambria Math" panose="02040503050406030204" pitchFamily="18" charset="0"/>
                          </a:rPr>
                          <m:t>=1</m:t>
                        </m:r>
                      </m:sub>
                      <m:sup>
                        <m:sSub>
                          <m:sSubPr>
                            <m:ctrlPr>
                              <a:rPr lang="it-IT" sz="1800" b="0" i="1">
                                <a:latin typeface="Cambria Math" panose="02040503050406030204" pitchFamily="18" charset="0"/>
                              </a:rPr>
                            </m:ctrlPr>
                          </m:sSubPr>
                          <m:e>
                            <m:r>
                              <a:rPr lang="it-IT" sz="1800" b="0" i="1">
                                <a:latin typeface="Cambria Math" panose="02040503050406030204" pitchFamily="18" charset="0"/>
                              </a:rPr>
                              <m:t>𝑁</m:t>
                            </m:r>
                          </m:e>
                          <m:sub>
                            <m:r>
                              <a:rPr lang="it-IT" sz="1800" b="0" i="1">
                                <a:latin typeface="Cambria Math" panose="02040503050406030204" pitchFamily="18" charset="0"/>
                              </a:rPr>
                              <m:t>𝑣𝑖𝑏</m:t>
                            </m:r>
                          </m:sub>
                        </m:sSub>
                      </m:sup>
                      <m:e>
                        <m:f>
                          <m:fPr>
                            <m:ctrlPr>
                              <a:rPr lang="it-IT" sz="1800" b="0" i="1">
                                <a:latin typeface="Cambria Math" panose="02040503050406030204" pitchFamily="18" charset="0"/>
                              </a:rPr>
                            </m:ctrlPr>
                          </m:fPr>
                          <m:num>
                            <m:r>
                              <a:rPr lang="it-IT" sz="1800" b="0" i="1">
                                <a:latin typeface="Cambria Math" panose="02040503050406030204" pitchFamily="18" charset="0"/>
                              </a:rPr>
                              <m:t>h</m:t>
                            </m:r>
                            <m:sSub>
                              <m:sSubPr>
                                <m:ctrlPr>
                                  <a:rPr lang="it-IT" sz="1800" b="0" i="1">
                                    <a:latin typeface="Cambria Math" panose="02040503050406030204" pitchFamily="18" charset="0"/>
                                  </a:rPr>
                                </m:ctrlPr>
                              </m:sSubPr>
                              <m:e>
                                <m:r>
                                  <a:rPr lang="it-IT" sz="1800" b="0" i="1">
                                    <a:latin typeface="Cambria Math" panose="02040503050406030204" pitchFamily="18" charset="0"/>
                                    <a:ea typeface="Cambria Math" panose="02040503050406030204" pitchFamily="18" charset="0"/>
                                  </a:rPr>
                                  <m:t>𝜐</m:t>
                                </m:r>
                              </m:e>
                              <m:sub>
                                <m:r>
                                  <a:rPr lang="it-IT" sz="1800" b="0" i="1">
                                    <a:latin typeface="Cambria Math" panose="02040503050406030204" pitchFamily="18" charset="0"/>
                                  </a:rPr>
                                  <m:t>𝑖</m:t>
                                </m:r>
                              </m:sub>
                            </m:sSub>
                          </m:num>
                          <m:den>
                            <m:r>
                              <a:rPr lang="it-IT" sz="1800" b="0" i="1">
                                <a:latin typeface="Cambria Math" panose="02040503050406030204" pitchFamily="18" charset="0"/>
                              </a:rPr>
                              <m:t>2</m:t>
                            </m:r>
                          </m:den>
                        </m:f>
                      </m:e>
                    </m:nary>
                  </m:oMath>
                </m:oMathPara>
              </a14:m>
              <a:endParaRPr lang="en-US" sz="1800"/>
            </a:p>
          </xdr:txBody>
        </xdr:sp>
      </mc:Choice>
      <mc:Fallback xmlns="">
        <xdr:sp macro="" textlink="">
          <xdr:nvSpPr>
            <xdr:cNvPr id="68" name="TextBox 67">
              <a:extLst>
                <a:ext uri="{FF2B5EF4-FFF2-40B4-BE49-F238E27FC236}">
                  <a16:creationId xmlns:a16="http://schemas.microsoft.com/office/drawing/2014/main" id="{8315903D-7494-7B4B-B1E9-4A4D181B6F30}"/>
                </a:ext>
              </a:extLst>
            </xdr:cNvPr>
            <xdr:cNvSpPr txBox="1"/>
          </xdr:nvSpPr>
          <xdr:spPr>
            <a:xfrm>
              <a:off x="23410429" y="24149626"/>
              <a:ext cx="1488997" cy="77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𝑍𝑃𝐸=∑_(𝑖=1)^(𝑁_𝑣𝑖𝑏)▒(ℎ</a:t>
              </a:r>
              <a:r>
                <a:rPr lang="it-IT" sz="1800" b="0" i="0">
                  <a:latin typeface="Cambria Math" panose="02040503050406030204" pitchFamily="18" charset="0"/>
                  <a:ea typeface="Cambria Math" panose="02040503050406030204" pitchFamily="18" charset="0"/>
                </a:rPr>
                <a:t>𝜐_</a:t>
              </a:r>
              <a:r>
                <a:rPr lang="it-IT" sz="1800" b="0" i="0">
                  <a:latin typeface="Cambria Math" panose="02040503050406030204" pitchFamily="18" charset="0"/>
                </a:rPr>
                <a:t>𝑖)/2</a:t>
              </a:r>
              <a:endParaRPr lang="en-US" sz="1800"/>
            </a:p>
          </xdr:txBody>
        </xdr:sp>
      </mc:Fallback>
    </mc:AlternateContent>
    <xdr:clientData/>
  </xdr:oneCellAnchor>
  <xdr:twoCellAnchor>
    <xdr:from>
      <xdr:col>19</xdr:col>
      <xdr:colOff>114157</xdr:colOff>
      <xdr:row>90</xdr:row>
      <xdr:rowOff>71349</xdr:rowOff>
    </xdr:from>
    <xdr:to>
      <xdr:col>19</xdr:col>
      <xdr:colOff>499438</xdr:colOff>
      <xdr:row>92</xdr:row>
      <xdr:rowOff>199775</xdr:rowOff>
    </xdr:to>
    <xdr:cxnSp macro="">
      <xdr:nvCxnSpPr>
        <xdr:cNvPr id="69" name="Straight Arrow Connector 68">
          <a:extLst>
            <a:ext uri="{FF2B5EF4-FFF2-40B4-BE49-F238E27FC236}">
              <a16:creationId xmlns:a16="http://schemas.microsoft.com/office/drawing/2014/main" id="{9274240E-B8A1-5D4B-9714-CC50691BAE57}"/>
            </a:ext>
          </a:extLst>
        </xdr:cNvPr>
        <xdr:cNvCxnSpPr/>
      </xdr:nvCxnSpPr>
      <xdr:spPr>
        <a:xfrm flipH="1">
          <a:off x="24409257" y="23502849"/>
          <a:ext cx="385281" cy="611026"/>
        </a:xfrm>
        <a:prstGeom prst="straightConnector1">
          <a:avLst/>
        </a:prstGeom>
        <a:ln>
          <a:solidFill>
            <a:srgbClr val="FF0000"/>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570786</xdr:colOff>
      <xdr:row>88</xdr:row>
      <xdr:rowOff>185507</xdr:rowOff>
    </xdr:from>
    <xdr:to>
      <xdr:col>21</xdr:col>
      <xdr:colOff>699214</xdr:colOff>
      <xdr:row>90</xdr:row>
      <xdr:rowOff>156967</xdr:rowOff>
    </xdr:to>
    <xdr:sp macro="" textlink="">
      <xdr:nvSpPr>
        <xdr:cNvPr id="70" name="TextBox 69">
          <a:extLst>
            <a:ext uri="{FF2B5EF4-FFF2-40B4-BE49-F238E27FC236}">
              <a16:creationId xmlns:a16="http://schemas.microsoft.com/office/drawing/2014/main" id="{2BDDCDDE-AF7A-0846-8222-110F03D49751}"/>
            </a:ext>
          </a:extLst>
        </xdr:cNvPr>
        <xdr:cNvSpPr txBox="1"/>
      </xdr:nvSpPr>
      <xdr:spPr>
        <a:xfrm>
          <a:off x="24865886" y="23210607"/>
          <a:ext cx="2681128" cy="377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just</a:t>
          </a:r>
          <a:r>
            <a:rPr lang="en-US" sz="1400" baseline="0"/>
            <a:t> the real valued frequencies</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30</xdr:col>
      <xdr:colOff>546100</xdr:colOff>
      <xdr:row>3</xdr:row>
      <xdr:rowOff>139700</xdr:rowOff>
    </xdr:from>
    <xdr:to>
      <xdr:col>31</xdr:col>
      <xdr:colOff>749300</xdr:colOff>
      <xdr:row>3</xdr:row>
      <xdr:rowOff>139700</xdr:rowOff>
    </xdr:to>
    <xdr:cxnSp macro="">
      <xdr:nvCxnSpPr>
        <xdr:cNvPr id="2" name="Straight Arrow Connector 1">
          <a:extLst>
            <a:ext uri="{FF2B5EF4-FFF2-40B4-BE49-F238E27FC236}">
              <a16:creationId xmlns:a16="http://schemas.microsoft.com/office/drawing/2014/main" id="{AC78B3D6-20CB-2046-A596-283A92F7EF53}"/>
            </a:ext>
          </a:extLst>
        </xdr:cNvPr>
        <xdr:cNvCxnSpPr/>
      </xdr:nvCxnSpPr>
      <xdr:spPr>
        <a:xfrm>
          <a:off x="29946600" y="762000"/>
          <a:ext cx="10287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32</xdr:col>
      <xdr:colOff>63500</xdr:colOff>
      <xdr:row>3</xdr:row>
      <xdr:rowOff>0</xdr:rowOff>
    </xdr:from>
    <xdr:to>
      <xdr:col>36</xdr:col>
      <xdr:colOff>774700</xdr:colOff>
      <xdr:row>4</xdr:row>
      <xdr:rowOff>50800</xdr:rowOff>
    </xdr:to>
    <xdr:sp macro="" textlink="">
      <xdr:nvSpPr>
        <xdr:cNvPr id="3" name="TextBox 2">
          <a:extLst>
            <a:ext uri="{FF2B5EF4-FFF2-40B4-BE49-F238E27FC236}">
              <a16:creationId xmlns:a16="http://schemas.microsoft.com/office/drawing/2014/main" id="{D3B4D72E-A2FE-1641-8873-1966D4EDBDC1}"/>
            </a:ext>
          </a:extLst>
        </xdr:cNvPr>
        <xdr:cNvSpPr txBox="1"/>
      </xdr:nvSpPr>
      <xdr:spPr>
        <a:xfrm>
          <a:off x="31115000" y="622300"/>
          <a:ext cx="4013200"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https://www.cup.uni-muenchen.de/ch/compchem/geom/scan.html</a:t>
          </a:r>
        </a:p>
      </xdr:txBody>
    </xdr:sp>
    <xdr:clientData/>
  </xdr:twoCellAnchor>
  <xdr:twoCellAnchor editAs="oneCell">
    <xdr:from>
      <xdr:col>21</xdr:col>
      <xdr:colOff>472173</xdr:colOff>
      <xdr:row>29</xdr:row>
      <xdr:rowOff>5800</xdr:rowOff>
    </xdr:from>
    <xdr:to>
      <xdr:col>29</xdr:col>
      <xdr:colOff>28605</xdr:colOff>
      <xdr:row>46</xdr:row>
      <xdr:rowOff>13978</xdr:rowOff>
    </xdr:to>
    <xdr:pic>
      <xdr:nvPicPr>
        <xdr:cNvPr id="4" name="Picture 3">
          <a:extLst>
            <a:ext uri="{FF2B5EF4-FFF2-40B4-BE49-F238E27FC236}">
              <a16:creationId xmlns:a16="http://schemas.microsoft.com/office/drawing/2014/main" id="{C8F6D792-E32F-AC41-94B2-BE56922225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2502440" y="6271133"/>
          <a:ext cx="6194298" cy="3716578"/>
        </a:xfrm>
        <a:prstGeom prst="rect">
          <a:avLst/>
        </a:prstGeom>
      </xdr:spPr>
    </xdr:pic>
    <xdr:clientData/>
  </xdr:twoCellAnchor>
  <xdr:twoCellAnchor>
    <xdr:from>
      <xdr:col>25</xdr:col>
      <xdr:colOff>620136</xdr:colOff>
      <xdr:row>26</xdr:row>
      <xdr:rowOff>10949</xdr:rowOff>
    </xdr:from>
    <xdr:to>
      <xdr:col>26</xdr:col>
      <xdr:colOff>301079</xdr:colOff>
      <xdr:row>28</xdr:row>
      <xdr:rowOff>151000</xdr:rowOff>
    </xdr:to>
    <xdr:cxnSp macro="">
      <xdr:nvCxnSpPr>
        <xdr:cNvPr id="5" name="Curved Connector 4">
          <a:extLst>
            <a:ext uri="{FF2B5EF4-FFF2-40B4-BE49-F238E27FC236}">
              <a16:creationId xmlns:a16="http://schemas.microsoft.com/office/drawing/2014/main" id="{6CA46461-9661-C844-B817-66718947E6D5}"/>
            </a:ext>
          </a:extLst>
        </xdr:cNvPr>
        <xdr:cNvCxnSpPr/>
      </xdr:nvCxnSpPr>
      <xdr:spPr>
        <a:xfrm rot="5400000">
          <a:off x="25873132" y="5657053"/>
          <a:ext cx="546451" cy="506443"/>
        </a:xfrm>
        <a:prstGeom prst="curved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29</xdr:col>
      <xdr:colOff>767907</xdr:colOff>
      <xdr:row>26</xdr:row>
      <xdr:rowOff>29534</xdr:rowOff>
    </xdr:from>
    <xdr:to>
      <xdr:col>32</xdr:col>
      <xdr:colOff>437800</xdr:colOff>
      <xdr:row>29</xdr:row>
      <xdr:rowOff>73837</xdr:rowOff>
    </xdr:to>
    <xdr:cxnSp macro="">
      <xdr:nvCxnSpPr>
        <xdr:cNvPr id="6" name="Curved Connector 5">
          <a:extLst>
            <a:ext uri="{FF2B5EF4-FFF2-40B4-BE49-F238E27FC236}">
              <a16:creationId xmlns:a16="http://schemas.microsoft.com/office/drawing/2014/main" id="{A87FC2D5-781A-8E42-8591-C9CF197B0EEF}"/>
            </a:ext>
          </a:extLst>
        </xdr:cNvPr>
        <xdr:cNvCxnSpPr>
          <a:endCxn id="7" idx="0"/>
        </xdr:cNvCxnSpPr>
      </xdr:nvCxnSpPr>
      <xdr:spPr>
        <a:xfrm>
          <a:off x="29342907" y="5655634"/>
          <a:ext cx="2146393" cy="65390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29</xdr:col>
      <xdr:colOff>9465</xdr:colOff>
      <xdr:row>29</xdr:row>
      <xdr:rowOff>73837</xdr:rowOff>
    </xdr:from>
    <xdr:to>
      <xdr:col>36</xdr:col>
      <xdr:colOff>36402</xdr:colOff>
      <xdr:row>45</xdr:row>
      <xdr:rowOff>154346</xdr:rowOff>
    </xdr:to>
    <xdr:pic>
      <xdr:nvPicPr>
        <xdr:cNvPr id="7" name="Picture 6">
          <a:extLst>
            <a:ext uri="{FF2B5EF4-FFF2-40B4-BE49-F238E27FC236}">
              <a16:creationId xmlns:a16="http://schemas.microsoft.com/office/drawing/2014/main" id="{6949439D-BADC-F144-A9F2-B918F54F0C6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8677598" y="6339170"/>
          <a:ext cx="5835071" cy="3501043"/>
        </a:xfrm>
        <a:prstGeom prst="rect">
          <a:avLst/>
        </a:prstGeom>
      </xdr:spPr>
    </xdr:pic>
    <xdr:clientData/>
  </xdr:twoCellAnchor>
  <xdr:twoCellAnchor editAs="oneCell">
    <xdr:from>
      <xdr:col>31</xdr:col>
      <xdr:colOff>711854</xdr:colOff>
      <xdr:row>4</xdr:row>
      <xdr:rowOff>119283</xdr:rowOff>
    </xdr:from>
    <xdr:to>
      <xdr:col>41</xdr:col>
      <xdr:colOff>90314</xdr:colOff>
      <xdr:row>25</xdr:row>
      <xdr:rowOff>75065</xdr:rowOff>
    </xdr:to>
    <xdr:pic>
      <xdr:nvPicPr>
        <xdr:cNvPr id="8" name="Picture 7">
          <a:extLst>
            <a:ext uri="{FF2B5EF4-FFF2-40B4-BE49-F238E27FC236}">
              <a16:creationId xmlns:a16="http://schemas.microsoft.com/office/drawing/2014/main" id="{E7A9EF38-338C-2A43-A47B-2ADC661E69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30893030" y="1030695"/>
          <a:ext cx="7596108" cy="4557664"/>
        </a:xfrm>
        <a:prstGeom prst="rect">
          <a:avLst/>
        </a:prstGeom>
      </xdr:spPr>
    </xdr:pic>
    <xdr:clientData/>
  </xdr:twoCellAnchor>
  <xdr:twoCellAnchor editAs="oneCell">
    <xdr:from>
      <xdr:col>22</xdr:col>
      <xdr:colOff>17337</xdr:colOff>
      <xdr:row>49</xdr:row>
      <xdr:rowOff>9633</xdr:rowOff>
    </xdr:from>
    <xdr:to>
      <xdr:col>27</xdr:col>
      <xdr:colOff>219796</xdr:colOff>
      <xdr:row>65</xdr:row>
      <xdr:rowOff>31645</xdr:rowOff>
    </xdr:to>
    <xdr:pic>
      <xdr:nvPicPr>
        <xdr:cNvPr id="9" name="Picture 8">
          <a:extLst>
            <a:ext uri="{FF2B5EF4-FFF2-40B4-BE49-F238E27FC236}">
              <a16:creationId xmlns:a16="http://schemas.microsoft.com/office/drawing/2014/main" id="{2AC9208F-1C69-B647-82EF-CD64487779C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2877337" y="10592966"/>
          <a:ext cx="4351126" cy="3391746"/>
        </a:xfrm>
        <a:prstGeom prst="rect">
          <a:avLst/>
        </a:prstGeom>
      </xdr:spPr>
    </xdr:pic>
    <xdr:clientData/>
  </xdr:twoCellAnchor>
  <xdr:twoCellAnchor editAs="oneCell">
    <xdr:from>
      <xdr:col>27</xdr:col>
      <xdr:colOff>667289</xdr:colOff>
      <xdr:row>48</xdr:row>
      <xdr:rowOff>163977</xdr:rowOff>
    </xdr:from>
    <xdr:to>
      <xdr:col>36</xdr:col>
      <xdr:colOff>620795</xdr:colOff>
      <xdr:row>65</xdr:row>
      <xdr:rowOff>146642</xdr:rowOff>
    </xdr:to>
    <xdr:pic>
      <xdr:nvPicPr>
        <xdr:cNvPr id="10" name="Picture 9">
          <a:extLst>
            <a:ext uri="{FF2B5EF4-FFF2-40B4-BE49-F238E27FC236}">
              <a16:creationId xmlns:a16="http://schemas.microsoft.com/office/drawing/2014/main" id="{26ED8195-D16A-D640-B207-11890DCAC88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7524903" y="10439432"/>
          <a:ext cx="7357028" cy="3532892"/>
        </a:xfrm>
        <a:prstGeom prst="rect">
          <a:avLst/>
        </a:prstGeom>
      </xdr:spPr>
    </xdr:pic>
    <xdr:clientData/>
  </xdr:twoCellAnchor>
  <xdr:twoCellAnchor editAs="oneCell">
    <xdr:from>
      <xdr:col>37</xdr:col>
      <xdr:colOff>63899</xdr:colOff>
      <xdr:row>49</xdr:row>
      <xdr:rowOff>147075</xdr:rowOff>
    </xdr:from>
    <xdr:to>
      <xdr:col>44</xdr:col>
      <xdr:colOff>27734</xdr:colOff>
      <xdr:row>64</xdr:row>
      <xdr:rowOff>90889</xdr:rowOff>
    </xdr:to>
    <xdr:pic>
      <xdr:nvPicPr>
        <xdr:cNvPr id="11" name="Picture 10">
          <a:extLst>
            <a:ext uri="{FF2B5EF4-FFF2-40B4-BE49-F238E27FC236}">
              <a16:creationId xmlns:a16="http://schemas.microsoft.com/office/drawing/2014/main" id="{AF3AAF0E-34CC-0B40-ACEA-A2EBBB8700E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35147649" y="10624575"/>
          <a:ext cx="5722130" cy="3089950"/>
        </a:xfrm>
        <a:prstGeom prst="rect">
          <a:avLst/>
        </a:prstGeom>
      </xdr:spPr>
    </xdr:pic>
    <xdr:clientData/>
  </xdr:twoCellAnchor>
  <xdr:twoCellAnchor editAs="oneCell">
    <xdr:from>
      <xdr:col>36</xdr:col>
      <xdr:colOff>177676</xdr:colOff>
      <xdr:row>27</xdr:row>
      <xdr:rowOff>66843</xdr:rowOff>
    </xdr:from>
    <xdr:to>
      <xdr:col>42</xdr:col>
      <xdr:colOff>653075</xdr:colOff>
      <xdr:row>47</xdr:row>
      <xdr:rowOff>134</xdr:rowOff>
    </xdr:to>
    <xdr:pic>
      <xdr:nvPicPr>
        <xdr:cNvPr id="12" name="Picture 11">
          <a:extLst>
            <a:ext uri="{FF2B5EF4-FFF2-40B4-BE49-F238E27FC236}">
              <a16:creationId xmlns:a16="http://schemas.microsoft.com/office/drawing/2014/main" id="{EBA79C14-13FF-AA4A-AC9A-20DE7DE259A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34653943" y="5925776"/>
          <a:ext cx="5453799" cy="4251291"/>
        </a:xfrm>
        <a:prstGeom prst="rect">
          <a:avLst/>
        </a:prstGeom>
      </xdr:spPr>
    </xdr:pic>
    <xdr:clientData/>
  </xdr:twoCellAnchor>
  <xdr:twoCellAnchor>
    <xdr:from>
      <xdr:col>40</xdr:col>
      <xdr:colOff>169825</xdr:colOff>
      <xdr:row>37</xdr:row>
      <xdr:rowOff>29535</xdr:rowOff>
    </xdr:from>
    <xdr:to>
      <xdr:col>40</xdr:col>
      <xdr:colOff>723604</xdr:colOff>
      <xdr:row>38</xdr:row>
      <xdr:rowOff>169826</xdr:rowOff>
    </xdr:to>
    <xdr:cxnSp macro="">
      <xdr:nvCxnSpPr>
        <xdr:cNvPr id="13" name="Straight Arrow Connector 12">
          <a:extLst>
            <a:ext uri="{FF2B5EF4-FFF2-40B4-BE49-F238E27FC236}">
              <a16:creationId xmlns:a16="http://schemas.microsoft.com/office/drawing/2014/main" id="{741B3552-810F-4D49-9759-02C60A95640F}"/>
            </a:ext>
          </a:extLst>
        </xdr:cNvPr>
        <xdr:cNvCxnSpPr/>
      </xdr:nvCxnSpPr>
      <xdr:spPr>
        <a:xfrm>
          <a:off x="37856337" y="7996570"/>
          <a:ext cx="553779" cy="347035"/>
        </a:xfrm>
        <a:prstGeom prst="straightConnector1">
          <a:avLst/>
        </a:prstGeom>
        <a:ln>
          <a:solidFill>
            <a:srgbClr val="FF0000"/>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811824</xdr:colOff>
      <xdr:row>27</xdr:row>
      <xdr:rowOff>41365</xdr:rowOff>
    </xdr:from>
    <xdr:to>
      <xdr:col>36</xdr:col>
      <xdr:colOff>660099</xdr:colOff>
      <xdr:row>27</xdr:row>
      <xdr:rowOff>52604</xdr:rowOff>
    </xdr:to>
    <xdr:cxnSp macro="">
      <xdr:nvCxnSpPr>
        <xdr:cNvPr id="14" name="Straight Arrow Connector 13">
          <a:extLst>
            <a:ext uri="{FF2B5EF4-FFF2-40B4-BE49-F238E27FC236}">
              <a16:creationId xmlns:a16="http://schemas.microsoft.com/office/drawing/2014/main" id="{B6CC2462-A70C-9945-AEE4-745FFF90BFC0}"/>
            </a:ext>
          </a:extLst>
        </xdr:cNvPr>
        <xdr:cNvCxnSpPr/>
      </xdr:nvCxnSpPr>
      <xdr:spPr>
        <a:xfrm flipV="1">
          <a:off x="34339824" y="5870665"/>
          <a:ext cx="673775" cy="11239"/>
        </a:xfrm>
        <a:prstGeom prst="straightConnector1">
          <a:avLst/>
        </a:prstGeom>
        <a:ln>
          <a:solidFill>
            <a:srgbClr val="FF0000"/>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38</xdr:col>
      <xdr:colOff>435640</xdr:colOff>
      <xdr:row>36</xdr:row>
      <xdr:rowOff>22151</xdr:rowOff>
    </xdr:from>
    <xdr:to>
      <xdr:col>40</xdr:col>
      <xdr:colOff>44302</xdr:colOff>
      <xdr:row>36</xdr:row>
      <xdr:rowOff>118140</xdr:rowOff>
    </xdr:to>
    <xdr:cxnSp macro="">
      <xdr:nvCxnSpPr>
        <xdr:cNvPr id="15" name="Straight Arrow Connector 14">
          <a:extLst>
            <a:ext uri="{FF2B5EF4-FFF2-40B4-BE49-F238E27FC236}">
              <a16:creationId xmlns:a16="http://schemas.microsoft.com/office/drawing/2014/main" id="{8B7AFA4B-D2E1-FF4E-B5C7-704ED5B280A0}"/>
            </a:ext>
          </a:extLst>
        </xdr:cNvPr>
        <xdr:cNvCxnSpPr/>
      </xdr:nvCxnSpPr>
      <xdr:spPr>
        <a:xfrm>
          <a:off x="36468198" y="7775058"/>
          <a:ext cx="1262616" cy="95989"/>
        </a:xfrm>
        <a:prstGeom prst="straightConnector1">
          <a:avLst/>
        </a:prstGeom>
        <a:ln>
          <a:solidFill>
            <a:srgbClr val="FF0000"/>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389572</xdr:colOff>
      <xdr:row>36</xdr:row>
      <xdr:rowOff>201777</xdr:rowOff>
    </xdr:from>
    <xdr:to>
      <xdr:col>40</xdr:col>
      <xdr:colOff>799794</xdr:colOff>
      <xdr:row>37</xdr:row>
      <xdr:rowOff>177535</xdr:rowOff>
    </xdr:to>
    <xdr:sp macro="" textlink="">
      <xdr:nvSpPr>
        <xdr:cNvPr id="16" name="TextBox 15">
          <a:extLst>
            <a:ext uri="{FF2B5EF4-FFF2-40B4-BE49-F238E27FC236}">
              <a16:creationId xmlns:a16="http://schemas.microsoft.com/office/drawing/2014/main" id="{D92834FF-485C-E244-9E41-B77C69D2A87E}"/>
            </a:ext>
          </a:extLst>
        </xdr:cNvPr>
        <xdr:cNvSpPr txBox="1"/>
      </xdr:nvSpPr>
      <xdr:spPr>
        <a:xfrm>
          <a:off x="38076084" y="7954684"/>
          <a:ext cx="410222" cy="189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hh6</a:t>
          </a:r>
        </a:p>
      </xdr:txBody>
    </xdr:sp>
    <xdr:clientData/>
  </xdr:twoCellAnchor>
  <xdr:twoCellAnchor>
    <xdr:from>
      <xdr:col>39</xdr:col>
      <xdr:colOff>20081</xdr:colOff>
      <xdr:row>35</xdr:row>
      <xdr:rowOff>1326</xdr:rowOff>
    </xdr:from>
    <xdr:to>
      <xdr:col>39</xdr:col>
      <xdr:colOff>431218</xdr:colOff>
      <xdr:row>35</xdr:row>
      <xdr:rowOff>191212</xdr:rowOff>
    </xdr:to>
    <xdr:sp macro="" textlink="">
      <xdr:nvSpPr>
        <xdr:cNvPr id="17" name="TextBox 16">
          <a:extLst>
            <a:ext uri="{FF2B5EF4-FFF2-40B4-BE49-F238E27FC236}">
              <a16:creationId xmlns:a16="http://schemas.microsoft.com/office/drawing/2014/main" id="{CA0D4A71-F8B8-FC42-A6AA-BA598CCEA4EC}"/>
            </a:ext>
          </a:extLst>
        </xdr:cNvPr>
        <xdr:cNvSpPr txBox="1"/>
      </xdr:nvSpPr>
      <xdr:spPr>
        <a:xfrm>
          <a:off x="36879616" y="7547489"/>
          <a:ext cx="411137" cy="189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nh3</a:t>
          </a:r>
        </a:p>
        <a:p>
          <a:endParaRPr lang="en-US" sz="1100">
            <a:solidFill>
              <a:srgbClr val="FF0000"/>
            </a:solidFill>
          </a:endParaRPr>
        </a:p>
        <a:p>
          <a:endParaRPr lang="en-US" sz="1100">
            <a:solidFill>
              <a:srgbClr val="FF0000"/>
            </a:solidFill>
          </a:endParaRPr>
        </a:p>
        <a:p>
          <a:endParaRPr lang="en-US" sz="1100">
            <a:solidFill>
              <a:srgbClr val="FF0000"/>
            </a:solidFill>
          </a:endParaRPr>
        </a:p>
      </xdr:txBody>
    </xdr:sp>
    <xdr:clientData/>
  </xdr:twoCellAnchor>
  <xdr:twoCellAnchor>
    <xdr:from>
      <xdr:col>33</xdr:col>
      <xdr:colOff>808105</xdr:colOff>
      <xdr:row>20</xdr:row>
      <xdr:rowOff>81952</xdr:rowOff>
    </xdr:from>
    <xdr:to>
      <xdr:col>34</xdr:col>
      <xdr:colOff>313884</xdr:colOff>
      <xdr:row>21</xdr:row>
      <xdr:rowOff>189609</xdr:rowOff>
    </xdr:to>
    <xdr:sp macro="" textlink="">
      <xdr:nvSpPr>
        <xdr:cNvPr id="19" name="Oval 18">
          <a:extLst>
            <a:ext uri="{FF2B5EF4-FFF2-40B4-BE49-F238E27FC236}">
              <a16:creationId xmlns:a16="http://schemas.microsoft.com/office/drawing/2014/main" id="{FB143D6A-9AA9-9046-9F30-303E91FBCF20}"/>
            </a:ext>
          </a:extLst>
        </xdr:cNvPr>
        <xdr:cNvSpPr/>
      </xdr:nvSpPr>
      <xdr:spPr>
        <a:xfrm>
          <a:off x="32701204" y="4482234"/>
          <a:ext cx="332173" cy="311572"/>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883881</xdr:colOff>
      <xdr:row>5</xdr:row>
      <xdr:rowOff>54591</xdr:rowOff>
    </xdr:from>
    <xdr:ext cx="3522118" cy="284373"/>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F5DD21B2-CF80-E848-8313-5CF7989790A8}"/>
                </a:ext>
              </a:extLst>
            </xdr:cNvPr>
            <xdr:cNvSpPr txBox="1"/>
          </xdr:nvSpPr>
          <xdr:spPr>
            <a:xfrm>
              <a:off x="1709381" y="1159491"/>
              <a:ext cx="3522118"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𝑎</m:t>
                        </m:r>
                      </m:sub>
                    </m:sSub>
                    <m:r>
                      <a:rPr lang="it-IT" sz="1800" b="0" i="1">
                        <a:latin typeface="Cambria Math" panose="02040503050406030204" pitchFamily="18" charset="0"/>
                      </a:rPr>
                      <m:t>=</m:t>
                    </m:r>
                    <m:sSub>
                      <m:sSubPr>
                        <m:ctrlPr>
                          <a:rPr lang="it-IT" sz="1800" b="0" i="1">
                            <a:latin typeface="Cambria Math" panose="02040503050406030204" pitchFamily="18" charset="0"/>
                          </a:rPr>
                        </m:ctrlPr>
                      </m:sSubPr>
                      <m:e>
                        <m:d>
                          <m:dPr>
                            <m:ctrlPr>
                              <a:rPr lang="it-IT" sz="1800" b="0" i="1">
                                <a:latin typeface="Cambria Math" panose="02040503050406030204" pitchFamily="18" charset="0"/>
                              </a:rPr>
                            </m:ctrlPr>
                          </m:dPr>
                          <m:e>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𝑒𝑙</m:t>
                                </m:r>
                              </m:sub>
                            </m:sSub>
                            <m:r>
                              <a:rPr lang="it-IT" sz="1800" b="0" i="1">
                                <a:latin typeface="Cambria Math" panose="02040503050406030204" pitchFamily="18" charset="0"/>
                              </a:rPr>
                              <m:t>+</m:t>
                            </m:r>
                            <m:r>
                              <a:rPr lang="it-IT" sz="1800" b="0" i="1">
                                <a:latin typeface="Cambria Math" panose="02040503050406030204" pitchFamily="18" charset="0"/>
                              </a:rPr>
                              <m:t>𝑍𝑃𝐸</m:t>
                            </m:r>
                          </m:e>
                        </m:d>
                      </m:e>
                      <m:sub>
                        <m:r>
                          <a:rPr lang="it-IT" sz="1800" b="0" i="1">
                            <a:latin typeface="Cambria Math" panose="02040503050406030204" pitchFamily="18" charset="0"/>
                            <a:ea typeface="Cambria Math" panose="02040503050406030204" pitchFamily="18" charset="0"/>
                          </a:rPr>
                          <m:t>≠</m:t>
                        </m:r>
                      </m:sub>
                    </m:sSub>
                    <m:r>
                      <a:rPr lang="it-IT" sz="1800" b="0" i="1">
                        <a:latin typeface="Cambria Math" panose="02040503050406030204" pitchFamily="18" charset="0"/>
                      </a:rPr>
                      <m:t>−</m:t>
                    </m:r>
                    <m:sSub>
                      <m:sSubPr>
                        <m:ctrlPr>
                          <a:rPr lang="it-IT" sz="1800" b="0" i="1">
                            <a:latin typeface="Cambria Math" panose="02040503050406030204" pitchFamily="18" charset="0"/>
                          </a:rPr>
                        </m:ctrlPr>
                      </m:sSubPr>
                      <m:e>
                        <m:d>
                          <m:dPr>
                            <m:ctrlPr>
                              <a:rPr lang="it-IT" sz="1800" b="0" i="1">
                                <a:latin typeface="Cambria Math" panose="02040503050406030204" pitchFamily="18" charset="0"/>
                              </a:rPr>
                            </m:ctrlPr>
                          </m:dPr>
                          <m:e>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𝑒𝑙</m:t>
                                </m:r>
                              </m:sub>
                            </m:sSub>
                            <m:r>
                              <a:rPr lang="it-IT" sz="1800" b="0" i="1">
                                <a:latin typeface="Cambria Math" panose="02040503050406030204" pitchFamily="18" charset="0"/>
                              </a:rPr>
                              <m:t>+</m:t>
                            </m:r>
                            <m:r>
                              <a:rPr lang="it-IT" sz="1800" b="0" i="1">
                                <a:latin typeface="Cambria Math" panose="02040503050406030204" pitchFamily="18" charset="0"/>
                              </a:rPr>
                              <m:t>𝑍𝑃𝐸</m:t>
                            </m:r>
                          </m:e>
                        </m:d>
                      </m:e>
                      <m:sub>
                        <m:r>
                          <a:rPr lang="it-IT" sz="1800" b="0" i="1">
                            <a:latin typeface="Cambria Math" panose="02040503050406030204" pitchFamily="18" charset="0"/>
                          </a:rPr>
                          <m:t>𝑅</m:t>
                        </m:r>
                      </m:sub>
                    </m:sSub>
                  </m:oMath>
                </m:oMathPara>
              </a14:m>
              <a:endParaRPr lang="en-US" sz="1800"/>
            </a:p>
          </xdr:txBody>
        </xdr:sp>
      </mc:Choice>
      <mc:Fallback xmlns="">
        <xdr:sp macro="" textlink="">
          <xdr:nvSpPr>
            <xdr:cNvPr id="20" name="TextBox 19">
              <a:extLst>
                <a:ext uri="{FF2B5EF4-FFF2-40B4-BE49-F238E27FC236}">
                  <a16:creationId xmlns:a16="http://schemas.microsoft.com/office/drawing/2014/main" id="{F5DD21B2-CF80-E848-8313-5CF7989790A8}"/>
                </a:ext>
              </a:extLst>
            </xdr:cNvPr>
            <xdr:cNvSpPr txBox="1"/>
          </xdr:nvSpPr>
          <xdr:spPr>
            <a:xfrm>
              <a:off x="1709381" y="1159491"/>
              <a:ext cx="3522118"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𝐸</a:t>
              </a:r>
              <a:r>
                <a:rPr lang="en-US" sz="1800" b="0" i="0">
                  <a:latin typeface="Cambria Math" panose="02040503050406030204" pitchFamily="18" charset="0"/>
                </a:rPr>
                <a:t>_</a:t>
              </a:r>
              <a:r>
                <a:rPr lang="it-IT" sz="1800" b="0" i="0">
                  <a:latin typeface="Cambria Math" panose="02040503050406030204" pitchFamily="18" charset="0"/>
                </a:rPr>
                <a:t>𝑎=(𝐸_𝑒𝑙+𝑍𝑃𝐸)_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−(𝐸_𝑒𝑙+𝑍𝑃𝐸)_𝑅</a:t>
              </a:r>
              <a:endParaRPr lang="en-US" sz="1800"/>
            </a:p>
          </xdr:txBody>
        </xdr:sp>
      </mc:Fallback>
    </mc:AlternateContent>
    <xdr:clientData/>
  </xdr:oneCellAnchor>
  <xdr:oneCellAnchor>
    <xdr:from>
      <xdr:col>1</xdr:col>
      <xdr:colOff>616870</xdr:colOff>
      <xdr:row>12</xdr:row>
      <xdr:rowOff>11813</xdr:rowOff>
    </xdr:from>
    <xdr:ext cx="4844916" cy="741806"/>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700EFDDE-AE88-7740-A1F3-92ABDA3FA9E6}"/>
                </a:ext>
              </a:extLst>
            </xdr:cNvPr>
            <xdr:cNvSpPr txBox="1"/>
          </xdr:nvSpPr>
          <xdr:spPr>
            <a:xfrm>
              <a:off x="1442370" y="2666113"/>
              <a:ext cx="4844916" cy="741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𝑐</m:t>
                        </m:r>
                      </m:sub>
                    </m:sSub>
                    <m:r>
                      <a:rPr lang="it-IT" sz="1800" b="0" i="1">
                        <a:latin typeface="Cambria Math" panose="02040503050406030204" pitchFamily="18" charset="0"/>
                      </a:rPr>
                      <m:t>=</m:t>
                    </m:r>
                    <m:f>
                      <m:fPr>
                        <m:ctrlPr>
                          <a:rPr lang="it-IT" sz="1800" b="0" i="1">
                            <a:latin typeface="Cambria Math" panose="02040503050406030204" pitchFamily="18" charset="0"/>
                          </a:rPr>
                        </m:ctrlPr>
                      </m:fPr>
                      <m:num>
                        <m:sSub>
                          <m:sSubPr>
                            <m:ctrlPr>
                              <a:rPr lang="it-IT" sz="1800" b="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𝑏</m:t>
                            </m:r>
                          </m:sub>
                        </m:sSub>
                        <m:r>
                          <a:rPr lang="it-IT" sz="1800" b="0" i="1">
                            <a:latin typeface="Cambria Math" panose="02040503050406030204" pitchFamily="18" charset="0"/>
                          </a:rPr>
                          <m:t>𝑇</m:t>
                        </m:r>
                      </m:num>
                      <m:den>
                        <m:r>
                          <a:rPr lang="it-IT" sz="1800" b="0" i="1">
                            <a:latin typeface="Cambria Math" panose="02040503050406030204" pitchFamily="18" charset="0"/>
                          </a:rPr>
                          <m:t>h</m:t>
                        </m:r>
                      </m:den>
                    </m:f>
                    <m:f>
                      <m:fPr>
                        <m:ctrlPr>
                          <a:rPr lang="it-IT" sz="1800" b="0" i="1">
                            <a:latin typeface="Cambria Math" panose="02040503050406030204" pitchFamily="18" charset="0"/>
                          </a:rPr>
                        </m:ctrlPr>
                      </m:fPr>
                      <m:num>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rPr>
                              <m:t>𝑡𝑟𝑎𝑠𝑙</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ea typeface="Cambria Math" panose="02040503050406030204" pitchFamily="18" charset="0"/>
                              </a:rPr>
                              <m:t>𝑟𝑜𝑡</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ea typeface="Cambria Math" panose="02040503050406030204" pitchFamily="18" charset="0"/>
                              </a:rPr>
                              <m:t>𝑣𝑖𝑏</m:t>
                            </m:r>
                            <m:r>
                              <a:rPr lang="it-IT" sz="1800" b="0" i="1">
                                <a:latin typeface="Cambria Math" panose="02040503050406030204" pitchFamily="18" charset="0"/>
                                <a:ea typeface="Cambria Math" panose="02040503050406030204" pitchFamily="18" charset="0"/>
                              </a:rPr>
                              <m:t>(</m:t>
                            </m:r>
                            <m:r>
                              <a:rPr lang="it-IT" sz="1800" b="0" i="1">
                                <a:latin typeface="Cambria Math" panose="02040503050406030204" pitchFamily="18" charset="0"/>
                                <a:ea typeface="Cambria Math" panose="02040503050406030204" pitchFamily="18" charset="0"/>
                              </a:rPr>
                              <m:t>𝜐</m:t>
                            </m:r>
                            <m:r>
                              <a:rPr lang="it-IT" sz="1800" b="0" i="1">
                                <a:latin typeface="Cambria Math" panose="02040503050406030204" pitchFamily="18" charset="0"/>
                                <a:ea typeface="Cambria Math" panose="02040503050406030204" pitchFamily="18" charset="0"/>
                              </a:rPr>
                              <m:t>=0)</m:t>
                            </m:r>
                          </m:sup>
                        </m:sSubSup>
                        <m:sSubSup>
                          <m:sSubSupPr>
                            <m:ctrlPr>
                              <a:rPr lang="it-IT" sz="1800" b="0" i="1">
                                <a:latin typeface="Cambria Math" panose="02040503050406030204" pitchFamily="18" charset="0"/>
                              </a:rPr>
                            </m:ctrlPr>
                          </m:sSubSupPr>
                          <m:e>
                            <m:r>
                              <a:rPr lang="it-IT" sz="1800" b="0" i="1">
                                <a:latin typeface="Cambria Math" panose="02040503050406030204" pitchFamily="18" charset="0"/>
                              </a:rPr>
                              <m:t>𝑔</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rPr>
                              <m:t>𝑒𝑙</m:t>
                            </m:r>
                          </m:sup>
                        </m:sSubSup>
                        <m:r>
                          <m:rPr>
                            <m:sty m:val="p"/>
                          </m:rPr>
                          <a:rPr lang="it-IT" sz="1800" b="0" i="0">
                            <a:latin typeface="Cambria Math" panose="02040503050406030204" pitchFamily="18" charset="0"/>
                          </a:rPr>
                          <m:t>exp</m:t>
                        </m:r>
                        <m:r>
                          <a:rPr lang="it-IT" sz="1800" b="0" i="1">
                            <a:latin typeface="Cambria Math" panose="02040503050406030204" pitchFamily="18" charset="0"/>
                          </a:rPr>
                          <m:t>⁡(−</m:t>
                        </m:r>
                        <m:f>
                          <m:fPr>
                            <m:type m:val="lin"/>
                            <m:ctrlPr>
                              <a:rPr lang="it-IT" sz="1800" b="0" i="1">
                                <a:latin typeface="Cambria Math" panose="02040503050406030204" pitchFamily="18" charset="0"/>
                              </a:rPr>
                            </m:ctrlPr>
                          </m:fPr>
                          <m:num>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𝑎</m:t>
                                </m:r>
                              </m:sub>
                            </m:sSub>
                          </m:num>
                          <m:den>
                            <m:sSub>
                              <m:sSubPr>
                                <m:ctrlPr>
                                  <a:rPr lang="it-IT" sz="1800" b="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𝑏</m:t>
                                </m:r>
                              </m:sub>
                            </m:sSub>
                            <m:r>
                              <a:rPr lang="it-IT" sz="1800" b="0" i="1">
                                <a:latin typeface="Cambria Math" panose="02040503050406030204" pitchFamily="18" charset="0"/>
                              </a:rPr>
                              <m:t>𝑇</m:t>
                            </m:r>
                          </m:den>
                        </m:f>
                        <m:r>
                          <a:rPr lang="it-IT" sz="1800" b="0" i="1">
                            <a:latin typeface="Cambria Math" panose="02040503050406030204" pitchFamily="18" charset="0"/>
                          </a:rPr>
                          <m:t>)</m:t>
                        </m:r>
                      </m:num>
                      <m:den>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rPr>
                              <m:t>𝑡𝑟𝑎𝑠𝑙</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ea typeface="Cambria Math" panose="02040503050406030204" pitchFamily="18" charset="0"/>
                              </a:rPr>
                              <m:t>𝑟𝑜𝑡</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ea typeface="Cambria Math" panose="02040503050406030204" pitchFamily="18" charset="0"/>
                              </a:rPr>
                              <m:t>𝑣𝑖𝑏</m:t>
                            </m:r>
                            <m:r>
                              <a:rPr lang="it-IT" sz="1800" b="0" i="1">
                                <a:latin typeface="Cambria Math" panose="02040503050406030204" pitchFamily="18" charset="0"/>
                                <a:ea typeface="Cambria Math" panose="02040503050406030204" pitchFamily="18" charset="0"/>
                              </a:rPr>
                              <m:t>(</m:t>
                            </m:r>
                            <m:r>
                              <a:rPr lang="it-IT" sz="1800" b="0" i="1">
                                <a:latin typeface="Cambria Math" panose="02040503050406030204" pitchFamily="18" charset="0"/>
                                <a:ea typeface="Cambria Math" panose="02040503050406030204" pitchFamily="18" charset="0"/>
                              </a:rPr>
                              <m:t>𝜐</m:t>
                            </m:r>
                            <m:r>
                              <a:rPr lang="it-IT" sz="1800" b="0" i="1">
                                <a:latin typeface="Cambria Math" panose="02040503050406030204" pitchFamily="18" charset="0"/>
                                <a:ea typeface="Cambria Math" panose="02040503050406030204" pitchFamily="18" charset="0"/>
                              </a:rPr>
                              <m:t>=0)</m:t>
                            </m:r>
                          </m:sup>
                        </m:sSubSup>
                        <m:sSubSup>
                          <m:sSubSupPr>
                            <m:ctrlPr>
                              <a:rPr lang="it-IT" sz="1800" b="0" i="1">
                                <a:latin typeface="Cambria Math" panose="02040503050406030204" pitchFamily="18" charset="0"/>
                              </a:rPr>
                            </m:ctrlPr>
                          </m:sSubSupPr>
                          <m:e>
                            <m:r>
                              <a:rPr lang="it-IT" sz="1800" b="0" i="1">
                                <a:latin typeface="Cambria Math" panose="02040503050406030204" pitchFamily="18" charset="0"/>
                              </a:rPr>
                              <m:t>𝑔</m:t>
                            </m:r>
                          </m:e>
                          <m:sub>
                            <m:r>
                              <a:rPr lang="it-IT" sz="1800" b="0" i="1">
                                <a:latin typeface="Cambria Math" panose="02040503050406030204" pitchFamily="18" charset="0"/>
                              </a:rPr>
                              <m:t>𝑅</m:t>
                            </m:r>
                          </m:sub>
                          <m:sup>
                            <m:r>
                              <a:rPr lang="it-IT" sz="1800" b="0" i="1">
                                <a:latin typeface="Cambria Math" panose="02040503050406030204" pitchFamily="18" charset="0"/>
                              </a:rPr>
                              <m:t>𝑒𝑙</m:t>
                            </m:r>
                          </m:sup>
                        </m:sSubSup>
                      </m:den>
                    </m:f>
                  </m:oMath>
                </m:oMathPara>
              </a14:m>
              <a:endParaRPr lang="en-US" sz="1800"/>
            </a:p>
          </xdr:txBody>
        </xdr:sp>
      </mc:Choice>
      <mc:Fallback xmlns="">
        <xdr:sp macro="" textlink="">
          <xdr:nvSpPr>
            <xdr:cNvPr id="21" name="TextBox 20">
              <a:extLst>
                <a:ext uri="{FF2B5EF4-FFF2-40B4-BE49-F238E27FC236}">
                  <a16:creationId xmlns:a16="http://schemas.microsoft.com/office/drawing/2014/main" id="{700EFDDE-AE88-7740-A1F3-92ABDA3FA9E6}"/>
                </a:ext>
              </a:extLst>
            </xdr:cNvPr>
            <xdr:cNvSpPr txBox="1"/>
          </xdr:nvSpPr>
          <xdr:spPr>
            <a:xfrm>
              <a:off x="1442370" y="2666113"/>
              <a:ext cx="4844916" cy="741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𝑘</a:t>
              </a:r>
              <a:r>
                <a:rPr lang="en-US" sz="1800" b="0" i="0">
                  <a:latin typeface="Cambria Math" panose="02040503050406030204" pitchFamily="18" charset="0"/>
                </a:rPr>
                <a:t>_</a:t>
              </a:r>
              <a:r>
                <a:rPr lang="it-IT" sz="1800" b="0" i="0">
                  <a:latin typeface="Cambria Math" panose="02040503050406030204" pitchFamily="18" charset="0"/>
                </a:rPr>
                <a:t>𝑐=(𝑘_𝑏 𝑇)/ℎ  (𝑄_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𝑡𝑟𝑎𝑠𝑙  𝑄_</a:t>
              </a:r>
              <a:r>
                <a:rPr lang="it-IT" sz="1800" b="0" i="0">
                  <a:latin typeface="Cambria Math" panose="02040503050406030204" pitchFamily="18" charset="0"/>
                  <a:ea typeface="Cambria Math" panose="02040503050406030204" pitchFamily="18" charset="0"/>
                </a:rPr>
                <a:t>≠^𝑟𝑜𝑡 </a:t>
              </a:r>
              <a:r>
                <a:rPr lang="it-IT" sz="1800" b="0" i="0">
                  <a:latin typeface="Cambria Math" panose="02040503050406030204" pitchFamily="18" charset="0"/>
                </a:rPr>
                <a:t> 𝑄_</a:t>
              </a:r>
              <a:r>
                <a:rPr lang="it-IT" sz="1800" b="0" i="0">
                  <a:latin typeface="Cambria Math" panose="02040503050406030204" pitchFamily="18" charset="0"/>
                  <a:ea typeface="Cambria Math" panose="02040503050406030204" pitchFamily="18" charset="0"/>
                </a:rPr>
                <a:t>≠^(𝑣𝑖𝑏(𝜐=0)) </a:t>
              </a:r>
              <a:r>
                <a:rPr lang="it-IT" sz="1800" b="0" i="0">
                  <a:latin typeface="Cambria Math" panose="02040503050406030204" pitchFamily="18" charset="0"/>
                </a:rPr>
                <a:t>𝑔_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𝑒𝑙 exp⁡(−𝐸_𝑎∕〖𝑘_𝑏 𝑇〗))/(𝑄_𝑅^𝑡𝑟𝑎𝑠𝑙  𝑄_𝑅^</a:t>
              </a:r>
              <a:r>
                <a:rPr lang="it-IT" sz="1800" b="0" i="0">
                  <a:latin typeface="Cambria Math" panose="02040503050406030204" pitchFamily="18" charset="0"/>
                  <a:ea typeface="Cambria Math" panose="02040503050406030204" pitchFamily="18" charset="0"/>
                </a:rPr>
                <a:t>𝑟𝑜𝑡 </a:t>
              </a:r>
              <a:r>
                <a:rPr lang="it-IT" sz="1800" b="0" i="0">
                  <a:latin typeface="Cambria Math" panose="02040503050406030204" pitchFamily="18" charset="0"/>
                </a:rPr>
                <a:t> 𝑄_𝑅^(</a:t>
              </a:r>
              <a:r>
                <a:rPr lang="it-IT" sz="1800" b="0" i="0">
                  <a:latin typeface="Cambria Math" panose="02040503050406030204" pitchFamily="18" charset="0"/>
                  <a:ea typeface="Cambria Math" panose="02040503050406030204" pitchFamily="18" charset="0"/>
                </a:rPr>
                <a:t>𝑣𝑖𝑏(𝜐=0)) </a:t>
              </a:r>
              <a:r>
                <a:rPr lang="it-IT" sz="1800" b="0" i="0">
                  <a:latin typeface="Cambria Math" panose="02040503050406030204" pitchFamily="18" charset="0"/>
                </a:rPr>
                <a:t>𝑔_𝑅^𝑒𝑙 )</a:t>
              </a:r>
              <a:endParaRPr lang="en-US" sz="1800"/>
            </a:p>
          </xdr:txBody>
        </xdr:sp>
      </mc:Fallback>
    </mc:AlternateContent>
    <xdr:clientData/>
  </xdr:oneCellAnchor>
  <xdr:twoCellAnchor>
    <xdr:from>
      <xdr:col>16</xdr:col>
      <xdr:colOff>218319</xdr:colOff>
      <xdr:row>3</xdr:row>
      <xdr:rowOff>113694</xdr:rowOff>
    </xdr:from>
    <xdr:to>
      <xdr:col>21</xdr:col>
      <xdr:colOff>469901</xdr:colOff>
      <xdr:row>17</xdr:row>
      <xdr:rowOff>84968</xdr:rowOff>
    </xdr:to>
    <xdr:graphicFrame macro="">
      <xdr:nvGraphicFramePr>
        <xdr:cNvPr id="22" name="Chart 21">
          <a:extLst>
            <a:ext uri="{FF2B5EF4-FFF2-40B4-BE49-F238E27FC236}">
              <a16:creationId xmlns:a16="http://schemas.microsoft.com/office/drawing/2014/main" id="{0C37D4CD-7518-E642-BC28-5DF9F765BF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883881</xdr:colOff>
      <xdr:row>42</xdr:row>
      <xdr:rowOff>54591</xdr:rowOff>
    </xdr:from>
    <xdr:ext cx="3522118" cy="28437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E4F659A9-59A1-C04C-83CA-C00ED22FD94E}"/>
                </a:ext>
              </a:extLst>
            </xdr:cNvPr>
            <xdr:cNvSpPr txBox="1"/>
          </xdr:nvSpPr>
          <xdr:spPr>
            <a:xfrm>
              <a:off x="1709381" y="9033491"/>
              <a:ext cx="3522118"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𝑎</m:t>
                        </m:r>
                      </m:sub>
                    </m:sSub>
                    <m:r>
                      <a:rPr lang="it-IT" sz="1800" b="0" i="1">
                        <a:latin typeface="Cambria Math" panose="02040503050406030204" pitchFamily="18" charset="0"/>
                      </a:rPr>
                      <m:t>=</m:t>
                    </m:r>
                    <m:sSub>
                      <m:sSubPr>
                        <m:ctrlPr>
                          <a:rPr lang="it-IT" sz="1800" b="0" i="1">
                            <a:latin typeface="Cambria Math" panose="02040503050406030204" pitchFamily="18" charset="0"/>
                          </a:rPr>
                        </m:ctrlPr>
                      </m:sSubPr>
                      <m:e>
                        <m:d>
                          <m:dPr>
                            <m:ctrlPr>
                              <a:rPr lang="it-IT" sz="1800" b="0" i="1">
                                <a:latin typeface="Cambria Math" panose="02040503050406030204" pitchFamily="18" charset="0"/>
                              </a:rPr>
                            </m:ctrlPr>
                          </m:dPr>
                          <m:e>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𝑒𝑙</m:t>
                                </m:r>
                              </m:sub>
                            </m:sSub>
                            <m:r>
                              <a:rPr lang="it-IT" sz="1800" b="0" i="1">
                                <a:latin typeface="Cambria Math" panose="02040503050406030204" pitchFamily="18" charset="0"/>
                              </a:rPr>
                              <m:t>+</m:t>
                            </m:r>
                            <m:r>
                              <a:rPr lang="it-IT" sz="1800" b="0" i="1">
                                <a:latin typeface="Cambria Math" panose="02040503050406030204" pitchFamily="18" charset="0"/>
                              </a:rPr>
                              <m:t>𝑍𝑃𝐸</m:t>
                            </m:r>
                          </m:e>
                        </m:d>
                      </m:e>
                      <m:sub>
                        <m:r>
                          <a:rPr lang="it-IT" sz="1800" b="0" i="1">
                            <a:latin typeface="Cambria Math" panose="02040503050406030204" pitchFamily="18" charset="0"/>
                            <a:ea typeface="Cambria Math" panose="02040503050406030204" pitchFamily="18" charset="0"/>
                          </a:rPr>
                          <m:t>≠</m:t>
                        </m:r>
                      </m:sub>
                    </m:sSub>
                    <m:r>
                      <a:rPr lang="it-IT" sz="1800" b="0" i="1">
                        <a:latin typeface="Cambria Math" panose="02040503050406030204" pitchFamily="18" charset="0"/>
                      </a:rPr>
                      <m:t>−</m:t>
                    </m:r>
                    <m:sSub>
                      <m:sSubPr>
                        <m:ctrlPr>
                          <a:rPr lang="it-IT" sz="1800" b="0" i="1">
                            <a:latin typeface="Cambria Math" panose="02040503050406030204" pitchFamily="18" charset="0"/>
                          </a:rPr>
                        </m:ctrlPr>
                      </m:sSubPr>
                      <m:e>
                        <m:d>
                          <m:dPr>
                            <m:ctrlPr>
                              <a:rPr lang="it-IT" sz="1800" b="0" i="1">
                                <a:latin typeface="Cambria Math" panose="02040503050406030204" pitchFamily="18" charset="0"/>
                              </a:rPr>
                            </m:ctrlPr>
                          </m:dPr>
                          <m:e>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𝑒𝑙</m:t>
                                </m:r>
                              </m:sub>
                            </m:sSub>
                            <m:r>
                              <a:rPr lang="it-IT" sz="1800" b="0" i="1">
                                <a:latin typeface="Cambria Math" panose="02040503050406030204" pitchFamily="18" charset="0"/>
                              </a:rPr>
                              <m:t>+</m:t>
                            </m:r>
                            <m:r>
                              <a:rPr lang="it-IT" sz="1800" b="0" i="1">
                                <a:latin typeface="Cambria Math" panose="02040503050406030204" pitchFamily="18" charset="0"/>
                              </a:rPr>
                              <m:t>𝑍𝑃𝐸</m:t>
                            </m:r>
                          </m:e>
                        </m:d>
                      </m:e>
                      <m:sub>
                        <m:r>
                          <a:rPr lang="it-IT" sz="1800" b="0" i="1">
                            <a:latin typeface="Cambria Math" panose="02040503050406030204" pitchFamily="18" charset="0"/>
                          </a:rPr>
                          <m:t>𝑅</m:t>
                        </m:r>
                      </m:sub>
                    </m:sSub>
                  </m:oMath>
                </m:oMathPara>
              </a14:m>
              <a:endParaRPr lang="en-US" sz="1800"/>
            </a:p>
          </xdr:txBody>
        </xdr:sp>
      </mc:Choice>
      <mc:Fallback xmlns="">
        <xdr:sp macro="" textlink="">
          <xdr:nvSpPr>
            <xdr:cNvPr id="23" name="TextBox 22">
              <a:extLst>
                <a:ext uri="{FF2B5EF4-FFF2-40B4-BE49-F238E27FC236}">
                  <a16:creationId xmlns:a16="http://schemas.microsoft.com/office/drawing/2014/main" id="{E4F659A9-59A1-C04C-83CA-C00ED22FD94E}"/>
                </a:ext>
              </a:extLst>
            </xdr:cNvPr>
            <xdr:cNvSpPr txBox="1"/>
          </xdr:nvSpPr>
          <xdr:spPr>
            <a:xfrm>
              <a:off x="1709381" y="9033491"/>
              <a:ext cx="3522118" cy="284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𝐸</a:t>
              </a:r>
              <a:r>
                <a:rPr lang="en-US" sz="1800" b="0" i="0">
                  <a:latin typeface="Cambria Math" panose="02040503050406030204" pitchFamily="18" charset="0"/>
                </a:rPr>
                <a:t>_</a:t>
              </a:r>
              <a:r>
                <a:rPr lang="it-IT" sz="1800" b="0" i="0">
                  <a:latin typeface="Cambria Math" panose="02040503050406030204" pitchFamily="18" charset="0"/>
                </a:rPr>
                <a:t>𝑎=(𝐸_𝑒𝑙+𝑍𝑃𝐸)_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−(𝐸_𝑒𝑙+𝑍𝑃𝐸)_𝑅</a:t>
              </a:r>
              <a:endParaRPr lang="en-US" sz="1800"/>
            </a:p>
          </xdr:txBody>
        </xdr:sp>
      </mc:Fallback>
    </mc:AlternateContent>
    <xdr:clientData/>
  </xdr:oneCellAnchor>
  <xdr:oneCellAnchor>
    <xdr:from>
      <xdr:col>1</xdr:col>
      <xdr:colOff>616870</xdr:colOff>
      <xdr:row>49</xdr:row>
      <xdr:rowOff>11813</xdr:rowOff>
    </xdr:from>
    <xdr:ext cx="4844916" cy="741806"/>
    <mc:AlternateContent xmlns:mc="http://schemas.openxmlformats.org/markup-compatibility/2006" xmlns:a14="http://schemas.microsoft.com/office/drawing/2010/main">
      <mc:Choice Requires="a14">
        <xdr:sp macro="" textlink="">
          <xdr:nvSpPr>
            <xdr:cNvPr id="24" name="TextBox 23">
              <a:extLst>
                <a:ext uri="{FF2B5EF4-FFF2-40B4-BE49-F238E27FC236}">
                  <a16:creationId xmlns:a16="http://schemas.microsoft.com/office/drawing/2014/main" id="{F3286ACA-D49E-7E43-932D-1B73375E488B}"/>
                </a:ext>
              </a:extLst>
            </xdr:cNvPr>
            <xdr:cNvSpPr txBox="1"/>
          </xdr:nvSpPr>
          <xdr:spPr>
            <a:xfrm>
              <a:off x="1442370" y="10540113"/>
              <a:ext cx="4844916" cy="741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80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𝑐</m:t>
                        </m:r>
                      </m:sub>
                    </m:sSub>
                    <m:r>
                      <a:rPr lang="it-IT" sz="1800" b="0" i="1">
                        <a:latin typeface="Cambria Math" panose="02040503050406030204" pitchFamily="18" charset="0"/>
                      </a:rPr>
                      <m:t>=</m:t>
                    </m:r>
                    <m:f>
                      <m:fPr>
                        <m:ctrlPr>
                          <a:rPr lang="it-IT" sz="1800" b="0" i="1">
                            <a:latin typeface="Cambria Math" panose="02040503050406030204" pitchFamily="18" charset="0"/>
                          </a:rPr>
                        </m:ctrlPr>
                      </m:fPr>
                      <m:num>
                        <m:sSub>
                          <m:sSubPr>
                            <m:ctrlPr>
                              <a:rPr lang="it-IT" sz="1800" b="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𝑏</m:t>
                            </m:r>
                          </m:sub>
                        </m:sSub>
                        <m:r>
                          <a:rPr lang="it-IT" sz="1800" b="0" i="1">
                            <a:latin typeface="Cambria Math" panose="02040503050406030204" pitchFamily="18" charset="0"/>
                          </a:rPr>
                          <m:t>𝑇</m:t>
                        </m:r>
                      </m:num>
                      <m:den>
                        <m:r>
                          <a:rPr lang="it-IT" sz="1800" b="0" i="1">
                            <a:latin typeface="Cambria Math" panose="02040503050406030204" pitchFamily="18" charset="0"/>
                          </a:rPr>
                          <m:t>h</m:t>
                        </m:r>
                      </m:den>
                    </m:f>
                    <m:f>
                      <m:fPr>
                        <m:ctrlPr>
                          <a:rPr lang="it-IT" sz="1800" b="0" i="1">
                            <a:latin typeface="Cambria Math" panose="02040503050406030204" pitchFamily="18" charset="0"/>
                          </a:rPr>
                        </m:ctrlPr>
                      </m:fPr>
                      <m:num>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rPr>
                              <m:t>𝑡𝑟𝑎𝑠𝑙</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ea typeface="Cambria Math" panose="02040503050406030204" pitchFamily="18" charset="0"/>
                              </a:rPr>
                              <m:t>𝑟𝑜𝑡</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ea typeface="Cambria Math" panose="02040503050406030204" pitchFamily="18" charset="0"/>
                              </a:rPr>
                              <m:t>𝑣𝑖𝑏</m:t>
                            </m:r>
                            <m:r>
                              <a:rPr lang="it-IT" sz="1800" b="0" i="1">
                                <a:latin typeface="Cambria Math" panose="02040503050406030204" pitchFamily="18" charset="0"/>
                                <a:ea typeface="Cambria Math" panose="02040503050406030204" pitchFamily="18" charset="0"/>
                              </a:rPr>
                              <m:t>(</m:t>
                            </m:r>
                            <m:r>
                              <a:rPr lang="it-IT" sz="1800" b="0" i="1">
                                <a:latin typeface="Cambria Math" panose="02040503050406030204" pitchFamily="18" charset="0"/>
                                <a:ea typeface="Cambria Math" panose="02040503050406030204" pitchFamily="18" charset="0"/>
                              </a:rPr>
                              <m:t>𝜐</m:t>
                            </m:r>
                            <m:r>
                              <a:rPr lang="it-IT" sz="1800" b="0" i="1">
                                <a:latin typeface="Cambria Math" panose="02040503050406030204" pitchFamily="18" charset="0"/>
                                <a:ea typeface="Cambria Math" panose="02040503050406030204" pitchFamily="18" charset="0"/>
                              </a:rPr>
                              <m:t>=0)</m:t>
                            </m:r>
                          </m:sup>
                        </m:sSubSup>
                        <m:sSubSup>
                          <m:sSubSupPr>
                            <m:ctrlPr>
                              <a:rPr lang="it-IT" sz="1800" b="0" i="1">
                                <a:latin typeface="Cambria Math" panose="02040503050406030204" pitchFamily="18" charset="0"/>
                              </a:rPr>
                            </m:ctrlPr>
                          </m:sSubSupPr>
                          <m:e>
                            <m:r>
                              <a:rPr lang="it-IT" sz="1800" b="0" i="1">
                                <a:latin typeface="Cambria Math" panose="02040503050406030204" pitchFamily="18" charset="0"/>
                              </a:rPr>
                              <m:t>𝑔</m:t>
                            </m:r>
                          </m:e>
                          <m:sub>
                            <m:r>
                              <a:rPr lang="it-IT" sz="1800" b="0" i="1">
                                <a:latin typeface="Cambria Math" panose="02040503050406030204" pitchFamily="18" charset="0"/>
                                <a:ea typeface="Cambria Math" panose="02040503050406030204" pitchFamily="18" charset="0"/>
                              </a:rPr>
                              <m:t>≠</m:t>
                            </m:r>
                          </m:sub>
                          <m:sup>
                            <m:r>
                              <a:rPr lang="it-IT" sz="1800" b="0" i="1">
                                <a:latin typeface="Cambria Math" panose="02040503050406030204" pitchFamily="18" charset="0"/>
                              </a:rPr>
                              <m:t>𝑒𝑙</m:t>
                            </m:r>
                          </m:sup>
                        </m:sSubSup>
                        <m:r>
                          <m:rPr>
                            <m:sty m:val="p"/>
                          </m:rPr>
                          <a:rPr lang="it-IT" sz="1800" b="0" i="0">
                            <a:latin typeface="Cambria Math" panose="02040503050406030204" pitchFamily="18" charset="0"/>
                          </a:rPr>
                          <m:t>exp</m:t>
                        </m:r>
                        <m:r>
                          <a:rPr lang="it-IT" sz="1800" b="0" i="1">
                            <a:latin typeface="Cambria Math" panose="02040503050406030204" pitchFamily="18" charset="0"/>
                          </a:rPr>
                          <m:t>⁡(−</m:t>
                        </m:r>
                        <m:f>
                          <m:fPr>
                            <m:type m:val="lin"/>
                            <m:ctrlPr>
                              <a:rPr lang="it-IT" sz="1800" b="0" i="1">
                                <a:latin typeface="Cambria Math" panose="02040503050406030204" pitchFamily="18" charset="0"/>
                              </a:rPr>
                            </m:ctrlPr>
                          </m:fPr>
                          <m:num>
                            <m:sSub>
                              <m:sSubPr>
                                <m:ctrlPr>
                                  <a:rPr lang="it-IT" sz="1800" b="0" i="1">
                                    <a:latin typeface="Cambria Math" panose="02040503050406030204" pitchFamily="18" charset="0"/>
                                  </a:rPr>
                                </m:ctrlPr>
                              </m:sSubPr>
                              <m:e>
                                <m:r>
                                  <a:rPr lang="it-IT" sz="1800" b="0" i="1">
                                    <a:latin typeface="Cambria Math" panose="02040503050406030204" pitchFamily="18" charset="0"/>
                                  </a:rPr>
                                  <m:t>𝐸</m:t>
                                </m:r>
                              </m:e>
                              <m:sub>
                                <m:r>
                                  <a:rPr lang="it-IT" sz="1800" b="0" i="1">
                                    <a:latin typeface="Cambria Math" panose="02040503050406030204" pitchFamily="18" charset="0"/>
                                  </a:rPr>
                                  <m:t>𝑎</m:t>
                                </m:r>
                              </m:sub>
                            </m:sSub>
                          </m:num>
                          <m:den>
                            <m:sSub>
                              <m:sSubPr>
                                <m:ctrlPr>
                                  <a:rPr lang="it-IT" sz="1800" b="0" i="1">
                                    <a:latin typeface="Cambria Math" panose="02040503050406030204" pitchFamily="18" charset="0"/>
                                  </a:rPr>
                                </m:ctrlPr>
                              </m:sSubPr>
                              <m:e>
                                <m:r>
                                  <a:rPr lang="it-IT" sz="1800" b="0" i="1">
                                    <a:latin typeface="Cambria Math" panose="02040503050406030204" pitchFamily="18" charset="0"/>
                                  </a:rPr>
                                  <m:t>𝑘</m:t>
                                </m:r>
                              </m:e>
                              <m:sub>
                                <m:r>
                                  <a:rPr lang="it-IT" sz="1800" b="0" i="1">
                                    <a:latin typeface="Cambria Math" panose="02040503050406030204" pitchFamily="18" charset="0"/>
                                  </a:rPr>
                                  <m:t>𝑏</m:t>
                                </m:r>
                              </m:sub>
                            </m:sSub>
                            <m:r>
                              <a:rPr lang="it-IT" sz="1800" b="0" i="1">
                                <a:latin typeface="Cambria Math" panose="02040503050406030204" pitchFamily="18" charset="0"/>
                              </a:rPr>
                              <m:t>𝑇</m:t>
                            </m:r>
                          </m:den>
                        </m:f>
                        <m:r>
                          <a:rPr lang="it-IT" sz="1800" b="0" i="1">
                            <a:latin typeface="Cambria Math" panose="02040503050406030204" pitchFamily="18" charset="0"/>
                          </a:rPr>
                          <m:t>)</m:t>
                        </m:r>
                      </m:num>
                      <m:den>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rPr>
                              <m:t>𝑡𝑟𝑎𝑠𝑙</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ea typeface="Cambria Math" panose="02040503050406030204" pitchFamily="18" charset="0"/>
                              </a:rPr>
                              <m:t>𝑟𝑜𝑡</m:t>
                            </m:r>
                          </m:sup>
                        </m:sSubSup>
                        <m:r>
                          <a:rPr lang="it-IT" sz="1800" b="0" i="1">
                            <a:latin typeface="Cambria Math" panose="02040503050406030204" pitchFamily="18" charset="0"/>
                          </a:rPr>
                          <m:t> </m:t>
                        </m:r>
                        <m:sSubSup>
                          <m:sSubSupPr>
                            <m:ctrlPr>
                              <a:rPr lang="it-IT" sz="1800" b="0" i="1">
                                <a:latin typeface="Cambria Math" panose="02040503050406030204" pitchFamily="18" charset="0"/>
                              </a:rPr>
                            </m:ctrlPr>
                          </m:sSubSupPr>
                          <m:e>
                            <m:r>
                              <a:rPr lang="it-IT" sz="1800" b="0" i="1">
                                <a:latin typeface="Cambria Math" panose="02040503050406030204" pitchFamily="18" charset="0"/>
                              </a:rPr>
                              <m:t>𝑄</m:t>
                            </m:r>
                          </m:e>
                          <m:sub>
                            <m:r>
                              <a:rPr lang="it-IT" sz="1800" b="0" i="1">
                                <a:latin typeface="Cambria Math" panose="02040503050406030204" pitchFamily="18" charset="0"/>
                              </a:rPr>
                              <m:t>𝑅</m:t>
                            </m:r>
                          </m:sub>
                          <m:sup>
                            <m:r>
                              <a:rPr lang="it-IT" sz="1800" b="0" i="1">
                                <a:latin typeface="Cambria Math" panose="02040503050406030204" pitchFamily="18" charset="0"/>
                                <a:ea typeface="Cambria Math" panose="02040503050406030204" pitchFamily="18" charset="0"/>
                              </a:rPr>
                              <m:t>𝑣𝑖𝑏</m:t>
                            </m:r>
                            <m:r>
                              <a:rPr lang="it-IT" sz="1800" b="0" i="1">
                                <a:latin typeface="Cambria Math" panose="02040503050406030204" pitchFamily="18" charset="0"/>
                                <a:ea typeface="Cambria Math" panose="02040503050406030204" pitchFamily="18" charset="0"/>
                              </a:rPr>
                              <m:t>(</m:t>
                            </m:r>
                            <m:r>
                              <a:rPr lang="it-IT" sz="1800" b="0" i="1">
                                <a:latin typeface="Cambria Math" panose="02040503050406030204" pitchFamily="18" charset="0"/>
                                <a:ea typeface="Cambria Math" panose="02040503050406030204" pitchFamily="18" charset="0"/>
                              </a:rPr>
                              <m:t>𝜐</m:t>
                            </m:r>
                            <m:r>
                              <a:rPr lang="it-IT" sz="1800" b="0" i="1">
                                <a:latin typeface="Cambria Math" panose="02040503050406030204" pitchFamily="18" charset="0"/>
                                <a:ea typeface="Cambria Math" panose="02040503050406030204" pitchFamily="18" charset="0"/>
                              </a:rPr>
                              <m:t>=0)</m:t>
                            </m:r>
                          </m:sup>
                        </m:sSubSup>
                        <m:sSubSup>
                          <m:sSubSupPr>
                            <m:ctrlPr>
                              <a:rPr lang="it-IT" sz="1800" b="0" i="1">
                                <a:latin typeface="Cambria Math" panose="02040503050406030204" pitchFamily="18" charset="0"/>
                              </a:rPr>
                            </m:ctrlPr>
                          </m:sSubSupPr>
                          <m:e>
                            <m:r>
                              <a:rPr lang="it-IT" sz="1800" b="0" i="1">
                                <a:latin typeface="Cambria Math" panose="02040503050406030204" pitchFamily="18" charset="0"/>
                              </a:rPr>
                              <m:t>𝑔</m:t>
                            </m:r>
                          </m:e>
                          <m:sub>
                            <m:r>
                              <a:rPr lang="it-IT" sz="1800" b="0" i="1">
                                <a:latin typeface="Cambria Math" panose="02040503050406030204" pitchFamily="18" charset="0"/>
                              </a:rPr>
                              <m:t>𝑅</m:t>
                            </m:r>
                          </m:sub>
                          <m:sup>
                            <m:r>
                              <a:rPr lang="it-IT" sz="1800" b="0" i="1">
                                <a:latin typeface="Cambria Math" panose="02040503050406030204" pitchFamily="18" charset="0"/>
                              </a:rPr>
                              <m:t>𝑒𝑙</m:t>
                            </m:r>
                          </m:sup>
                        </m:sSubSup>
                      </m:den>
                    </m:f>
                  </m:oMath>
                </m:oMathPara>
              </a14:m>
              <a:endParaRPr lang="en-US" sz="1800"/>
            </a:p>
          </xdr:txBody>
        </xdr:sp>
      </mc:Choice>
      <mc:Fallback xmlns="">
        <xdr:sp macro="" textlink="">
          <xdr:nvSpPr>
            <xdr:cNvPr id="24" name="TextBox 23">
              <a:extLst>
                <a:ext uri="{FF2B5EF4-FFF2-40B4-BE49-F238E27FC236}">
                  <a16:creationId xmlns:a16="http://schemas.microsoft.com/office/drawing/2014/main" id="{F3286ACA-D49E-7E43-932D-1B73375E488B}"/>
                </a:ext>
              </a:extLst>
            </xdr:cNvPr>
            <xdr:cNvSpPr txBox="1"/>
          </xdr:nvSpPr>
          <xdr:spPr>
            <a:xfrm>
              <a:off x="1442370" y="10540113"/>
              <a:ext cx="4844916" cy="741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800" b="0" i="0">
                  <a:latin typeface="Cambria Math" panose="02040503050406030204" pitchFamily="18" charset="0"/>
                </a:rPr>
                <a:t>𝑘</a:t>
              </a:r>
              <a:r>
                <a:rPr lang="en-US" sz="1800" b="0" i="0">
                  <a:latin typeface="Cambria Math" panose="02040503050406030204" pitchFamily="18" charset="0"/>
                </a:rPr>
                <a:t>_</a:t>
              </a:r>
              <a:r>
                <a:rPr lang="it-IT" sz="1800" b="0" i="0">
                  <a:latin typeface="Cambria Math" panose="02040503050406030204" pitchFamily="18" charset="0"/>
                </a:rPr>
                <a:t>𝑐=(𝑘_𝑏 𝑇)/ℎ  (𝑄_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𝑡𝑟𝑎𝑠𝑙  𝑄_</a:t>
              </a:r>
              <a:r>
                <a:rPr lang="it-IT" sz="1800" b="0" i="0">
                  <a:latin typeface="Cambria Math" panose="02040503050406030204" pitchFamily="18" charset="0"/>
                  <a:ea typeface="Cambria Math" panose="02040503050406030204" pitchFamily="18" charset="0"/>
                </a:rPr>
                <a:t>≠^𝑟𝑜𝑡 </a:t>
              </a:r>
              <a:r>
                <a:rPr lang="it-IT" sz="1800" b="0" i="0">
                  <a:latin typeface="Cambria Math" panose="02040503050406030204" pitchFamily="18" charset="0"/>
                </a:rPr>
                <a:t> 𝑄_</a:t>
              </a:r>
              <a:r>
                <a:rPr lang="it-IT" sz="1800" b="0" i="0">
                  <a:latin typeface="Cambria Math" panose="02040503050406030204" pitchFamily="18" charset="0"/>
                  <a:ea typeface="Cambria Math" panose="02040503050406030204" pitchFamily="18" charset="0"/>
                </a:rPr>
                <a:t>≠^(𝑣𝑖𝑏(𝜐=0)) </a:t>
              </a:r>
              <a:r>
                <a:rPr lang="it-IT" sz="1800" b="0" i="0">
                  <a:latin typeface="Cambria Math" panose="02040503050406030204" pitchFamily="18" charset="0"/>
                </a:rPr>
                <a:t>𝑔_</a:t>
              </a:r>
              <a:r>
                <a:rPr lang="it-IT" sz="1800" b="0" i="0">
                  <a:latin typeface="Cambria Math" panose="02040503050406030204" pitchFamily="18" charset="0"/>
                  <a:ea typeface="Cambria Math" panose="02040503050406030204" pitchFamily="18" charset="0"/>
                </a:rPr>
                <a:t>≠^</a:t>
              </a:r>
              <a:r>
                <a:rPr lang="it-IT" sz="1800" b="0" i="0">
                  <a:latin typeface="Cambria Math" panose="02040503050406030204" pitchFamily="18" charset="0"/>
                </a:rPr>
                <a:t>𝑒𝑙 exp⁡(−𝐸_𝑎∕〖𝑘_𝑏 𝑇〗))/(𝑄_𝑅^𝑡𝑟𝑎𝑠𝑙  𝑄_𝑅^</a:t>
              </a:r>
              <a:r>
                <a:rPr lang="it-IT" sz="1800" b="0" i="0">
                  <a:latin typeface="Cambria Math" panose="02040503050406030204" pitchFamily="18" charset="0"/>
                  <a:ea typeface="Cambria Math" panose="02040503050406030204" pitchFamily="18" charset="0"/>
                </a:rPr>
                <a:t>𝑟𝑜𝑡 </a:t>
              </a:r>
              <a:r>
                <a:rPr lang="it-IT" sz="1800" b="0" i="0">
                  <a:latin typeface="Cambria Math" panose="02040503050406030204" pitchFamily="18" charset="0"/>
                </a:rPr>
                <a:t> 𝑄_𝑅^(</a:t>
              </a:r>
              <a:r>
                <a:rPr lang="it-IT" sz="1800" b="0" i="0">
                  <a:latin typeface="Cambria Math" panose="02040503050406030204" pitchFamily="18" charset="0"/>
                  <a:ea typeface="Cambria Math" panose="02040503050406030204" pitchFamily="18" charset="0"/>
                </a:rPr>
                <a:t>𝑣𝑖𝑏(𝜐=0)) </a:t>
              </a:r>
              <a:r>
                <a:rPr lang="it-IT" sz="1800" b="0" i="0">
                  <a:latin typeface="Cambria Math" panose="02040503050406030204" pitchFamily="18" charset="0"/>
                </a:rPr>
                <a:t>𝑔_𝑅^𝑒𝑙 )</a:t>
              </a:r>
              <a:endParaRPr lang="en-US" sz="1800"/>
            </a:p>
          </xdr:txBody>
        </xdr:sp>
      </mc:Fallback>
    </mc:AlternateContent>
    <xdr:clientData/>
  </xdr:oneCellAnchor>
  <xdr:twoCellAnchor>
    <xdr:from>
      <xdr:col>16</xdr:col>
      <xdr:colOff>162835</xdr:colOff>
      <xdr:row>40</xdr:row>
      <xdr:rowOff>133203</xdr:rowOff>
    </xdr:from>
    <xdr:to>
      <xdr:col>21</xdr:col>
      <xdr:colOff>420126</xdr:colOff>
      <xdr:row>54</xdr:row>
      <xdr:rowOff>104476</xdr:rowOff>
    </xdr:to>
    <xdr:graphicFrame macro="">
      <xdr:nvGraphicFramePr>
        <xdr:cNvPr id="25" name="Chart 24">
          <a:extLst>
            <a:ext uri="{FF2B5EF4-FFF2-40B4-BE49-F238E27FC236}">
              <a16:creationId xmlns:a16="http://schemas.microsoft.com/office/drawing/2014/main" id="{B23BDF05-7C75-EA42-98D9-F85AE07BE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59764</xdr:colOff>
      <xdr:row>79</xdr:row>
      <xdr:rowOff>179294</xdr:rowOff>
    </xdr:from>
    <xdr:to>
      <xdr:col>15</xdr:col>
      <xdr:colOff>381000</xdr:colOff>
      <xdr:row>100</xdr:row>
      <xdr:rowOff>25400</xdr:rowOff>
    </xdr:to>
    <mc:AlternateContent xmlns:mc="http://schemas.openxmlformats.org/markup-compatibility/2006" xmlns:a14="http://schemas.microsoft.com/office/drawing/2010/main">
      <mc:Choice Requires="a14">
        <xdr:sp macro="" textlink="">
          <xdr:nvSpPr>
            <xdr:cNvPr id="26" name="TextBox 25">
              <a:extLst>
                <a:ext uri="{FF2B5EF4-FFF2-40B4-BE49-F238E27FC236}">
                  <a16:creationId xmlns:a16="http://schemas.microsoft.com/office/drawing/2014/main" id="{2B71E995-609E-1148-82F8-F7E5126B19E4}"/>
                </a:ext>
              </a:extLst>
            </xdr:cNvPr>
            <xdr:cNvSpPr txBox="1"/>
          </xdr:nvSpPr>
          <xdr:spPr>
            <a:xfrm>
              <a:off x="885264" y="16994094"/>
              <a:ext cx="14723036" cy="4113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Quantum tunneling contributions can be accounted for in the estimation of reaction rate constants by incorporating corrections to classical transition state theory.</a:t>
              </a:r>
            </a:p>
            <a:p>
              <a:r>
                <a:rPr lang="en-US" sz="1600"/>
                <a:t>In TST, reaction rates are primarily determined by the </a:t>
              </a:r>
              <a:r>
                <a:rPr lang="en-US" sz="1600" b="1"/>
                <a:t>activation energy barrier </a:t>
              </a:r>
              <a:r>
                <a:rPr lang="en-US" sz="1600"/>
                <a:t>between reactants and products. However, quantum tunneling allows particles</a:t>
              </a:r>
              <a:r>
                <a:rPr lang="en-US" sz="1600" baseline="0"/>
                <a:t> </a:t>
              </a:r>
              <a:r>
                <a:rPr lang="en-US" sz="1600"/>
                <a:t>to penetrate the energy barrier even if they don't have sufficient thermal energy.</a:t>
              </a:r>
              <a:r>
                <a:rPr lang="en-US" sz="1600" baseline="0"/>
                <a:t> This is especially true if:</a:t>
              </a:r>
            </a:p>
            <a:p>
              <a:r>
                <a:rPr lang="en-US" sz="1600" b="1" baseline="0"/>
                <a:t>1. </a:t>
              </a:r>
              <a:r>
                <a:rPr lang="en-US" sz="1600" b="0" baseline="0"/>
                <a:t>R</a:t>
              </a:r>
              <a:r>
                <a:rPr lang="en-US" sz="1600" baseline="0"/>
                <a:t>eacting systems (the portition in realtive motion) are composed primarly by </a:t>
              </a:r>
              <a:r>
                <a:rPr lang="en-US" sz="1600" b="1" baseline="0"/>
                <a:t>ligher particles, lile hydrogen</a:t>
              </a:r>
              <a:r>
                <a:rPr lang="en-US" sz="1600" b="0" baseline="0"/>
                <a:t>.</a:t>
              </a:r>
            </a:p>
            <a:p>
              <a:r>
                <a:rPr lang="en-US" sz="1600" b="1"/>
                <a:t>2.</a:t>
              </a:r>
              <a:r>
                <a:rPr lang="en-US" sz="1600" b="1" baseline="0"/>
                <a:t> </a:t>
              </a:r>
              <a:r>
                <a:rPr lang="en-US" sz="1600" b="0" baseline="0"/>
                <a:t>The </a:t>
              </a:r>
              <a:r>
                <a:rPr lang="en-US" sz="1600" b="1" baseline="0"/>
                <a:t>extension of the energy barrier is small.</a:t>
              </a:r>
            </a:p>
            <a:p>
              <a:pPr marL="0" marR="0" lvl="0" indent="0" defTabSz="914400" eaLnBrk="1" fontAlgn="auto" latinLnBrk="0" hangingPunct="1">
                <a:lnSpc>
                  <a:spcPct val="100000"/>
                </a:lnSpc>
                <a:spcBef>
                  <a:spcPts val="0"/>
                </a:spcBef>
                <a:spcAft>
                  <a:spcPts val="0"/>
                </a:spcAft>
                <a:buClrTx/>
                <a:buSzTx/>
                <a:buFontTx/>
                <a:buNone/>
                <a:tabLst/>
                <a:defRPr/>
              </a:pPr>
              <a:r>
                <a:rPr lang="en-US" sz="1600" b="0" baseline="0"/>
                <a:t>Both can be easily shown by solving the Scrhodinger equation over a potential barrier system, that in those cases the tunneling is favoured.</a:t>
              </a:r>
            </a:p>
            <a:p>
              <a:pPr marL="0" marR="0" lvl="0" indent="0" defTabSz="914400" eaLnBrk="1" fontAlgn="auto" latinLnBrk="0" hangingPunct="1">
                <a:lnSpc>
                  <a:spcPct val="100000"/>
                </a:lnSpc>
                <a:spcBef>
                  <a:spcPts val="0"/>
                </a:spcBef>
                <a:spcAft>
                  <a:spcPts val="0"/>
                </a:spcAft>
                <a:buClrTx/>
                <a:buSzTx/>
                <a:buFontTx/>
                <a:buNone/>
                <a:tabLst/>
                <a:defRPr/>
              </a:pPr>
              <a:r>
                <a:rPr lang="en-US" sz="1600" b="0" baseline="0"/>
                <a:t>Particularly for the second case, the first indication of the possibility of quantum effects is the immaginary frequency at the transition state.</a:t>
              </a:r>
              <a:endParaRPr lang="en-US" sz="1600" b="1"/>
            </a:p>
            <a:p>
              <a:endParaRPr lang="en-US" sz="1600"/>
            </a:p>
            <a:p>
              <a:r>
                <a:rPr lang="en-US" sz="1600"/>
                <a:t>To account for these</a:t>
              </a:r>
              <a:r>
                <a:rPr lang="en-US" sz="1600" baseline="0"/>
                <a:t> effects</a:t>
              </a:r>
              <a:r>
                <a:rPr lang="en-US" sz="1600"/>
                <a:t>, corrections such as the </a:t>
              </a:r>
              <a:r>
                <a:rPr lang="en-US" sz="1600" b="1"/>
                <a:t>Wigner tunneling correction</a:t>
              </a:r>
              <a:r>
                <a:rPr lang="en-US" sz="1600"/>
                <a:t> or more advanced </a:t>
              </a:r>
              <a:r>
                <a:rPr lang="en-US" sz="1600" b="1"/>
                <a:t>Eckart tunneling correction</a:t>
              </a:r>
              <a:r>
                <a:rPr lang="en-US" sz="1600"/>
                <a:t> can be applied to the rate constants. These corrections modify the classical rate by introducing a tunneling factor (partition function) based on the shape of the potential energy barrier and the masses of the reacting particles, refining the estimate of the reaction rate using molecular partition functions</a:t>
              </a:r>
              <a:r>
                <a:rPr lang="en-US" sz="1600" baseline="0"/>
                <a:t>. In general, those bring about an increase for the reaction rate, so that Q</a:t>
              </a:r>
              <a:r>
                <a:rPr lang="en-US" sz="1600" baseline="30000"/>
                <a:t> tunnel </a:t>
              </a:r>
              <a:r>
                <a:rPr lang="en-US" sz="1600" baseline="0"/>
                <a:t>are defined as &gt; 1.</a:t>
              </a:r>
            </a:p>
            <a:p>
              <a:endParaRPr lang="en-US" sz="1600" baseline="0"/>
            </a:p>
            <a:p>
              <a:pPr marL="0" marR="0" indent="0" defTabSz="914400" eaLnBrk="1" fontAlgn="auto" latinLnBrk="0" hangingPunct="1">
                <a:lnSpc>
                  <a:spcPct val="100000"/>
                </a:lnSpc>
                <a:spcBef>
                  <a:spcPts val="0"/>
                </a:spcBef>
                <a:spcAft>
                  <a:spcPts val="0"/>
                </a:spcAft>
                <a:buClrTx/>
                <a:buSzTx/>
                <a:buFontTx/>
                <a:buNone/>
                <a:tabLst/>
                <a:defRPr/>
              </a:pPr>
              <a:r>
                <a:rPr lang="en-US" sz="1600" baseline="0"/>
                <a:t>For example, Wigner-Shavitt factor is </a:t>
              </a:r>
              <a14:m>
                <m:oMath xmlns:m="http://schemas.openxmlformats.org/officeDocument/2006/math">
                  <m:sSub>
                    <m:sSubPr>
                      <m:ctrlPr>
                        <a:rPr lang="en-US" sz="1400" i="1" baseline="0">
                          <a:latin typeface="Cambria Math" panose="02040503050406030204" pitchFamily="18" charset="0"/>
                        </a:rPr>
                      </m:ctrlPr>
                    </m:sSubPr>
                    <m:e>
                      <m:r>
                        <a:rPr lang="it-IT" sz="1400" b="0" i="1" baseline="0">
                          <a:latin typeface="Cambria Math" panose="02040503050406030204" pitchFamily="18" charset="0"/>
                        </a:rPr>
                        <m:t>𝑄</m:t>
                      </m:r>
                    </m:e>
                    <m:sub>
                      <m:r>
                        <a:rPr lang="it-IT" sz="1400" b="0" i="1" baseline="0">
                          <a:latin typeface="Cambria Math" panose="02040503050406030204" pitchFamily="18" charset="0"/>
                        </a:rPr>
                        <m:t>𝑡𝑢𝑛𝑛𝑒𝑙</m:t>
                      </m:r>
                    </m:sub>
                  </m:sSub>
                  <m:r>
                    <a:rPr lang="it-IT" sz="1400" b="0" i="1" baseline="0">
                      <a:latin typeface="Cambria Math" panose="02040503050406030204" pitchFamily="18" charset="0"/>
                    </a:rPr>
                    <m:t>=1−</m:t>
                  </m:r>
                  <m:f>
                    <m:fPr>
                      <m:ctrlPr>
                        <a:rPr lang="it-IT" sz="1400" b="0" i="1" baseline="0">
                          <a:latin typeface="Cambria Math" panose="02040503050406030204" pitchFamily="18" charset="0"/>
                        </a:rPr>
                      </m:ctrlPr>
                    </m:fPr>
                    <m:num>
                      <m:r>
                        <a:rPr lang="it-IT" sz="1400" b="0" i="1" baseline="0">
                          <a:latin typeface="Cambria Math" panose="02040503050406030204" pitchFamily="18" charset="0"/>
                        </a:rPr>
                        <m:t>1</m:t>
                      </m:r>
                    </m:num>
                    <m:den>
                      <m:r>
                        <a:rPr lang="it-IT" sz="1400" b="0" i="1" baseline="0">
                          <a:latin typeface="Cambria Math" panose="02040503050406030204" pitchFamily="18" charset="0"/>
                        </a:rPr>
                        <m:t>24</m:t>
                      </m:r>
                    </m:den>
                  </m:f>
                  <m:d>
                    <m:dPr>
                      <m:ctrlPr>
                        <a:rPr lang="it-IT" sz="1400" b="0" i="1" baseline="0">
                          <a:latin typeface="Cambria Math" panose="02040503050406030204" pitchFamily="18" charset="0"/>
                        </a:rPr>
                      </m:ctrlPr>
                    </m:dPr>
                    <m:e>
                      <m:f>
                        <m:fPr>
                          <m:ctrlPr>
                            <a:rPr lang="it-IT" sz="1400" b="0" i="1" baseline="0">
                              <a:latin typeface="Cambria Math" panose="02040503050406030204" pitchFamily="18" charset="0"/>
                            </a:rPr>
                          </m:ctrlPr>
                        </m:fPr>
                        <m:num>
                          <m:r>
                            <a:rPr lang="it-IT" sz="1400" b="0" i="1" baseline="0">
                              <a:latin typeface="Cambria Math" panose="02040503050406030204" pitchFamily="18" charset="0"/>
                            </a:rPr>
                            <m:t>h</m:t>
                          </m:r>
                          <m:r>
                            <a:rPr lang="it-IT" sz="1400" b="0" i="1" baseline="0">
                              <a:latin typeface="Cambria Math" panose="02040503050406030204" pitchFamily="18" charset="0"/>
                              <a:ea typeface="Cambria Math" panose="02040503050406030204" pitchFamily="18" charset="0"/>
                            </a:rPr>
                            <m:t>𝜈</m:t>
                          </m:r>
                        </m:num>
                        <m:den>
                          <m:sSub>
                            <m:sSubPr>
                              <m:ctrlPr>
                                <a:rPr lang="it-IT" sz="1400" b="0" i="1" baseline="0">
                                  <a:latin typeface="Cambria Math" panose="02040503050406030204" pitchFamily="18" charset="0"/>
                                </a:rPr>
                              </m:ctrlPr>
                            </m:sSubPr>
                            <m:e>
                              <m:r>
                                <a:rPr lang="it-IT" sz="1400" b="0" i="1" baseline="0">
                                  <a:latin typeface="Cambria Math" panose="02040503050406030204" pitchFamily="18" charset="0"/>
                                </a:rPr>
                                <m:t>𝑘</m:t>
                              </m:r>
                            </m:e>
                            <m:sub>
                              <m:r>
                                <a:rPr lang="it-IT" sz="1400" b="0" i="1" baseline="0">
                                  <a:latin typeface="Cambria Math" panose="02040503050406030204" pitchFamily="18" charset="0"/>
                                </a:rPr>
                                <m:t>𝑏</m:t>
                              </m:r>
                            </m:sub>
                          </m:sSub>
                          <m:r>
                            <a:rPr lang="it-IT" sz="1400" b="0" i="1" baseline="0">
                              <a:latin typeface="Cambria Math" panose="02040503050406030204" pitchFamily="18" charset="0"/>
                            </a:rPr>
                            <m:t>𝑇</m:t>
                          </m:r>
                        </m:den>
                      </m:f>
                    </m:e>
                  </m:d>
                  <m:d>
                    <m:dPr>
                      <m:ctrlPr>
                        <a:rPr lang="it-IT" sz="1400" b="0" i="1" baseline="0">
                          <a:latin typeface="Cambria Math" panose="02040503050406030204" pitchFamily="18" charset="0"/>
                        </a:rPr>
                      </m:ctrlPr>
                    </m:dPr>
                    <m:e>
                      <m:r>
                        <a:rPr lang="it-IT" sz="1400" b="0" i="1" baseline="0">
                          <a:latin typeface="Cambria Math" panose="02040503050406030204" pitchFamily="18" charset="0"/>
                        </a:rPr>
                        <m:t>1+</m:t>
                      </m:r>
                      <m:f>
                        <m:fPr>
                          <m:ctrlPr>
                            <a:rPr lang="it-IT" sz="1400" b="0" i="1" baseline="0">
                              <a:latin typeface="Cambria Math" panose="02040503050406030204" pitchFamily="18" charset="0"/>
                            </a:rPr>
                          </m:ctrlPr>
                        </m:fPr>
                        <m:num>
                          <m:sSub>
                            <m:sSubPr>
                              <m:ctrlPr>
                                <a:rPr lang="it-IT" sz="1400" b="0" i="1" baseline="0">
                                  <a:latin typeface="Cambria Math" panose="02040503050406030204" pitchFamily="18" charset="0"/>
                                </a:rPr>
                              </m:ctrlPr>
                            </m:sSubPr>
                            <m:e>
                              <m:r>
                                <a:rPr lang="it-IT" sz="1400" b="0" i="1" baseline="0">
                                  <a:latin typeface="Cambria Math" panose="02040503050406030204" pitchFamily="18" charset="0"/>
                                </a:rPr>
                                <m:t>𝑘</m:t>
                              </m:r>
                            </m:e>
                            <m:sub>
                              <m:r>
                                <a:rPr lang="it-IT" sz="1400" b="0" i="1" baseline="0">
                                  <a:latin typeface="Cambria Math" panose="02040503050406030204" pitchFamily="18" charset="0"/>
                                </a:rPr>
                                <m:t>𝑏</m:t>
                              </m:r>
                            </m:sub>
                          </m:sSub>
                          <m:r>
                            <a:rPr lang="it-IT" sz="1400" b="0" i="1" baseline="0">
                              <a:latin typeface="Cambria Math" panose="02040503050406030204" pitchFamily="18" charset="0"/>
                            </a:rPr>
                            <m:t>𝑇</m:t>
                          </m:r>
                        </m:num>
                        <m:den>
                          <m:sSub>
                            <m:sSubPr>
                              <m:ctrlPr>
                                <a:rPr lang="it-IT" sz="1400" b="0" i="1" baseline="0">
                                  <a:latin typeface="Cambria Math" panose="02040503050406030204" pitchFamily="18" charset="0"/>
                                </a:rPr>
                              </m:ctrlPr>
                            </m:sSubPr>
                            <m:e>
                              <m:r>
                                <a:rPr lang="it-IT" sz="1400" b="0" i="1" baseline="0">
                                  <a:latin typeface="Cambria Math" panose="02040503050406030204" pitchFamily="18" charset="0"/>
                                </a:rPr>
                                <m:t>𝐸</m:t>
                              </m:r>
                            </m:e>
                            <m:sub>
                              <m:r>
                                <a:rPr lang="it-IT" sz="1400" b="0" i="1" baseline="0">
                                  <a:latin typeface="Cambria Math" panose="02040503050406030204" pitchFamily="18" charset="0"/>
                                </a:rPr>
                                <m:t>𝑎</m:t>
                              </m:r>
                            </m:sub>
                          </m:sSub>
                        </m:den>
                      </m:f>
                    </m:e>
                  </m:d>
                  <m:r>
                    <a:rPr lang="it-IT" sz="1400" b="0" i="0" baseline="0">
                      <a:latin typeface="Cambria Math" panose="02040503050406030204" pitchFamily="18" charset="0"/>
                    </a:rPr>
                    <m:t>  , </m:t>
                  </m:r>
                  <m:sSub>
                    <m:sSubPr>
                      <m:ctrlPr>
                        <a:rPr lang="en-US" sz="1400" i="1">
                          <a:latin typeface="Cambria Math" panose="02040503050406030204" pitchFamily="18" charset="0"/>
                        </a:rPr>
                      </m:ctrlPr>
                    </m:sSubPr>
                    <m:e>
                      <m:r>
                        <a:rPr lang="it-IT" sz="1400" b="0" i="1">
                          <a:latin typeface="Cambria Math" panose="02040503050406030204" pitchFamily="18" charset="0"/>
                        </a:rPr>
                        <m:t>𝑘</m:t>
                      </m:r>
                    </m:e>
                    <m:sub>
                      <m:r>
                        <a:rPr lang="it-IT" sz="1400" b="0" i="1">
                          <a:latin typeface="Cambria Math" panose="02040503050406030204" pitchFamily="18" charset="0"/>
                        </a:rPr>
                        <m:t>𝑐</m:t>
                      </m:r>
                    </m:sub>
                  </m:sSub>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𝑘</m:t>
                          </m:r>
                        </m:e>
                        <m:sub>
                          <m:r>
                            <a:rPr lang="it-IT" sz="1400" b="0" i="1">
                              <a:latin typeface="Cambria Math" panose="02040503050406030204" pitchFamily="18" charset="0"/>
                            </a:rPr>
                            <m:t>𝑏</m:t>
                          </m:r>
                        </m:sub>
                      </m:sSub>
                      <m:r>
                        <a:rPr lang="it-IT" sz="1400" b="0" i="1">
                          <a:latin typeface="Cambria Math" panose="02040503050406030204" pitchFamily="18" charset="0"/>
                        </a:rPr>
                        <m:t>𝑇</m:t>
                      </m:r>
                    </m:num>
                    <m:den>
                      <m:r>
                        <a:rPr lang="it-IT" sz="1400" b="0" i="1">
                          <a:latin typeface="Cambria Math" panose="02040503050406030204" pitchFamily="18" charset="0"/>
                        </a:rPr>
                        <m:t>h</m:t>
                      </m:r>
                    </m:den>
                  </m:f>
                  <m:sSub>
                    <m:sSubPr>
                      <m:ctrlPr>
                        <a:rPr lang="en-US" sz="1400" i="1" baseline="0">
                          <a:latin typeface="Cambria Math" panose="02040503050406030204" pitchFamily="18" charset="0"/>
                        </a:rPr>
                      </m:ctrlPr>
                    </m:sSubPr>
                    <m:e>
                      <m:r>
                        <a:rPr lang="it-IT" sz="1400" b="0" i="1" baseline="0">
                          <a:latin typeface="Cambria Math" panose="02040503050406030204" pitchFamily="18" charset="0"/>
                        </a:rPr>
                        <m:t>𝑄</m:t>
                      </m:r>
                    </m:e>
                    <m:sub>
                      <m:r>
                        <a:rPr lang="it-IT" sz="1400" b="0" i="1" baseline="0">
                          <a:latin typeface="Cambria Math" panose="02040503050406030204" pitchFamily="18" charset="0"/>
                        </a:rPr>
                        <m:t>𝑡𝑢𝑛𝑛𝑒𝑙</m:t>
                      </m:r>
                    </m:sub>
                  </m:sSub>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ea typeface="Cambria Math" panose="02040503050406030204" pitchFamily="18" charset="0"/>
                            </a:rPr>
                            <m:t>≠</m:t>
                          </m:r>
                        </m:sub>
                        <m:sup>
                          <m:r>
                            <a:rPr lang="it-IT" sz="1400" b="0" i="1">
                              <a:latin typeface="Cambria Math" panose="02040503050406030204" pitchFamily="18" charset="0"/>
                            </a:rPr>
                            <m:t>𝑡𝑟𝑎𝑠𝑙</m:t>
                          </m:r>
                        </m:sup>
                      </m:sSubSup>
                      <m:r>
                        <a:rPr lang="it-IT" sz="1400" b="0" i="1">
                          <a:latin typeface="Cambria Math" panose="02040503050406030204" pitchFamily="18" charset="0"/>
                        </a:rPr>
                        <m:t> </m:t>
                      </m:r>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ea typeface="Cambria Math" panose="02040503050406030204" pitchFamily="18" charset="0"/>
                            </a:rPr>
                            <m:t>≠</m:t>
                          </m:r>
                        </m:sub>
                        <m:sup>
                          <m:r>
                            <a:rPr lang="it-IT" sz="1400" b="0" i="1">
                              <a:latin typeface="Cambria Math" panose="02040503050406030204" pitchFamily="18" charset="0"/>
                              <a:ea typeface="Cambria Math" panose="02040503050406030204" pitchFamily="18" charset="0"/>
                            </a:rPr>
                            <m:t>𝑟𝑜𝑡</m:t>
                          </m:r>
                        </m:sup>
                      </m:sSubSup>
                      <m:r>
                        <a:rPr lang="it-IT" sz="1400" b="0" i="1">
                          <a:latin typeface="Cambria Math" panose="02040503050406030204" pitchFamily="18" charset="0"/>
                        </a:rPr>
                        <m:t> </m:t>
                      </m:r>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ea typeface="Cambria Math" panose="02040503050406030204" pitchFamily="18" charset="0"/>
                            </a:rPr>
                            <m:t>≠</m:t>
                          </m:r>
                        </m:sub>
                        <m:sup>
                          <m:r>
                            <a:rPr lang="it-IT" sz="1400" b="0" i="1">
                              <a:latin typeface="Cambria Math" panose="02040503050406030204" pitchFamily="18" charset="0"/>
                              <a:ea typeface="Cambria Math" panose="02040503050406030204" pitchFamily="18" charset="0"/>
                            </a:rPr>
                            <m:t>𝑣𝑖𝑏</m:t>
                          </m:r>
                          <m:r>
                            <a:rPr lang="it-IT" sz="1400" b="0" i="1">
                              <a:latin typeface="Cambria Math" panose="02040503050406030204" pitchFamily="18" charset="0"/>
                              <a:ea typeface="Cambria Math" panose="02040503050406030204" pitchFamily="18" charset="0"/>
                            </a:rPr>
                            <m:t>(</m:t>
                          </m:r>
                          <m:r>
                            <a:rPr lang="it-IT" sz="1400" b="0" i="1">
                              <a:latin typeface="Cambria Math" panose="02040503050406030204" pitchFamily="18" charset="0"/>
                              <a:ea typeface="Cambria Math" panose="02040503050406030204" pitchFamily="18" charset="0"/>
                            </a:rPr>
                            <m:t>𝜐</m:t>
                          </m:r>
                          <m:r>
                            <a:rPr lang="it-IT" sz="1400" b="0" i="1">
                              <a:latin typeface="Cambria Math" panose="02040503050406030204" pitchFamily="18" charset="0"/>
                              <a:ea typeface="Cambria Math" panose="02040503050406030204" pitchFamily="18" charset="0"/>
                            </a:rPr>
                            <m:t>=0)</m:t>
                          </m:r>
                        </m:sup>
                      </m:sSubSup>
                      <m:sSubSup>
                        <m:sSubSupPr>
                          <m:ctrlPr>
                            <a:rPr lang="it-IT" sz="1400" b="0" i="1">
                              <a:latin typeface="Cambria Math" panose="02040503050406030204" pitchFamily="18" charset="0"/>
                            </a:rPr>
                          </m:ctrlPr>
                        </m:sSubSupPr>
                        <m:e>
                          <m:r>
                            <a:rPr lang="it-IT" sz="1400" b="0" i="1">
                              <a:latin typeface="Cambria Math" panose="02040503050406030204" pitchFamily="18" charset="0"/>
                            </a:rPr>
                            <m:t>𝑔</m:t>
                          </m:r>
                        </m:e>
                        <m:sub>
                          <m:r>
                            <a:rPr lang="it-IT" sz="1400" b="0" i="1">
                              <a:latin typeface="Cambria Math" panose="02040503050406030204" pitchFamily="18" charset="0"/>
                              <a:ea typeface="Cambria Math" panose="02040503050406030204" pitchFamily="18" charset="0"/>
                            </a:rPr>
                            <m:t>≠</m:t>
                          </m:r>
                        </m:sub>
                        <m:sup>
                          <m:r>
                            <a:rPr lang="it-IT" sz="1400" b="0" i="1">
                              <a:latin typeface="Cambria Math" panose="02040503050406030204" pitchFamily="18" charset="0"/>
                            </a:rPr>
                            <m:t>𝑒𝑙</m:t>
                          </m:r>
                        </m:sup>
                      </m:sSubSup>
                      <m:r>
                        <m:rPr>
                          <m:sty m:val="p"/>
                        </m:rPr>
                        <a:rPr lang="it-IT" sz="1400" b="0" i="0">
                          <a:latin typeface="Cambria Math" panose="02040503050406030204" pitchFamily="18" charset="0"/>
                        </a:rPr>
                        <m:t>exp</m:t>
                      </m:r>
                      <m:r>
                        <a:rPr lang="it-IT" sz="1400" b="0" i="1">
                          <a:latin typeface="Cambria Math" panose="02040503050406030204" pitchFamily="18" charset="0"/>
                        </a:rPr>
                        <m:t>⁡(−</m:t>
                      </m:r>
                      <m:f>
                        <m:fPr>
                          <m:type m:val="lin"/>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𝐸</m:t>
                              </m:r>
                            </m:e>
                            <m:sub>
                              <m:r>
                                <a:rPr lang="it-IT" sz="1400" b="0" i="1">
                                  <a:latin typeface="Cambria Math" panose="02040503050406030204" pitchFamily="18" charset="0"/>
                                </a:rPr>
                                <m:t>𝑎</m:t>
                              </m:r>
                            </m:sub>
                          </m:sSub>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𝑘</m:t>
                              </m:r>
                            </m:e>
                            <m:sub>
                              <m:r>
                                <a:rPr lang="it-IT" sz="1400" b="0" i="1">
                                  <a:latin typeface="Cambria Math" panose="02040503050406030204" pitchFamily="18" charset="0"/>
                                </a:rPr>
                                <m:t>𝑏</m:t>
                              </m:r>
                            </m:sub>
                          </m:sSub>
                          <m:r>
                            <a:rPr lang="it-IT" sz="1400" b="0" i="1">
                              <a:latin typeface="Cambria Math" panose="02040503050406030204" pitchFamily="18" charset="0"/>
                            </a:rPr>
                            <m:t>𝑇</m:t>
                          </m:r>
                        </m:den>
                      </m:f>
                      <m:r>
                        <a:rPr lang="it-IT" sz="1400" b="0" i="1">
                          <a:latin typeface="Cambria Math" panose="02040503050406030204" pitchFamily="18" charset="0"/>
                        </a:rPr>
                        <m:t>)</m:t>
                      </m:r>
                    </m:num>
                    <m:den>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rPr>
                            <m:t>𝑅</m:t>
                          </m:r>
                        </m:sub>
                        <m:sup>
                          <m:r>
                            <a:rPr lang="it-IT" sz="1400" b="0" i="1">
                              <a:latin typeface="Cambria Math" panose="02040503050406030204" pitchFamily="18" charset="0"/>
                            </a:rPr>
                            <m:t>𝑡𝑟𝑎𝑠𝑙</m:t>
                          </m:r>
                        </m:sup>
                      </m:sSubSup>
                      <m:r>
                        <a:rPr lang="it-IT" sz="1400" b="0" i="1">
                          <a:latin typeface="Cambria Math" panose="02040503050406030204" pitchFamily="18" charset="0"/>
                        </a:rPr>
                        <m:t> </m:t>
                      </m:r>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rPr>
                            <m:t>𝑅</m:t>
                          </m:r>
                        </m:sub>
                        <m:sup>
                          <m:r>
                            <a:rPr lang="it-IT" sz="1400" b="0" i="1">
                              <a:latin typeface="Cambria Math" panose="02040503050406030204" pitchFamily="18" charset="0"/>
                              <a:ea typeface="Cambria Math" panose="02040503050406030204" pitchFamily="18" charset="0"/>
                            </a:rPr>
                            <m:t>𝑟𝑜𝑡</m:t>
                          </m:r>
                        </m:sup>
                      </m:sSubSup>
                      <m:r>
                        <a:rPr lang="it-IT" sz="1400" b="0" i="1">
                          <a:latin typeface="Cambria Math" panose="02040503050406030204" pitchFamily="18" charset="0"/>
                        </a:rPr>
                        <m:t> </m:t>
                      </m:r>
                      <m:sSubSup>
                        <m:sSubSupPr>
                          <m:ctrlPr>
                            <a:rPr lang="it-IT" sz="1400" b="0" i="1">
                              <a:latin typeface="Cambria Math" panose="02040503050406030204" pitchFamily="18" charset="0"/>
                            </a:rPr>
                          </m:ctrlPr>
                        </m:sSubSupPr>
                        <m:e>
                          <m:r>
                            <a:rPr lang="it-IT" sz="1400" b="0" i="1">
                              <a:latin typeface="Cambria Math" panose="02040503050406030204" pitchFamily="18" charset="0"/>
                            </a:rPr>
                            <m:t>𝑄</m:t>
                          </m:r>
                        </m:e>
                        <m:sub>
                          <m:r>
                            <a:rPr lang="it-IT" sz="1400" b="0" i="1">
                              <a:latin typeface="Cambria Math" panose="02040503050406030204" pitchFamily="18" charset="0"/>
                            </a:rPr>
                            <m:t>𝑅</m:t>
                          </m:r>
                        </m:sub>
                        <m:sup>
                          <m:r>
                            <a:rPr lang="it-IT" sz="1400" b="0" i="1">
                              <a:latin typeface="Cambria Math" panose="02040503050406030204" pitchFamily="18" charset="0"/>
                              <a:ea typeface="Cambria Math" panose="02040503050406030204" pitchFamily="18" charset="0"/>
                            </a:rPr>
                            <m:t>𝑣𝑖𝑏</m:t>
                          </m:r>
                          <m:r>
                            <a:rPr lang="it-IT" sz="1400" b="0" i="1">
                              <a:latin typeface="Cambria Math" panose="02040503050406030204" pitchFamily="18" charset="0"/>
                              <a:ea typeface="Cambria Math" panose="02040503050406030204" pitchFamily="18" charset="0"/>
                            </a:rPr>
                            <m:t>(</m:t>
                          </m:r>
                          <m:r>
                            <a:rPr lang="it-IT" sz="1400" b="0" i="1">
                              <a:latin typeface="Cambria Math" panose="02040503050406030204" pitchFamily="18" charset="0"/>
                              <a:ea typeface="Cambria Math" panose="02040503050406030204" pitchFamily="18" charset="0"/>
                            </a:rPr>
                            <m:t>𝜐</m:t>
                          </m:r>
                          <m:r>
                            <a:rPr lang="it-IT" sz="1400" b="0" i="1">
                              <a:latin typeface="Cambria Math" panose="02040503050406030204" pitchFamily="18" charset="0"/>
                              <a:ea typeface="Cambria Math" panose="02040503050406030204" pitchFamily="18" charset="0"/>
                            </a:rPr>
                            <m:t>=0)</m:t>
                          </m:r>
                        </m:sup>
                      </m:sSubSup>
                      <m:sSubSup>
                        <m:sSubSupPr>
                          <m:ctrlPr>
                            <a:rPr lang="it-IT" sz="1400" b="0" i="1">
                              <a:latin typeface="Cambria Math" panose="02040503050406030204" pitchFamily="18" charset="0"/>
                            </a:rPr>
                          </m:ctrlPr>
                        </m:sSubSupPr>
                        <m:e>
                          <m:r>
                            <a:rPr lang="it-IT" sz="1400" b="0" i="1">
                              <a:latin typeface="Cambria Math" panose="02040503050406030204" pitchFamily="18" charset="0"/>
                            </a:rPr>
                            <m:t>𝑔</m:t>
                          </m:r>
                        </m:e>
                        <m:sub>
                          <m:r>
                            <a:rPr lang="it-IT" sz="1400" b="0" i="1">
                              <a:latin typeface="Cambria Math" panose="02040503050406030204" pitchFamily="18" charset="0"/>
                            </a:rPr>
                            <m:t>𝑅</m:t>
                          </m:r>
                        </m:sub>
                        <m:sup>
                          <m:r>
                            <a:rPr lang="it-IT" sz="1400" b="0" i="1">
                              <a:latin typeface="Cambria Math" panose="02040503050406030204" pitchFamily="18" charset="0"/>
                            </a:rPr>
                            <m:t>𝑒𝑙</m:t>
                          </m:r>
                        </m:sup>
                      </m:sSubSup>
                    </m:den>
                  </m:f>
                  <m:r>
                    <a:rPr lang="it-IT" sz="1400" b="0" i="0" baseline="0">
                      <a:latin typeface="Cambria Math" panose="02040503050406030204" pitchFamily="18" charset="0"/>
                    </a:rPr>
                    <m:t> </m:t>
                  </m:r>
                </m:oMath>
              </a14:m>
              <a:endParaRPr lang="en-US" sz="1400" baseline="30000"/>
            </a:p>
          </xdr:txBody>
        </xdr:sp>
      </mc:Choice>
      <mc:Fallback xmlns="">
        <xdr:sp macro="" textlink="">
          <xdr:nvSpPr>
            <xdr:cNvPr id="26" name="TextBox 25">
              <a:extLst>
                <a:ext uri="{FF2B5EF4-FFF2-40B4-BE49-F238E27FC236}">
                  <a16:creationId xmlns:a16="http://schemas.microsoft.com/office/drawing/2014/main" id="{2B71E995-609E-1148-82F8-F7E5126B19E4}"/>
                </a:ext>
              </a:extLst>
            </xdr:cNvPr>
            <xdr:cNvSpPr txBox="1"/>
          </xdr:nvSpPr>
          <xdr:spPr>
            <a:xfrm>
              <a:off x="885264" y="16994094"/>
              <a:ext cx="14723036" cy="4113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Quantum tunneling contributions can be accounted for in the estimation of reaction rate constants by incorporating corrections to classical transition state theory.</a:t>
              </a:r>
            </a:p>
            <a:p>
              <a:r>
                <a:rPr lang="en-US" sz="1600"/>
                <a:t>In TST, reaction rates are primarily determined by the </a:t>
              </a:r>
              <a:r>
                <a:rPr lang="en-US" sz="1600" b="1"/>
                <a:t>activation energy barrier </a:t>
              </a:r>
              <a:r>
                <a:rPr lang="en-US" sz="1600"/>
                <a:t>between reactants and products. However, quantum tunneling allows particles</a:t>
              </a:r>
              <a:r>
                <a:rPr lang="en-US" sz="1600" baseline="0"/>
                <a:t> </a:t>
              </a:r>
              <a:r>
                <a:rPr lang="en-US" sz="1600"/>
                <a:t>to penetrate the energy barrier even if they don't have sufficient thermal energy.</a:t>
              </a:r>
              <a:r>
                <a:rPr lang="en-US" sz="1600" baseline="0"/>
                <a:t> This is especially true if:</a:t>
              </a:r>
            </a:p>
            <a:p>
              <a:r>
                <a:rPr lang="en-US" sz="1600" b="1" baseline="0"/>
                <a:t>1. </a:t>
              </a:r>
              <a:r>
                <a:rPr lang="en-US" sz="1600" b="0" baseline="0"/>
                <a:t>R</a:t>
              </a:r>
              <a:r>
                <a:rPr lang="en-US" sz="1600" baseline="0"/>
                <a:t>eacting systems (the portition in realtive motion) are composed primarly by </a:t>
              </a:r>
              <a:r>
                <a:rPr lang="en-US" sz="1600" b="1" baseline="0"/>
                <a:t>ligher particles, lile hydrogen</a:t>
              </a:r>
              <a:r>
                <a:rPr lang="en-US" sz="1600" b="0" baseline="0"/>
                <a:t>.</a:t>
              </a:r>
            </a:p>
            <a:p>
              <a:r>
                <a:rPr lang="en-US" sz="1600" b="1"/>
                <a:t>2.</a:t>
              </a:r>
              <a:r>
                <a:rPr lang="en-US" sz="1600" b="1" baseline="0"/>
                <a:t> </a:t>
              </a:r>
              <a:r>
                <a:rPr lang="en-US" sz="1600" b="0" baseline="0"/>
                <a:t>The </a:t>
              </a:r>
              <a:r>
                <a:rPr lang="en-US" sz="1600" b="1" baseline="0"/>
                <a:t>extension of the energy barrier is small.</a:t>
              </a:r>
            </a:p>
            <a:p>
              <a:pPr marL="0" marR="0" lvl="0" indent="0" defTabSz="914400" eaLnBrk="1" fontAlgn="auto" latinLnBrk="0" hangingPunct="1">
                <a:lnSpc>
                  <a:spcPct val="100000"/>
                </a:lnSpc>
                <a:spcBef>
                  <a:spcPts val="0"/>
                </a:spcBef>
                <a:spcAft>
                  <a:spcPts val="0"/>
                </a:spcAft>
                <a:buClrTx/>
                <a:buSzTx/>
                <a:buFontTx/>
                <a:buNone/>
                <a:tabLst/>
                <a:defRPr/>
              </a:pPr>
              <a:r>
                <a:rPr lang="en-US" sz="1600" b="0" baseline="0"/>
                <a:t>Both can be easily shown by solving the Scrhodinger equation over a potential barrier system, that in those cases the tunneling is favoured.</a:t>
              </a:r>
            </a:p>
            <a:p>
              <a:pPr marL="0" marR="0" lvl="0" indent="0" defTabSz="914400" eaLnBrk="1" fontAlgn="auto" latinLnBrk="0" hangingPunct="1">
                <a:lnSpc>
                  <a:spcPct val="100000"/>
                </a:lnSpc>
                <a:spcBef>
                  <a:spcPts val="0"/>
                </a:spcBef>
                <a:spcAft>
                  <a:spcPts val="0"/>
                </a:spcAft>
                <a:buClrTx/>
                <a:buSzTx/>
                <a:buFontTx/>
                <a:buNone/>
                <a:tabLst/>
                <a:defRPr/>
              </a:pPr>
              <a:r>
                <a:rPr lang="en-US" sz="1600" b="0" baseline="0"/>
                <a:t>Particularly for the second case, the first indication of the possibility of quantum effects is the immaginary frequency at the transition state.</a:t>
              </a:r>
              <a:endParaRPr lang="en-US" sz="1600" b="1"/>
            </a:p>
            <a:p>
              <a:endParaRPr lang="en-US" sz="1600"/>
            </a:p>
            <a:p>
              <a:r>
                <a:rPr lang="en-US" sz="1600"/>
                <a:t>To account for these</a:t>
              </a:r>
              <a:r>
                <a:rPr lang="en-US" sz="1600" baseline="0"/>
                <a:t> effects</a:t>
              </a:r>
              <a:r>
                <a:rPr lang="en-US" sz="1600"/>
                <a:t>, corrections such as the </a:t>
              </a:r>
              <a:r>
                <a:rPr lang="en-US" sz="1600" b="1"/>
                <a:t>Wigner tunneling correction</a:t>
              </a:r>
              <a:r>
                <a:rPr lang="en-US" sz="1600"/>
                <a:t> or more advanced </a:t>
              </a:r>
              <a:r>
                <a:rPr lang="en-US" sz="1600" b="1"/>
                <a:t>Eckart tunneling correction</a:t>
              </a:r>
              <a:r>
                <a:rPr lang="en-US" sz="1600"/>
                <a:t> can be applied to the rate constants. These corrections modify the classical rate by introducing a tunneling factor (partition function) based on the shape of the potential energy barrier and the masses of the reacting particles, refining the estimate of the reaction rate using molecular partition functions</a:t>
              </a:r>
              <a:r>
                <a:rPr lang="en-US" sz="1600" baseline="0"/>
                <a:t>. In general, those bring about an increase for the reaction rate, so that Q</a:t>
              </a:r>
              <a:r>
                <a:rPr lang="en-US" sz="1600" baseline="30000"/>
                <a:t> tunnel </a:t>
              </a:r>
              <a:r>
                <a:rPr lang="en-US" sz="1600" baseline="0"/>
                <a:t>are defined as &gt; 1.</a:t>
              </a:r>
            </a:p>
            <a:p>
              <a:endParaRPr lang="en-US" sz="1600" baseline="0"/>
            </a:p>
            <a:p>
              <a:pPr marL="0" marR="0" indent="0" defTabSz="914400" eaLnBrk="1" fontAlgn="auto" latinLnBrk="0" hangingPunct="1">
                <a:lnSpc>
                  <a:spcPct val="100000"/>
                </a:lnSpc>
                <a:spcBef>
                  <a:spcPts val="0"/>
                </a:spcBef>
                <a:spcAft>
                  <a:spcPts val="0"/>
                </a:spcAft>
                <a:buClrTx/>
                <a:buSzTx/>
                <a:buFontTx/>
                <a:buNone/>
                <a:tabLst/>
                <a:defRPr/>
              </a:pPr>
              <a:r>
                <a:rPr lang="en-US" sz="1600" baseline="0"/>
                <a:t>For example, Wigner-Shavitt factor is </a:t>
              </a:r>
              <a:r>
                <a:rPr lang="it-IT" sz="1400" b="0" i="0" baseline="0">
                  <a:latin typeface="Cambria Math" panose="02040503050406030204" pitchFamily="18" charset="0"/>
                </a:rPr>
                <a:t>𝑄</a:t>
              </a:r>
              <a:r>
                <a:rPr lang="en-US" sz="1400" b="0" i="0" baseline="0">
                  <a:latin typeface="Cambria Math" panose="02040503050406030204" pitchFamily="18" charset="0"/>
                </a:rPr>
                <a:t>_</a:t>
              </a:r>
              <a:r>
                <a:rPr lang="it-IT" sz="1400" b="0" i="0" baseline="0">
                  <a:latin typeface="Cambria Math" panose="02040503050406030204" pitchFamily="18" charset="0"/>
                </a:rPr>
                <a:t>𝑡𝑢𝑛𝑛𝑒𝑙=1−1/24 (ℎ</a:t>
              </a:r>
              <a:r>
                <a:rPr lang="it-IT" sz="1400" b="0" i="0" baseline="0">
                  <a:latin typeface="Cambria Math" panose="02040503050406030204" pitchFamily="18" charset="0"/>
                  <a:ea typeface="Cambria Math" panose="02040503050406030204" pitchFamily="18" charset="0"/>
                </a:rPr>
                <a:t>𝜈/(</a:t>
              </a:r>
              <a:r>
                <a:rPr lang="it-IT" sz="1400" b="0" i="0" baseline="0">
                  <a:latin typeface="Cambria Math" panose="02040503050406030204" pitchFamily="18" charset="0"/>
                </a:rPr>
                <a:t>𝑘_𝑏 𝑇))(1+(𝑘_𝑏 𝑇)/𝐸_𝑎 )   , </a:t>
              </a:r>
              <a:r>
                <a:rPr lang="it-IT" sz="1400" b="0" i="0">
                  <a:latin typeface="Cambria Math" panose="02040503050406030204" pitchFamily="18" charset="0"/>
                </a:rPr>
                <a:t>𝑘</a:t>
              </a:r>
              <a:r>
                <a:rPr lang="en-US" sz="1400" b="0" i="0">
                  <a:latin typeface="Cambria Math" panose="02040503050406030204" pitchFamily="18" charset="0"/>
                </a:rPr>
                <a:t>_</a:t>
              </a:r>
              <a:r>
                <a:rPr lang="it-IT" sz="1400" b="0" i="0">
                  <a:latin typeface="Cambria Math" panose="02040503050406030204" pitchFamily="18" charset="0"/>
                </a:rPr>
                <a:t>𝑐=(𝑘_𝑏 𝑇)/ℎ</a:t>
              </a:r>
              <a:r>
                <a:rPr lang="en-US" sz="1400" b="0" i="0" baseline="0">
                  <a:latin typeface="Cambria Math" panose="02040503050406030204" pitchFamily="18" charset="0"/>
                </a:rPr>
                <a:t> </a:t>
              </a:r>
              <a:r>
                <a:rPr lang="it-IT" sz="1400" b="0" i="0" baseline="0">
                  <a:latin typeface="Cambria Math" panose="02040503050406030204" pitchFamily="18" charset="0"/>
                </a:rPr>
                <a:t>𝑄</a:t>
              </a:r>
              <a:r>
                <a:rPr lang="en-US" sz="1400" b="0" i="0" baseline="0">
                  <a:latin typeface="Cambria Math" panose="02040503050406030204" pitchFamily="18" charset="0"/>
                </a:rPr>
                <a:t>_</a:t>
              </a:r>
              <a:r>
                <a:rPr lang="it-IT" sz="1400" b="0" i="0" baseline="0">
                  <a:latin typeface="Cambria Math" panose="02040503050406030204" pitchFamily="18" charset="0"/>
                </a:rPr>
                <a:t>𝑡𝑢𝑛𝑛𝑒𝑙 </a:t>
              </a:r>
              <a:r>
                <a:rPr lang="it-IT" sz="1400" b="0" i="0">
                  <a:latin typeface="Cambria Math" panose="02040503050406030204" pitchFamily="18" charset="0"/>
                </a:rPr>
                <a:t> (𝑄_</a:t>
              </a:r>
              <a:r>
                <a:rPr lang="it-IT" sz="1400" b="0" i="0">
                  <a:latin typeface="Cambria Math" panose="02040503050406030204" pitchFamily="18" charset="0"/>
                  <a:ea typeface="Cambria Math" panose="02040503050406030204" pitchFamily="18" charset="0"/>
                </a:rPr>
                <a:t>≠^</a:t>
              </a:r>
              <a:r>
                <a:rPr lang="it-IT" sz="1400" b="0" i="0">
                  <a:latin typeface="Cambria Math" panose="02040503050406030204" pitchFamily="18" charset="0"/>
                </a:rPr>
                <a:t>𝑡𝑟𝑎𝑠𝑙  𝑄_</a:t>
              </a:r>
              <a:r>
                <a:rPr lang="it-IT" sz="1400" b="0" i="0">
                  <a:latin typeface="Cambria Math" panose="02040503050406030204" pitchFamily="18" charset="0"/>
                  <a:ea typeface="Cambria Math" panose="02040503050406030204" pitchFamily="18" charset="0"/>
                </a:rPr>
                <a:t>≠^𝑟𝑜𝑡 </a:t>
              </a:r>
              <a:r>
                <a:rPr lang="it-IT" sz="1400" b="0" i="0">
                  <a:latin typeface="Cambria Math" panose="02040503050406030204" pitchFamily="18" charset="0"/>
                </a:rPr>
                <a:t> 𝑄_</a:t>
              </a:r>
              <a:r>
                <a:rPr lang="it-IT" sz="1400" b="0" i="0">
                  <a:latin typeface="Cambria Math" panose="02040503050406030204" pitchFamily="18" charset="0"/>
                  <a:ea typeface="Cambria Math" panose="02040503050406030204" pitchFamily="18" charset="0"/>
                </a:rPr>
                <a:t>≠^(𝑣𝑖𝑏(𝜐=0)) </a:t>
              </a:r>
              <a:r>
                <a:rPr lang="it-IT" sz="1400" b="0" i="0">
                  <a:latin typeface="Cambria Math" panose="02040503050406030204" pitchFamily="18" charset="0"/>
                </a:rPr>
                <a:t>𝑔_</a:t>
              </a:r>
              <a:r>
                <a:rPr lang="it-IT" sz="1400" b="0" i="0">
                  <a:latin typeface="Cambria Math" panose="02040503050406030204" pitchFamily="18" charset="0"/>
                  <a:ea typeface="Cambria Math" panose="02040503050406030204" pitchFamily="18" charset="0"/>
                </a:rPr>
                <a:t>≠^</a:t>
              </a:r>
              <a:r>
                <a:rPr lang="it-IT" sz="1400" b="0" i="0">
                  <a:latin typeface="Cambria Math" panose="02040503050406030204" pitchFamily="18" charset="0"/>
                </a:rPr>
                <a:t>𝑒𝑙 exp⁡(−𝐸_𝑎∕〖𝑘_𝑏 𝑇〗))/(𝑄_𝑅^𝑡𝑟𝑎𝑠𝑙  𝑄_𝑅^</a:t>
              </a:r>
              <a:r>
                <a:rPr lang="it-IT" sz="1400" b="0" i="0">
                  <a:latin typeface="Cambria Math" panose="02040503050406030204" pitchFamily="18" charset="0"/>
                  <a:ea typeface="Cambria Math" panose="02040503050406030204" pitchFamily="18" charset="0"/>
                </a:rPr>
                <a:t>𝑟𝑜𝑡 </a:t>
              </a:r>
              <a:r>
                <a:rPr lang="it-IT" sz="1400" b="0" i="0">
                  <a:latin typeface="Cambria Math" panose="02040503050406030204" pitchFamily="18" charset="0"/>
                </a:rPr>
                <a:t> 𝑄_𝑅^(</a:t>
              </a:r>
              <a:r>
                <a:rPr lang="it-IT" sz="1400" b="0" i="0">
                  <a:latin typeface="Cambria Math" panose="02040503050406030204" pitchFamily="18" charset="0"/>
                  <a:ea typeface="Cambria Math" panose="02040503050406030204" pitchFamily="18" charset="0"/>
                </a:rPr>
                <a:t>𝑣𝑖𝑏(𝜐=0)) </a:t>
              </a:r>
              <a:r>
                <a:rPr lang="it-IT" sz="1400" b="0" i="0">
                  <a:latin typeface="Cambria Math" panose="02040503050406030204" pitchFamily="18" charset="0"/>
                </a:rPr>
                <a:t>𝑔_𝑅^𝑒𝑙 )</a:t>
              </a:r>
              <a:r>
                <a:rPr lang="it-IT" sz="1400" b="0" i="0" baseline="0">
                  <a:latin typeface="Cambria Math" panose="02040503050406030204" pitchFamily="18" charset="0"/>
                </a:rPr>
                <a:t>  </a:t>
              </a:r>
              <a:endParaRPr lang="en-US" sz="1400" baseline="30000"/>
            </a:p>
          </xdr:txBody>
        </xdr:sp>
      </mc:Fallback>
    </mc:AlternateContent>
    <xdr:clientData/>
  </xdr:twoCellAnchor>
  <xdr:twoCellAnchor>
    <xdr:from>
      <xdr:col>11</xdr:col>
      <xdr:colOff>626534</xdr:colOff>
      <xdr:row>101</xdr:row>
      <xdr:rowOff>118534</xdr:rowOff>
    </xdr:from>
    <xdr:to>
      <xdr:col>17</xdr:col>
      <xdr:colOff>1233716</xdr:colOff>
      <xdr:row>116</xdr:row>
      <xdr:rowOff>39008</xdr:rowOff>
    </xdr:to>
    <xdr:graphicFrame macro="">
      <xdr:nvGraphicFramePr>
        <xdr:cNvPr id="27" name="Chart 26">
          <a:extLst>
            <a:ext uri="{FF2B5EF4-FFF2-40B4-BE49-F238E27FC236}">
              <a16:creationId xmlns:a16="http://schemas.microsoft.com/office/drawing/2014/main" id="{9AFC7BA4-1097-4449-AF1F-DCC3289FA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660400</xdr:colOff>
      <xdr:row>117</xdr:row>
      <xdr:rowOff>135467</xdr:rowOff>
    </xdr:from>
    <xdr:to>
      <xdr:col>17</xdr:col>
      <xdr:colOff>1273291</xdr:colOff>
      <xdr:row>132</xdr:row>
      <xdr:rowOff>123674</xdr:rowOff>
    </xdr:to>
    <xdr:graphicFrame macro="">
      <xdr:nvGraphicFramePr>
        <xdr:cNvPr id="28" name="Chart 27">
          <a:extLst>
            <a:ext uri="{FF2B5EF4-FFF2-40B4-BE49-F238E27FC236}">
              <a16:creationId xmlns:a16="http://schemas.microsoft.com/office/drawing/2014/main" id="{71CCA83D-9A35-0C49-BBB7-65D09BF1F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1157941</xdr:colOff>
      <xdr:row>75</xdr:row>
      <xdr:rowOff>84045</xdr:rowOff>
    </xdr:from>
    <xdr:to>
      <xdr:col>21</xdr:col>
      <xdr:colOff>65367</xdr:colOff>
      <xdr:row>76</xdr:row>
      <xdr:rowOff>121398</xdr:rowOff>
    </xdr:to>
    <xdr:sp macro="" textlink="">
      <xdr:nvSpPr>
        <xdr:cNvPr id="18" name="TextBox 17">
          <a:extLst>
            <a:ext uri="{FF2B5EF4-FFF2-40B4-BE49-F238E27FC236}">
              <a16:creationId xmlns:a16="http://schemas.microsoft.com/office/drawing/2014/main" id="{17AE5A1C-FC4A-DF6E-0DFE-95E402F67BD4}"/>
            </a:ext>
          </a:extLst>
        </xdr:cNvPr>
        <xdr:cNvSpPr txBox="1"/>
      </xdr:nvSpPr>
      <xdr:spPr>
        <a:xfrm>
          <a:off x="18330956" y="16155148"/>
          <a:ext cx="3707279" cy="2427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https://kinetics.nist.gov/kinetics/Detail?id=1997COR/ESP4013-4021:1</a:t>
          </a:r>
        </a:p>
      </xdr:txBody>
    </xdr:sp>
    <xdr:clientData/>
  </xdr:twoCellAnchor>
  <xdr:twoCellAnchor>
    <xdr:from>
      <xdr:col>17</xdr:col>
      <xdr:colOff>1148604</xdr:colOff>
      <xdr:row>37</xdr:row>
      <xdr:rowOff>115048</xdr:rowOff>
    </xdr:from>
    <xdr:to>
      <xdr:col>21</xdr:col>
      <xdr:colOff>469901</xdr:colOff>
      <xdr:row>38</xdr:row>
      <xdr:rowOff>152401</xdr:rowOff>
    </xdr:to>
    <xdr:sp macro="" textlink="">
      <xdr:nvSpPr>
        <xdr:cNvPr id="29" name="TextBox 28">
          <a:extLst>
            <a:ext uri="{FF2B5EF4-FFF2-40B4-BE49-F238E27FC236}">
              <a16:creationId xmlns:a16="http://schemas.microsoft.com/office/drawing/2014/main" id="{1AB01F8C-13A8-9E4E-93FD-9B78CFB56C3B}"/>
            </a:ext>
          </a:extLst>
        </xdr:cNvPr>
        <xdr:cNvSpPr txBox="1"/>
      </xdr:nvSpPr>
      <xdr:spPr>
        <a:xfrm>
          <a:off x="18321619" y="8052548"/>
          <a:ext cx="4121150" cy="2427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https://kinetics.nist.gov/kinetics/Detail?id=1997COR/ESP4013-4021:3</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edoardocabiati/Desktop/Cose_brutte_PoliMI/V_anno/II_semestre/Molecular_Modeling_for_Process_Engineering/MMfP/Project5/Project5.xlsx" TargetMode="External"/><Relationship Id="rId1" Type="http://schemas.openxmlformats.org/officeDocument/2006/relationships/externalLinkPath" Target="/Users/edoardocabiati/Desktop/Cose_brutte_PoliMI/V_anno/II_semestre/Molecular_Modeling_for_Process_Engineering/MMfP/Project5/Project5.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edoardocabiati/Desktop/Cose_brutte_PoliMI/V_anno/II_semestre/Molecular_Modeling_for_Process_Engineering/MMfP/Project9/Project9i.xlsx" TargetMode="External"/><Relationship Id="rId1" Type="http://schemas.openxmlformats.org/officeDocument/2006/relationships/externalLinkPath" Target="Project9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4"/>
      <sheetName val="H"/>
      <sheetName val="CH3"/>
      <sheetName val="Keq"/>
    </sheetNames>
    <sheetDataSet>
      <sheetData sheetId="0"/>
      <sheetData sheetId="1"/>
      <sheetData sheetId="2">
        <row r="102">
          <cell r="U102">
            <v>298.14999999999998</v>
          </cell>
          <cell r="Z102">
            <v>4.0102420045868308E-6</v>
          </cell>
        </row>
        <row r="103">
          <cell r="U103">
            <v>300</v>
          </cell>
          <cell r="Z103">
            <v>5.0023103638718323E-6</v>
          </cell>
        </row>
        <row r="104">
          <cell r="U104">
            <v>400</v>
          </cell>
          <cell r="Z104">
            <v>4.4427768877759413E-2</v>
          </cell>
        </row>
        <row r="105">
          <cell r="U105">
            <v>500</v>
          </cell>
          <cell r="Z105">
            <v>13.423631185476241</v>
          </cell>
        </row>
        <row r="106">
          <cell r="U106">
            <v>600</v>
          </cell>
          <cell r="Z106">
            <v>725.20635571074808</v>
          </cell>
        </row>
        <row r="107">
          <cell r="U107">
            <v>700</v>
          </cell>
          <cell r="Z107">
            <v>14388.831842912245</v>
          </cell>
        </row>
        <row r="108">
          <cell r="U108">
            <v>800</v>
          </cell>
          <cell r="Z108">
            <v>150907.32802266433</v>
          </cell>
        </row>
        <row r="109">
          <cell r="U109">
            <v>900</v>
          </cell>
          <cell r="Z109">
            <v>1026621.6350634171</v>
          </cell>
        </row>
        <row r="110">
          <cell r="U110">
            <v>1000</v>
          </cell>
          <cell r="Z110">
            <v>5129514.1396994386</v>
          </cell>
        </row>
        <row r="111">
          <cell r="U111">
            <v>1100</v>
          </cell>
          <cell r="Z111">
            <v>20390066.526725184</v>
          </cell>
        </row>
        <row r="112">
          <cell r="U112">
            <v>1200</v>
          </cell>
          <cell r="Z112">
            <v>68048965.630663425</v>
          </cell>
        </row>
        <row r="113">
          <cell r="U113">
            <v>1300</v>
          </cell>
          <cell r="Z113">
            <v>197987375.19490969</v>
          </cell>
        </row>
        <row r="114">
          <cell r="U114">
            <v>1400</v>
          </cell>
          <cell r="Z114">
            <v>516015674.90561867</v>
          </cell>
        </row>
        <row r="115">
          <cell r="U115">
            <v>1500</v>
          </cell>
          <cell r="Z115">
            <v>1229233714.166389</v>
          </cell>
        </row>
        <row r="116">
          <cell r="U116">
            <v>1600</v>
          </cell>
          <cell r="Z116">
            <v>2717511995.3463597</v>
          </cell>
        </row>
        <row r="117">
          <cell r="U117">
            <v>1700</v>
          </cell>
          <cell r="Z117">
            <v>5641429587.1678038</v>
          </cell>
        </row>
        <row r="118">
          <cell r="U118">
            <v>1800</v>
          </cell>
          <cell r="Z118">
            <v>11099670351.951281</v>
          </cell>
        </row>
        <row r="119">
          <cell r="U119">
            <v>1900</v>
          </cell>
          <cell r="Z119">
            <v>20851952797.502457</v>
          </cell>
        </row>
        <row r="120">
          <cell r="U120">
            <v>2000</v>
          </cell>
          <cell r="Z120">
            <v>37627078707.740967</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4"/>
      <sheetName val="H"/>
      <sheetName val="CH3"/>
      <sheetName val="H2"/>
      <sheetName val="TS"/>
      <sheetName val="CH4+H---CH3+H2"/>
    </sheetNames>
    <sheetDataSet>
      <sheetData sheetId="0" refreshError="1"/>
      <sheetData sheetId="1" refreshError="1"/>
      <sheetData sheetId="2" refreshError="1"/>
      <sheetData sheetId="3" refreshError="1"/>
      <sheetData sheetId="4">
        <row r="6">
          <cell r="B6">
            <v>6.0221399999999997E+23</v>
          </cell>
        </row>
        <row r="8">
          <cell r="B8">
            <v>1.38065E-23</v>
          </cell>
        </row>
        <row r="10">
          <cell r="E10">
            <v>1.59362E-3</v>
          </cell>
        </row>
        <row r="13">
          <cell r="H13">
            <v>1.44E+20</v>
          </cell>
        </row>
        <row r="14">
          <cell r="B14">
            <v>6.626068E-34</v>
          </cell>
        </row>
        <row r="16">
          <cell r="B16">
            <v>101325</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0336D-0D99-0C4D-BCFA-4062ED217043}">
  <dimension ref="A3:AM280"/>
  <sheetViews>
    <sheetView topLeftCell="C17" zoomScaleNormal="144" workbookViewId="0">
      <selection activeCell="D172" sqref="D172"/>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7.5" customWidth="1"/>
    <col min="15" max="15" width="14.1640625" customWidth="1"/>
    <col min="16" max="16" width="24" customWidth="1"/>
    <col min="17" max="17" width="21" customWidth="1"/>
    <col min="18" max="18" width="20" customWidth="1"/>
    <col min="19" max="19" width="14.6640625" customWidth="1"/>
    <col min="26" max="26" width="20.5" customWidth="1"/>
    <col min="27" max="27" width="17.5" customWidth="1"/>
    <col min="28" max="29" width="17.6640625" customWidth="1"/>
    <col min="30" max="30" width="17" customWidth="1"/>
    <col min="31" max="31" width="19" customWidth="1"/>
    <col min="35" max="36" width="15.83203125" customWidth="1"/>
    <col min="37" max="37" width="18.16406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474" t="s">
        <v>166</v>
      </c>
      <c r="B18" s="474"/>
      <c r="C18" s="474"/>
      <c r="D18" s="474"/>
      <c r="E18" s="474"/>
      <c r="F18" s="474"/>
      <c r="G18" s="474"/>
      <c r="H18" s="474"/>
      <c r="I18" s="474"/>
      <c r="J18" s="474"/>
      <c r="K18" s="474"/>
      <c r="L18" s="474"/>
      <c r="M18" s="474"/>
      <c r="N18" s="474"/>
      <c r="O18" s="474"/>
      <c r="P18" s="474"/>
      <c r="Q18" s="474"/>
      <c r="R18" s="474"/>
      <c r="S18" s="474"/>
      <c r="T18" s="474"/>
      <c r="U18" s="474"/>
      <c r="V18" s="474"/>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6.0186599999999997</v>
      </c>
      <c r="E23" s="86">
        <v>6.0193399999999997</v>
      </c>
      <c r="F23" s="87">
        <v>9.7368199999999998</v>
      </c>
      <c r="G23" s="66"/>
      <c r="H23" s="88">
        <v>3.4376999999999998E-2</v>
      </c>
      <c r="I23" s="89">
        <f>H23*$H$7</f>
        <v>21.571670631</v>
      </c>
      <c r="J23" s="89">
        <f>H23*$I$7</f>
        <v>90.256813499999993</v>
      </c>
      <c r="K23" s="90">
        <f>H23*$F$7</f>
        <v>0.9354222338999999</v>
      </c>
      <c r="L23" s="91">
        <f>H23*$K$7</f>
        <v>1.4988371999999998E-19</v>
      </c>
      <c r="M23" s="66"/>
      <c r="N23" s="66"/>
      <c r="O23" s="92" t="s">
        <v>45</v>
      </c>
      <c r="P23" s="93">
        <v>23.376000000000001</v>
      </c>
      <c r="Q23" s="94">
        <v>6.4240000000000004</v>
      </c>
      <c r="R23" s="95">
        <v>48.177999999999997</v>
      </c>
      <c r="S23" s="66"/>
      <c r="T23" s="66"/>
      <c r="U23" s="66"/>
      <c r="V23" s="66"/>
      <c r="W23" s="66"/>
      <c r="X23" s="66"/>
      <c r="Y23" s="66"/>
      <c r="Z23" s="66"/>
      <c r="AA23" s="66"/>
    </row>
    <row r="24" spans="1:27" ht="22" thickBot="1">
      <c r="A24" s="65" t="s">
        <v>46</v>
      </c>
      <c r="B24" s="66"/>
      <c r="C24" s="96" t="s">
        <v>47</v>
      </c>
      <c r="D24" s="97">
        <f>D23*$U$9</f>
        <v>9.9909755999999984E-27</v>
      </c>
      <c r="E24" s="98">
        <f t="shared" ref="E24:F24" si="0">E23*$U$9</f>
        <v>9.9921043999999982E-27</v>
      </c>
      <c r="F24" s="99">
        <f t="shared" si="0"/>
        <v>1.6163121199999999E-26</v>
      </c>
      <c r="G24" s="66"/>
      <c r="M24" s="66"/>
      <c r="N24" s="66"/>
      <c r="O24" s="100" t="s">
        <v>48</v>
      </c>
      <c r="P24" s="93">
        <v>0</v>
      </c>
      <c r="Q24" s="94">
        <v>0</v>
      </c>
      <c r="R24" s="95">
        <v>0</v>
      </c>
      <c r="S24" s="66"/>
      <c r="T24" s="66"/>
      <c r="U24" s="66"/>
      <c r="V24" s="66"/>
      <c r="W24" s="66"/>
      <c r="X24" s="66"/>
      <c r="Y24" s="66"/>
      <c r="Z24" s="66"/>
      <c r="AA24" s="66"/>
    </row>
    <row r="25" spans="1:27" ht="22" thickBot="1">
      <c r="A25" s="71">
        <v>1</v>
      </c>
      <c r="B25" s="66"/>
      <c r="C25" s="101" t="s">
        <v>49</v>
      </c>
      <c r="D25" s="102">
        <f>D24*($Q$8)^2</f>
        <v>9.9909755999999992E-47</v>
      </c>
      <c r="E25" s="103">
        <f>E24*($Q$8)^2</f>
        <v>9.9921043999999991E-47</v>
      </c>
      <c r="F25" s="104">
        <f t="shared" ref="F25" si="1">F24*($Q$8)^2</f>
        <v>1.6163121200000001E-46</v>
      </c>
      <c r="G25" s="66"/>
      <c r="M25" s="66"/>
      <c r="N25" s="66"/>
      <c r="O25" s="100" t="s">
        <v>50</v>
      </c>
      <c r="P25" s="93">
        <v>0.88900000000000001</v>
      </c>
      <c r="Q25" s="94">
        <v>2.9809999999999999</v>
      </c>
      <c r="R25" s="95">
        <v>34.441000000000003</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0.88900000000000001</v>
      </c>
      <c r="Q26" s="94">
        <v>2.9809999999999999</v>
      </c>
      <c r="R26" s="95">
        <v>13.631</v>
      </c>
      <c r="S26" s="66"/>
      <c r="T26" s="66"/>
      <c r="U26" s="66"/>
      <c r="V26" s="66"/>
      <c r="W26" s="66"/>
      <c r="X26" s="66"/>
      <c r="Y26" s="66"/>
      <c r="Z26" s="66"/>
      <c r="AA26" s="66"/>
    </row>
    <row r="27" spans="1:27" ht="20" thickBot="1">
      <c r="A27" s="65" t="s">
        <v>53</v>
      </c>
      <c r="B27" s="66"/>
      <c r="C27" s="65" t="s">
        <v>54</v>
      </c>
      <c r="D27" s="66"/>
      <c r="E27" s="66"/>
      <c r="F27" s="66"/>
      <c r="G27" s="66"/>
      <c r="H27" s="76" t="s">
        <v>40</v>
      </c>
      <c r="I27" s="77" t="s">
        <v>9</v>
      </c>
      <c r="J27" s="77" t="s">
        <v>10</v>
      </c>
      <c r="K27" s="78" t="s">
        <v>7</v>
      </c>
      <c r="L27" s="79" t="s">
        <v>12</v>
      </c>
      <c r="M27" s="66"/>
      <c r="N27" s="66"/>
      <c r="O27" s="105" t="s">
        <v>55</v>
      </c>
      <c r="P27" s="106">
        <v>21.597999999999999</v>
      </c>
      <c r="Q27" s="107">
        <v>0.46300000000000002</v>
      </c>
      <c r="R27" s="108">
        <v>0.106</v>
      </c>
      <c r="S27" s="66"/>
      <c r="T27" s="66"/>
      <c r="U27" s="66"/>
      <c r="V27" s="66"/>
      <c r="W27" s="66"/>
      <c r="X27" s="66"/>
      <c r="Y27" s="66"/>
      <c r="Z27" s="66"/>
      <c r="AA27" s="66"/>
    </row>
    <row r="28" spans="1:27" ht="20" thickBot="1">
      <c r="A28" s="71">
        <v>17.02655</v>
      </c>
      <c r="B28" s="66"/>
      <c r="C28" s="109" t="s">
        <v>37</v>
      </c>
      <c r="D28" s="110" t="s">
        <v>38</v>
      </c>
      <c r="E28" s="111" t="s">
        <v>39</v>
      </c>
      <c r="F28" s="66"/>
      <c r="G28" s="66"/>
      <c r="H28" s="112">
        <v>3.7252E-2</v>
      </c>
      <c r="I28" s="89">
        <f>H28*$H$7</f>
        <v>23.375741756000004</v>
      </c>
      <c r="J28" s="89">
        <f>H28*$I$7</f>
        <v>97.805126000000001</v>
      </c>
      <c r="K28" s="113">
        <f>H28*$F$7</f>
        <v>1.0136529964000001</v>
      </c>
      <c r="L28" s="91">
        <f>H28*$K$7</f>
        <v>1.6241871999999999E-19</v>
      </c>
      <c r="M28" s="66"/>
      <c r="N28" s="66"/>
      <c r="O28" s="66"/>
      <c r="P28" s="66"/>
      <c r="Q28" s="66"/>
      <c r="R28" s="66"/>
      <c r="S28" s="66"/>
      <c r="T28" s="66"/>
      <c r="U28" s="66"/>
      <c r="V28" s="66"/>
      <c r="W28" s="66"/>
      <c r="X28" s="66"/>
      <c r="Y28" s="66"/>
      <c r="Z28" s="66"/>
      <c r="AA28" s="66"/>
    </row>
    <row r="29" spans="1:27" ht="20" thickBot="1">
      <c r="A29" s="66"/>
      <c r="B29" s="66"/>
      <c r="C29" s="112">
        <v>14.390890000000001</v>
      </c>
      <c r="D29" s="323">
        <v>14.389239999999999</v>
      </c>
      <c r="E29" s="310">
        <v>8.8954900000000006</v>
      </c>
      <c r="F29" s="66"/>
      <c r="G29" s="66"/>
      <c r="L29" s="66"/>
      <c r="M29" s="66"/>
      <c r="N29" s="66"/>
      <c r="O29" s="66"/>
      <c r="P29" s="66"/>
      <c r="Q29" s="66"/>
      <c r="R29" s="66"/>
      <c r="S29" s="66"/>
      <c r="T29" s="66"/>
      <c r="U29" s="66"/>
      <c r="V29" s="66"/>
      <c r="W29" s="66"/>
      <c r="X29" s="66"/>
      <c r="Y29" s="66"/>
      <c r="Z29" s="66"/>
      <c r="AA29" s="66"/>
    </row>
    <row r="30" spans="1:27" ht="20" thickBot="1">
      <c r="A30" s="65" t="s">
        <v>57</v>
      </c>
      <c r="B30" s="66"/>
      <c r="F30" s="66"/>
      <c r="G30" s="66"/>
      <c r="M30" s="66"/>
      <c r="O30" s="116" t="s">
        <v>58</v>
      </c>
      <c r="P30" s="117"/>
      <c r="Q30" s="117"/>
      <c r="R30" s="118"/>
      <c r="S30" s="66"/>
      <c r="T30" s="66"/>
      <c r="U30" s="66"/>
      <c r="V30" s="66"/>
      <c r="W30" s="66"/>
      <c r="X30" s="66"/>
      <c r="Y30" s="66"/>
      <c r="Z30" s="66"/>
      <c r="AA30" s="66"/>
    </row>
    <row r="31" spans="1:27" ht="20" thickBot="1">
      <c r="A31" s="71">
        <v>1</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1</v>
      </c>
      <c r="Q32" s="125">
        <v>0</v>
      </c>
      <c r="R32" s="125">
        <v>0</v>
      </c>
      <c r="S32" s="66"/>
      <c r="T32" s="66"/>
      <c r="U32" s="66"/>
      <c r="V32" s="66"/>
      <c r="W32" s="66"/>
      <c r="X32" s="66"/>
      <c r="Y32" s="66"/>
      <c r="Z32" s="66"/>
      <c r="AA32" s="66"/>
    </row>
    <row r="33" spans="1:27" ht="20" thickBot="1">
      <c r="A33" s="66"/>
      <c r="B33" s="66"/>
      <c r="C33" s="282">
        <v>299.85786000000002</v>
      </c>
      <c r="D33" s="283">
        <v>299.82355999999999</v>
      </c>
      <c r="E33" s="284">
        <v>185.35216</v>
      </c>
      <c r="F33" s="66"/>
      <c r="G33" s="66"/>
      <c r="H33" s="112">
        <v>3.8196000000000001E-2</v>
      </c>
      <c r="I33" s="89">
        <f>H33*$H$7</f>
        <v>23.968104588000003</v>
      </c>
      <c r="J33" s="89">
        <f>H33*$I$7</f>
        <v>100.283598</v>
      </c>
      <c r="K33" s="113">
        <f>H33*$F$7</f>
        <v>1.0393398972000001</v>
      </c>
      <c r="L33" s="91">
        <f>H33*$K$7</f>
        <v>1.6653456E-19</v>
      </c>
      <c r="M33" s="66"/>
      <c r="N33" s="66"/>
      <c r="O33" s="100" t="s">
        <v>50</v>
      </c>
      <c r="P33" s="93">
        <v>2761500</v>
      </c>
      <c r="Q33" s="94">
        <v>6.4411449999999997</v>
      </c>
      <c r="R33" s="94">
        <v>14.831284999999999</v>
      </c>
      <c r="S33" s="66"/>
      <c r="T33" s="66"/>
      <c r="U33" s="66"/>
      <c r="V33" s="66"/>
      <c r="W33" s="66"/>
      <c r="X33" s="66"/>
      <c r="Y33" s="66"/>
      <c r="Z33" s="66"/>
      <c r="AA33" s="66"/>
    </row>
    <row r="34" spans="1:27" ht="19">
      <c r="A34" s="66"/>
      <c r="B34" s="66"/>
      <c r="E34" s="66"/>
      <c r="F34" s="66"/>
      <c r="G34" s="66"/>
      <c r="M34" s="66"/>
      <c r="N34" s="66"/>
      <c r="O34" s="100" t="s">
        <v>52</v>
      </c>
      <c r="P34" s="93">
        <v>212.608</v>
      </c>
      <c r="Q34" s="94">
        <v>2.3275790000000001</v>
      </c>
      <c r="R34" s="94">
        <v>5.3594499999999998</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9.1260100000000003E-8</v>
      </c>
      <c r="Q35" s="94">
        <v>-7.0397189999999998</v>
      </c>
      <c r="R35" s="94">
        <v>-16.209551999999999</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592331000</v>
      </c>
      <c r="Q36" s="94">
        <v>8.7725639999999991</v>
      </c>
      <c r="R36" s="94">
        <v>20.199576</v>
      </c>
      <c r="S36" s="66"/>
      <c r="T36" s="66"/>
      <c r="U36" s="66"/>
      <c r="V36" s="66"/>
      <c r="W36" s="66"/>
      <c r="X36" s="66"/>
      <c r="Y36" s="66"/>
      <c r="Z36" s="66"/>
      <c r="AA36" s="66"/>
    </row>
    <row r="37" spans="1:27" ht="20" thickBot="1">
      <c r="A37" s="66"/>
      <c r="B37" s="66"/>
      <c r="C37" s="128" t="s">
        <v>68</v>
      </c>
      <c r="D37" s="129">
        <v>90256.8</v>
      </c>
      <c r="E37" s="66"/>
      <c r="F37" s="66"/>
      <c r="H37" s="76" t="s">
        <v>40</v>
      </c>
      <c r="I37" s="77" t="s">
        <v>9</v>
      </c>
      <c r="J37" s="77" t="s">
        <v>10</v>
      </c>
      <c r="K37" s="79" t="s">
        <v>7</v>
      </c>
      <c r="L37" s="79" t="s">
        <v>12</v>
      </c>
      <c r="M37" s="66"/>
      <c r="N37" s="66"/>
      <c r="O37" s="100" t="s">
        <v>69</v>
      </c>
      <c r="P37" s="93">
        <v>1.5543800000000001E-16</v>
      </c>
      <c r="Q37" s="94">
        <v>-15.808444</v>
      </c>
      <c r="R37" s="94">
        <v>-36.400286999999999</v>
      </c>
      <c r="S37" s="66"/>
      <c r="T37" s="66"/>
      <c r="U37" s="66"/>
      <c r="V37" s="66"/>
      <c r="W37" s="66"/>
      <c r="X37" s="66"/>
      <c r="Y37" s="66"/>
      <c r="Z37" s="66"/>
      <c r="AA37" s="66"/>
    </row>
    <row r="38" spans="1:27" ht="20" thickBot="1">
      <c r="A38" s="66"/>
      <c r="B38" s="66"/>
      <c r="C38" s="130" t="s">
        <v>70</v>
      </c>
      <c r="D38" s="131">
        <v>21.57189</v>
      </c>
      <c r="E38" s="66"/>
      <c r="F38" s="66"/>
      <c r="H38" s="112">
        <v>1.5304999999999999E-2</v>
      </c>
      <c r="I38" s="89">
        <f>H38*$H$7</f>
        <v>9.6039334150000002</v>
      </c>
      <c r="J38" s="89">
        <f>H38*$I$7</f>
        <v>40.183277499999996</v>
      </c>
      <c r="K38" s="113">
        <f>H38*$F$7</f>
        <v>0.41645976349999997</v>
      </c>
      <c r="L38" s="91">
        <f>H38*$K$7</f>
        <v>6.6729799999999995E-20</v>
      </c>
      <c r="M38" s="66"/>
      <c r="N38" s="66"/>
      <c r="O38" s="105" t="s">
        <v>71</v>
      </c>
      <c r="P38" s="93">
        <v>1.00888</v>
      </c>
      <c r="Q38" s="94">
        <v>3.8400000000000001E-3</v>
      </c>
      <c r="R38" s="94">
        <v>8.8419999999999992E-3</v>
      </c>
      <c r="S38" s="66"/>
      <c r="T38" s="66"/>
      <c r="U38" s="66"/>
      <c r="V38" s="66"/>
      <c r="W38" s="66"/>
      <c r="X38" s="66"/>
      <c r="Y38" s="66"/>
      <c r="Z38" s="66"/>
      <c r="AA38" s="66"/>
    </row>
    <row r="39" spans="1:27" ht="19">
      <c r="A39" s="66"/>
      <c r="B39" s="66"/>
      <c r="C39" s="66"/>
      <c r="D39" s="66"/>
      <c r="E39" s="66"/>
      <c r="F39" s="66"/>
      <c r="J39" s="66"/>
      <c r="K39" s="66"/>
      <c r="L39" s="66"/>
      <c r="M39" s="66"/>
      <c r="N39" s="66"/>
      <c r="O39" s="132"/>
      <c r="P39" s="66"/>
      <c r="Q39" s="66"/>
      <c r="R39" s="66"/>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133" t="s">
        <v>72</v>
      </c>
      <c r="E41" s="134" t="s">
        <v>73</v>
      </c>
      <c r="F41" s="135" t="s">
        <v>74</v>
      </c>
      <c r="G41" s="136" t="s">
        <v>75</v>
      </c>
      <c r="I41" s="66"/>
      <c r="J41" s="66"/>
      <c r="K41" s="66"/>
      <c r="L41" s="66"/>
      <c r="M41" s="66"/>
      <c r="N41" s="66"/>
      <c r="O41" s="66"/>
      <c r="P41" s="66"/>
      <c r="Q41" s="66"/>
      <c r="R41" s="66"/>
      <c r="S41" s="66"/>
      <c r="T41" s="66"/>
      <c r="U41" s="66"/>
      <c r="V41" s="66"/>
      <c r="W41" s="66"/>
      <c r="X41" s="66"/>
      <c r="Y41" s="66"/>
      <c r="Z41" s="66"/>
      <c r="AA41" s="66"/>
    </row>
    <row r="42" spans="1:27" ht="19">
      <c r="A42" s="66"/>
      <c r="B42" s="66"/>
      <c r="C42" s="324">
        <v>1</v>
      </c>
      <c r="D42" s="347">
        <v>1432.76</v>
      </c>
      <c r="E42" s="348">
        <v>995.81610000000001</v>
      </c>
      <c r="F42" s="160">
        <f>E42*$L$9</f>
        <v>29853869606730</v>
      </c>
      <c r="G42" s="325">
        <v>1.1840999999999999</v>
      </c>
      <c r="H42" s="139"/>
      <c r="K42" s="66"/>
      <c r="L42" s="66"/>
      <c r="M42" s="66"/>
      <c r="N42" s="66"/>
      <c r="O42" s="66"/>
      <c r="P42" s="66"/>
      <c r="Q42" s="66"/>
      <c r="R42" s="66"/>
      <c r="S42" s="66"/>
      <c r="T42" s="66"/>
      <c r="U42" s="66"/>
      <c r="V42" s="66"/>
      <c r="W42" s="66"/>
      <c r="X42" s="66"/>
      <c r="Y42" s="66"/>
      <c r="Z42" s="66"/>
      <c r="AA42" s="66"/>
    </row>
    <row r="43" spans="1:27" ht="19">
      <c r="A43" s="66"/>
      <c r="B43" s="66"/>
      <c r="C43" s="326">
        <f>C42+1</f>
        <v>2</v>
      </c>
      <c r="D43" s="327">
        <v>2407.14</v>
      </c>
      <c r="E43" s="328">
        <v>1673.0462</v>
      </c>
      <c r="F43" s="235">
        <f t="shared" ref="F43:F47" si="2">E43*$L$9</f>
        <v>50156753943660</v>
      </c>
      <c r="G43" s="329">
        <v>1.0685</v>
      </c>
      <c r="H43" s="139"/>
      <c r="K43" s="66"/>
      <c r="L43" s="66"/>
      <c r="M43" s="66"/>
      <c r="N43" s="66"/>
      <c r="O43" s="66"/>
      <c r="P43" s="66"/>
      <c r="Q43" s="66"/>
      <c r="R43" s="66"/>
      <c r="S43" s="66"/>
      <c r="T43" s="66"/>
      <c r="U43" s="66"/>
      <c r="V43" s="66"/>
      <c r="W43" s="66"/>
      <c r="X43" s="66"/>
      <c r="Y43" s="66"/>
      <c r="Z43" s="66"/>
      <c r="AA43" s="66"/>
    </row>
    <row r="44" spans="1:27" ht="20" thickBot="1">
      <c r="A44" s="66"/>
      <c r="B44" s="66"/>
      <c r="C44" s="326">
        <f t="shared" ref="C44:C47" si="3">C43+1</f>
        <v>3</v>
      </c>
      <c r="D44" s="327">
        <v>2407.46</v>
      </c>
      <c r="E44" s="328">
        <v>1673.2701999999999</v>
      </c>
      <c r="F44" s="235">
        <f t="shared" si="2"/>
        <v>50163469306860</v>
      </c>
      <c r="G44" s="329">
        <v>1.0685</v>
      </c>
      <c r="H44" s="139"/>
      <c r="J44" s="141" t="s">
        <v>76</v>
      </c>
      <c r="M44" s="66"/>
      <c r="N44" s="66"/>
      <c r="O44" s="66"/>
      <c r="P44" s="66"/>
      <c r="Q44" s="66"/>
      <c r="R44" s="66"/>
      <c r="S44" s="66"/>
      <c r="T44" s="66"/>
      <c r="U44" s="66"/>
      <c r="V44" s="66"/>
      <c r="W44" s="66"/>
      <c r="X44" s="66"/>
      <c r="Y44" s="66"/>
      <c r="Z44" s="66"/>
      <c r="AA44" s="66"/>
    </row>
    <row r="45" spans="1:27" ht="20" thickBot="1">
      <c r="A45" s="66"/>
      <c r="B45" s="66"/>
      <c r="C45" s="326">
        <f t="shared" si="3"/>
        <v>4</v>
      </c>
      <c r="D45" s="327">
        <v>5016.8599999999997</v>
      </c>
      <c r="E45" s="328">
        <v>3486.8987000000002</v>
      </c>
      <c r="F45" s="235">
        <f t="shared" si="2"/>
        <v>104534782196910</v>
      </c>
      <c r="G45" s="329">
        <v>1.0241</v>
      </c>
      <c r="H45" s="139"/>
      <c r="J45" s="142">
        <v>1</v>
      </c>
      <c r="K45" s="291">
        <f>J45+1</f>
        <v>2</v>
      </c>
      <c r="L45" s="143">
        <f>K45+1</f>
        <v>3</v>
      </c>
      <c r="M45" s="143">
        <f t="shared" ref="M45" si="4">L45+1</f>
        <v>4</v>
      </c>
      <c r="N45" s="373"/>
      <c r="O45" s="66"/>
      <c r="P45" s="66"/>
      <c r="Q45" s="66"/>
      <c r="R45" s="66"/>
      <c r="S45" s="66"/>
      <c r="T45" s="66"/>
      <c r="U45" s="66"/>
      <c r="V45" s="66"/>
      <c r="W45" s="66"/>
      <c r="X45" s="66"/>
      <c r="Y45" s="66"/>
      <c r="Z45" s="66"/>
      <c r="AA45" s="66"/>
    </row>
    <row r="46" spans="1:27" ht="20" thickBot="1">
      <c r="A46" s="66"/>
      <c r="B46" s="66"/>
      <c r="C46" s="354">
        <f t="shared" si="3"/>
        <v>5</v>
      </c>
      <c r="D46" s="355">
        <v>5222.9399999999996</v>
      </c>
      <c r="E46" s="356">
        <v>3630.1302999999998</v>
      </c>
      <c r="F46" s="357">
        <f t="shared" si="2"/>
        <v>108828765302790</v>
      </c>
      <c r="G46" s="358">
        <v>1.0912999999999999</v>
      </c>
      <c r="H46" s="139"/>
      <c r="J46" s="144">
        <v>-56.566232657100002</v>
      </c>
      <c r="K46" s="292">
        <v>-56.566974128200002</v>
      </c>
      <c r="L46" s="145">
        <v>-56.566984467700003</v>
      </c>
      <c r="M46" s="145">
        <v>-56.566984467700003</v>
      </c>
      <c r="N46" s="227"/>
      <c r="O46" s="66"/>
      <c r="P46" s="66"/>
      <c r="Q46" s="66"/>
      <c r="R46" s="66"/>
      <c r="S46" s="66"/>
      <c r="T46" s="66"/>
      <c r="U46" s="66"/>
      <c r="V46" s="66"/>
      <c r="W46" s="66"/>
      <c r="X46" s="66"/>
      <c r="Y46" s="66"/>
      <c r="Z46" s="66"/>
      <c r="AA46" s="66"/>
    </row>
    <row r="47" spans="1:27" ht="20" thickBot="1">
      <c r="A47" s="66"/>
      <c r="B47" s="66"/>
      <c r="C47" s="330">
        <f t="shared" si="3"/>
        <v>6</v>
      </c>
      <c r="D47" s="331">
        <v>5223.6099999999997</v>
      </c>
      <c r="E47" s="332">
        <v>3630.5925000000002</v>
      </c>
      <c r="F47" s="162">
        <f t="shared" si="2"/>
        <v>108842621735250</v>
      </c>
      <c r="G47" s="333">
        <v>1.0912999999999999</v>
      </c>
      <c r="H47" s="139"/>
      <c r="K47" s="66"/>
      <c r="L47" s="66"/>
      <c r="M47" s="66"/>
      <c r="N47" s="66"/>
      <c r="O47" s="66"/>
      <c r="P47" s="66"/>
      <c r="Q47" s="66"/>
      <c r="R47" s="66"/>
      <c r="S47" s="66"/>
      <c r="T47" s="66"/>
      <c r="U47" s="66"/>
      <c r="V47" s="66"/>
      <c r="W47" s="66"/>
      <c r="X47" s="66"/>
      <c r="Y47" s="66"/>
      <c r="Z47" s="66"/>
      <c r="AA47" s="66"/>
    </row>
    <row r="48" spans="1:27" ht="19">
      <c r="A48" s="66"/>
      <c r="B48" s="66"/>
      <c r="C48" s="139"/>
      <c r="D48" s="66"/>
      <c r="E48" s="66"/>
      <c r="F48" s="140"/>
      <c r="G48" s="66"/>
      <c r="H48" s="139"/>
      <c r="O48" s="66"/>
      <c r="P48" s="66"/>
      <c r="Q48" s="66"/>
      <c r="R48" s="66"/>
      <c r="S48" s="66"/>
      <c r="T48" s="66"/>
      <c r="U48" s="66"/>
      <c r="V48" s="66"/>
      <c r="W48" s="66"/>
      <c r="X48" s="66"/>
      <c r="Y48" s="66"/>
      <c r="Z48" s="66"/>
      <c r="AA48" s="66"/>
    </row>
    <row r="49" spans="1:32" ht="19">
      <c r="A49" s="66"/>
      <c r="B49" s="66"/>
      <c r="C49" s="139"/>
      <c r="D49" s="66"/>
      <c r="E49" s="66"/>
      <c r="F49" s="140"/>
      <c r="G49" s="66"/>
      <c r="H49" s="139"/>
      <c r="K49" s="66"/>
      <c r="L49" s="66"/>
      <c r="M49" s="66"/>
      <c r="N49" s="66"/>
      <c r="O49" s="66"/>
      <c r="P49" s="66"/>
      <c r="Q49" s="66"/>
      <c r="R49" s="66"/>
      <c r="S49" s="66"/>
      <c r="T49" s="66"/>
      <c r="U49" s="66"/>
      <c r="V49" s="66"/>
      <c r="W49" s="66"/>
      <c r="X49" s="66"/>
      <c r="Y49" s="66"/>
      <c r="Z49" s="66"/>
      <c r="AA49" s="66"/>
    </row>
    <row r="50" spans="1:32" ht="19">
      <c r="A50" s="66"/>
      <c r="B50" s="66"/>
      <c r="C50" s="139"/>
      <c r="D50" s="66"/>
      <c r="E50" s="66"/>
      <c r="F50" s="140"/>
      <c r="G50" s="66"/>
      <c r="H50" s="139"/>
      <c r="K50" s="66"/>
      <c r="L50" s="66"/>
      <c r="M50" s="66"/>
      <c r="N50" s="66"/>
      <c r="O50" s="66"/>
      <c r="P50" s="66"/>
      <c r="Q50" s="66"/>
      <c r="R50" s="66"/>
      <c r="S50" s="66"/>
      <c r="T50" s="66"/>
      <c r="U50" s="66"/>
      <c r="V50" s="66"/>
      <c r="W50" s="66"/>
      <c r="X50" s="66"/>
      <c r="Y50" s="66"/>
      <c r="Z50" s="66"/>
      <c r="AA50" s="66"/>
    </row>
    <row r="51" spans="1:32" ht="19">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32" ht="1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32" ht="34" thickBot="1">
      <c r="A53" s="474" t="s">
        <v>167</v>
      </c>
      <c r="B53" s="474"/>
      <c r="C53" s="474"/>
      <c r="D53" s="474"/>
      <c r="E53" s="474"/>
      <c r="F53" s="474"/>
      <c r="G53" s="474"/>
      <c r="H53" s="474"/>
      <c r="I53" s="474"/>
      <c r="J53" s="474"/>
      <c r="K53" s="474"/>
      <c r="L53" s="474"/>
      <c r="M53" s="474"/>
      <c r="N53" s="474"/>
      <c r="O53" s="474"/>
      <c r="P53" s="474"/>
      <c r="Q53" s="474"/>
      <c r="R53" s="474"/>
      <c r="S53" s="474"/>
      <c r="T53" s="474"/>
      <c r="U53" s="474"/>
      <c r="V53" s="474"/>
      <c r="W53" s="66"/>
      <c r="X53" s="66"/>
      <c r="Y53" s="66"/>
      <c r="Z53" s="66"/>
      <c r="AA53" s="66"/>
    </row>
    <row r="54" spans="1:32" ht="20" thickTop="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32" ht="19">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c r="AB55" s="66"/>
      <c r="AC55" s="66"/>
      <c r="AD55" s="66"/>
      <c r="AE55" s="66"/>
      <c r="AF55" s="66"/>
    </row>
    <row r="56" spans="1:32"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c r="AB56" s="66"/>
      <c r="AC56" s="66"/>
      <c r="AD56" s="66"/>
      <c r="AE56" s="66"/>
      <c r="AF56" s="66"/>
    </row>
    <row r="57" spans="1:32"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c r="AB57" s="66"/>
      <c r="AC57" s="66"/>
      <c r="AD57" s="66"/>
      <c r="AE57" s="66"/>
      <c r="AF57" s="66"/>
    </row>
    <row r="58" spans="1:32"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c r="AB58" s="66"/>
      <c r="AC58" s="66"/>
      <c r="AD58" s="66"/>
      <c r="AE58" s="66"/>
      <c r="AF58" s="66"/>
    </row>
    <row r="59" spans="1:32" ht="19">
      <c r="B59" s="66"/>
      <c r="D59" s="66"/>
      <c r="E59" s="66"/>
      <c r="F59" s="66"/>
      <c r="G59" s="66"/>
      <c r="H59" s="66"/>
      <c r="I59" s="66"/>
      <c r="J59" s="66"/>
      <c r="K59" s="66"/>
      <c r="L59" s="66"/>
      <c r="M59" s="66"/>
      <c r="N59" s="66"/>
      <c r="O59" s="66"/>
      <c r="Q59" s="66"/>
      <c r="R59" s="66"/>
      <c r="S59" s="66"/>
      <c r="T59" s="66"/>
      <c r="U59" s="66"/>
      <c r="V59" s="66"/>
      <c r="W59" s="66"/>
      <c r="X59" s="66"/>
      <c r="Y59" s="66"/>
      <c r="Z59" s="66"/>
      <c r="AA59" s="66"/>
      <c r="AB59" s="66"/>
      <c r="AC59" s="66"/>
      <c r="AD59" s="66"/>
      <c r="AE59" s="66"/>
      <c r="AF59" s="66"/>
    </row>
    <row r="60" spans="1:32"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c r="AB60" s="66"/>
      <c r="AC60" s="66"/>
      <c r="AD60" s="66"/>
      <c r="AE60" s="66"/>
      <c r="AF60" s="66"/>
    </row>
    <row r="61" spans="1:32"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c r="AB61" s="66"/>
      <c r="AC61" s="66"/>
      <c r="AD61" s="66"/>
      <c r="AE61" s="66"/>
      <c r="AF61" s="66"/>
    </row>
    <row r="62" spans="1:32"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c r="AB62" s="66"/>
      <c r="AC62" s="66"/>
      <c r="AD62" s="66"/>
      <c r="AE62" s="66"/>
      <c r="AF62" s="66"/>
    </row>
    <row r="63" spans="1:32"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c r="AB63" s="66"/>
      <c r="AC63" s="66"/>
      <c r="AD63" s="66"/>
      <c r="AE63" s="66"/>
      <c r="AF63" s="66"/>
    </row>
    <row r="64" spans="1:32" ht="30" customHeight="1" thickBot="1">
      <c r="B64" s="66"/>
      <c r="C64" s="149" t="s">
        <v>80</v>
      </c>
      <c r="D64" s="150" t="s">
        <v>81</v>
      </c>
      <c r="E64" s="149" t="s">
        <v>82</v>
      </c>
      <c r="F64" s="66"/>
      <c r="G64" s="66"/>
      <c r="H64" s="151" t="s">
        <v>83</v>
      </c>
      <c r="I64" s="152"/>
      <c r="J64" s="152"/>
      <c r="K64" s="152"/>
      <c r="L64" s="152"/>
      <c r="M64" s="152"/>
      <c r="N64" s="152"/>
      <c r="O64" s="66"/>
      <c r="Q64" s="66"/>
      <c r="R64" s="66"/>
      <c r="S64" s="66"/>
      <c r="T64" s="66"/>
      <c r="U64" s="66"/>
      <c r="V64" s="66"/>
      <c r="W64" s="66"/>
      <c r="X64" s="66"/>
      <c r="Y64" s="66"/>
      <c r="Z64" s="66"/>
      <c r="AA64" s="66"/>
      <c r="AB64" s="66"/>
      <c r="AC64" s="66"/>
      <c r="AD64" s="66"/>
      <c r="AE64" s="66"/>
      <c r="AF64" s="66"/>
    </row>
    <row r="65" spans="2:32" ht="20" thickBot="1">
      <c r="B65" s="66"/>
      <c r="C65" s="153">
        <v>298.14999999999998</v>
      </c>
      <c r="D65" s="154">
        <f t="shared" ref="D65:D83" si="5">C65*$B$8/$B$16</f>
        <v>4.0625788058228471E-26</v>
      </c>
      <c r="E65" s="155">
        <f xml:space="preserve"> (2*PI()*$A$28*$U$9*$B$8*C65/($B$14^2))^(3/2)*D65</f>
        <v>2760156.2707450204</v>
      </c>
      <c r="F65" s="140"/>
      <c r="G65" s="66"/>
      <c r="H65" s="66"/>
      <c r="I65" s="66"/>
      <c r="J65" s="66"/>
      <c r="K65" s="66"/>
      <c r="L65" s="66"/>
      <c r="M65" s="66"/>
      <c r="N65" s="66"/>
      <c r="O65" s="66"/>
      <c r="Q65" s="66"/>
      <c r="R65" s="66"/>
      <c r="S65" s="66"/>
      <c r="T65" s="66"/>
      <c r="U65" s="66"/>
      <c r="V65" s="66"/>
      <c r="W65" s="66"/>
      <c r="X65" s="66"/>
      <c r="Y65" s="66"/>
      <c r="Z65" s="66"/>
      <c r="AA65" s="66"/>
      <c r="AB65" s="66"/>
      <c r="AC65" s="66"/>
      <c r="AD65" s="66"/>
      <c r="AE65" s="66"/>
      <c r="AF65" s="66"/>
    </row>
    <row r="66" spans="2:32" ht="20" thickBot="1">
      <c r="B66" s="66"/>
      <c r="C66" s="153">
        <v>300</v>
      </c>
      <c r="D66" s="154">
        <f t="shared" si="5"/>
        <v>4.0877868245743891E-26</v>
      </c>
      <c r="E66" s="155">
        <f xml:space="preserve"> (2*PI()*$A$28*$U$9*$B$8*C66/($B$14^2))^(3/2)*D66</f>
        <v>2803172.1753482632</v>
      </c>
      <c r="F66" s="66"/>
      <c r="G66" s="66"/>
      <c r="L66" s="149" t="s">
        <v>84</v>
      </c>
      <c r="M66" s="66"/>
      <c r="N66" s="66"/>
      <c r="O66" s="66"/>
      <c r="Q66" s="66"/>
      <c r="R66" s="66"/>
      <c r="S66" s="66"/>
      <c r="T66" s="66"/>
      <c r="U66" s="66"/>
      <c r="V66" s="66"/>
      <c r="W66" s="66"/>
      <c r="X66" s="66"/>
      <c r="Y66" s="66"/>
      <c r="Z66" s="66"/>
      <c r="AA66" s="66"/>
      <c r="AB66" s="66"/>
      <c r="AC66" s="66"/>
      <c r="AD66" s="66"/>
      <c r="AE66" s="66"/>
      <c r="AF66" s="66"/>
    </row>
    <row r="67" spans="2:32" ht="19">
      <c r="B67" s="66"/>
      <c r="C67" s="156">
        <f>C66+100</f>
        <v>400</v>
      </c>
      <c r="D67" s="157">
        <f t="shared" si="5"/>
        <v>5.4503824327658529E-26</v>
      </c>
      <c r="E67" s="158">
        <f t="shared" ref="E67:E83" si="6" xml:space="preserve"> (2*PI()*$A$28*$U$9*$B$8*C67/($B$14^2))^(3/2)*D67</f>
        <v>5754354.5245233085</v>
      </c>
      <c r="F67" s="66"/>
      <c r="G67" s="66"/>
      <c r="K67" s="159" t="s">
        <v>85</v>
      </c>
      <c r="L67" s="160">
        <f>$E$65</f>
        <v>2760156.2707450204</v>
      </c>
      <c r="M67" s="66"/>
      <c r="N67" s="66"/>
      <c r="O67" s="66"/>
      <c r="Q67" s="66"/>
      <c r="R67" s="66"/>
      <c r="S67" s="66"/>
      <c r="T67" s="66"/>
      <c r="U67" s="66"/>
      <c r="V67" s="66"/>
      <c r="W67" s="66"/>
      <c r="X67" s="66"/>
      <c r="Y67" s="66"/>
      <c r="Z67" s="66"/>
      <c r="AA67" s="66"/>
      <c r="AB67" s="66"/>
      <c r="AC67" s="66"/>
      <c r="AD67" s="66"/>
      <c r="AE67" s="66"/>
      <c r="AF67" s="66"/>
    </row>
    <row r="68" spans="2:32" ht="20" thickBot="1">
      <c r="B68" s="66"/>
      <c r="C68" s="156">
        <f t="shared" ref="C68:C83" si="7">C67+100</f>
        <v>500</v>
      </c>
      <c r="D68" s="157">
        <f t="shared" si="5"/>
        <v>6.812978040957315E-26</v>
      </c>
      <c r="E68" s="158">
        <f t="shared" si="6"/>
        <v>10052443.658959117</v>
      </c>
      <c r="F68" s="66"/>
      <c r="G68" s="66"/>
      <c r="K68" s="161" t="s">
        <v>86</v>
      </c>
      <c r="L68" s="162">
        <f>P33</f>
        <v>2761500</v>
      </c>
      <c r="M68" s="66"/>
      <c r="N68" s="66"/>
      <c r="O68" s="66"/>
      <c r="Q68" s="66"/>
      <c r="R68" s="66"/>
      <c r="S68" s="66"/>
      <c r="T68" s="66"/>
      <c r="U68" s="66"/>
      <c r="V68" s="66"/>
      <c r="W68" s="66"/>
      <c r="X68" s="66"/>
      <c r="Y68" s="66"/>
      <c r="Z68" s="66"/>
      <c r="AA68" s="66"/>
      <c r="AB68" s="66"/>
      <c r="AC68" s="66"/>
      <c r="AD68" s="66"/>
      <c r="AE68" s="66"/>
      <c r="AF68" s="66"/>
    </row>
    <row r="69" spans="2:32" ht="22">
      <c r="B69" s="66"/>
      <c r="C69" s="156">
        <f t="shared" si="7"/>
        <v>600</v>
      </c>
      <c r="D69" s="157">
        <f t="shared" si="5"/>
        <v>8.1755736491487783E-26</v>
      </c>
      <c r="E69" s="158">
        <f t="shared" si="6"/>
        <v>15857136.432177441</v>
      </c>
      <c r="F69" s="66"/>
      <c r="G69" s="66"/>
      <c r="H69" s="66"/>
      <c r="I69" s="66"/>
      <c r="K69" s="163" t="s">
        <v>87</v>
      </c>
      <c r="L69" s="164">
        <f>ABS(L67-L68)/L67</f>
        <v>4.8683086143413951E-4</v>
      </c>
      <c r="M69" s="66"/>
      <c r="N69" s="66"/>
      <c r="O69" s="66"/>
      <c r="Q69" s="66"/>
      <c r="R69" s="66"/>
      <c r="S69" s="66"/>
      <c r="T69" s="66"/>
      <c r="U69" s="66"/>
      <c r="V69" s="66"/>
      <c r="W69" s="66"/>
      <c r="X69" s="66"/>
      <c r="Y69" s="66"/>
      <c r="Z69" s="66"/>
      <c r="AA69" s="66"/>
      <c r="AB69" s="66"/>
      <c r="AC69" s="66"/>
      <c r="AD69" s="66"/>
      <c r="AE69" s="66"/>
      <c r="AF69" s="66"/>
    </row>
    <row r="70" spans="2:32" ht="19">
      <c r="B70" s="66"/>
      <c r="C70" s="156">
        <f t="shared" si="7"/>
        <v>700</v>
      </c>
      <c r="D70" s="157">
        <f t="shared" si="5"/>
        <v>9.5381692573402415E-26</v>
      </c>
      <c r="E70" s="158">
        <f t="shared" si="6"/>
        <v>23312655.010994311</v>
      </c>
      <c r="F70" s="66"/>
      <c r="G70" s="66"/>
      <c r="Q70" s="66"/>
      <c r="R70" s="66"/>
      <c r="S70" s="66"/>
      <c r="T70" s="66"/>
      <c r="U70" s="66"/>
      <c r="V70" s="66"/>
      <c r="W70" s="66"/>
      <c r="X70" s="66"/>
      <c r="Y70" s="66"/>
      <c r="Z70" s="66"/>
      <c r="AA70" s="66"/>
      <c r="AB70" s="66"/>
      <c r="AC70" s="66"/>
      <c r="AD70" s="66"/>
      <c r="AE70" s="66"/>
      <c r="AF70" s="66"/>
    </row>
    <row r="71" spans="2:32" ht="19">
      <c r="B71" s="66"/>
      <c r="C71" s="156">
        <f t="shared" si="7"/>
        <v>800</v>
      </c>
      <c r="D71" s="157">
        <f t="shared" si="5"/>
        <v>1.0900764865531706E-25</v>
      </c>
      <c r="E71" s="158">
        <f t="shared" si="6"/>
        <v>32551544.845135011</v>
      </c>
      <c r="F71" s="66"/>
      <c r="G71" s="66"/>
      <c r="Q71" s="66"/>
      <c r="R71" s="66"/>
      <c r="S71" s="66"/>
      <c r="T71" s="66"/>
      <c r="U71" s="66"/>
      <c r="V71" s="66"/>
      <c r="W71" s="66"/>
      <c r="X71" s="66"/>
      <c r="Y71" s="66"/>
      <c r="Z71" s="66"/>
      <c r="AA71" s="66"/>
      <c r="AB71" s="66"/>
      <c r="AC71" s="66"/>
      <c r="AD71" s="66"/>
      <c r="AE71" s="66"/>
      <c r="AF71" s="66"/>
    </row>
    <row r="72" spans="2:32" ht="19">
      <c r="B72" s="66"/>
      <c r="C72" s="156">
        <f t="shared" si="7"/>
        <v>900</v>
      </c>
      <c r="D72" s="157">
        <f t="shared" si="5"/>
        <v>1.2263360473723168E-25</v>
      </c>
      <c r="E72" s="158">
        <f t="shared" si="6"/>
        <v>43697129.670598939</v>
      </c>
      <c r="F72" s="66"/>
      <c r="G72" s="66"/>
      <c r="Q72" s="66"/>
      <c r="R72" s="66"/>
      <c r="S72" s="66"/>
      <c r="T72" s="66"/>
      <c r="U72" s="66"/>
      <c r="V72" s="66"/>
      <c r="W72" s="66"/>
      <c r="X72" s="66"/>
      <c r="Y72" s="66"/>
      <c r="Z72" s="66"/>
      <c r="AA72" s="66"/>
      <c r="AB72" s="66"/>
      <c r="AC72" s="66"/>
      <c r="AD72" s="66"/>
      <c r="AE72" s="66"/>
      <c r="AF72" s="66"/>
    </row>
    <row r="73" spans="2:32" ht="19">
      <c r="C73" s="156">
        <f t="shared" si="7"/>
        <v>1000</v>
      </c>
      <c r="D73" s="157">
        <f t="shared" si="5"/>
        <v>1.362595608191463E-25</v>
      </c>
      <c r="E73" s="158">
        <f t="shared" si="6"/>
        <v>56865208.629965775</v>
      </c>
    </row>
    <row r="74" spans="2:32" ht="19">
      <c r="C74" s="156">
        <f t="shared" si="7"/>
        <v>1100</v>
      </c>
      <c r="D74" s="157">
        <f t="shared" si="5"/>
        <v>1.4988551690106094E-25</v>
      </c>
      <c r="E74" s="158">
        <f t="shared" si="6"/>
        <v>72165288.096620664</v>
      </c>
    </row>
    <row r="75" spans="2:32" ht="19">
      <c r="C75" s="156">
        <f t="shared" si="7"/>
        <v>1200</v>
      </c>
      <c r="D75" s="157">
        <f t="shared" si="5"/>
        <v>1.6351147298297557E-25</v>
      </c>
      <c r="E75" s="158">
        <f t="shared" si="6"/>
        <v>89701509.611143649</v>
      </c>
    </row>
    <row r="76" spans="2:32" ht="19">
      <c r="C76" s="156">
        <f t="shared" si="7"/>
        <v>1300</v>
      </c>
      <c r="D76" s="157">
        <f t="shared" si="5"/>
        <v>1.7713742906489019E-25</v>
      </c>
      <c r="E76" s="158">
        <f t="shared" si="6"/>
        <v>109573369.68490662</v>
      </c>
    </row>
    <row r="77" spans="2:32" ht="19">
      <c r="C77" s="156">
        <f t="shared" si="7"/>
        <v>1400</v>
      </c>
      <c r="D77" s="157">
        <f t="shared" si="5"/>
        <v>1.9076338514680483E-25</v>
      </c>
      <c r="E77" s="158">
        <f t="shared" si="6"/>
        <v>131876291.56589337</v>
      </c>
    </row>
    <row r="78" spans="2:32" ht="19">
      <c r="C78" s="156">
        <f t="shared" si="7"/>
        <v>1500</v>
      </c>
      <c r="D78" s="157">
        <f t="shared" si="5"/>
        <v>2.043893412287195E-25</v>
      </c>
      <c r="E78" s="158">
        <f t="shared" si="6"/>
        <v>156702088.41786647</v>
      </c>
    </row>
    <row r="79" spans="2:32" ht="19">
      <c r="C79" s="156">
        <f t="shared" si="7"/>
        <v>1600</v>
      </c>
      <c r="D79" s="157">
        <f t="shared" si="5"/>
        <v>2.1801529731063412E-25</v>
      </c>
      <c r="E79" s="158">
        <f t="shared" si="6"/>
        <v>184139344.78474429</v>
      </c>
    </row>
    <row r="80" spans="2:32" ht="19">
      <c r="C80" s="156">
        <f t="shared" si="7"/>
        <v>1700</v>
      </c>
      <c r="D80" s="157">
        <f t="shared" si="5"/>
        <v>2.3164125339254876E-25</v>
      </c>
      <c r="E80" s="158">
        <f t="shared" si="6"/>
        <v>214273735.21648976</v>
      </c>
    </row>
    <row r="81" spans="3:31" ht="19">
      <c r="C81" s="156">
        <f t="shared" si="7"/>
        <v>1800</v>
      </c>
      <c r="D81" s="157">
        <f t="shared" si="5"/>
        <v>2.4526720947446336E-25</v>
      </c>
      <c r="E81" s="158">
        <f t="shared" si="6"/>
        <v>247188293.66774788</v>
      </c>
    </row>
    <row r="82" spans="3:31" ht="19">
      <c r="C82" s="156">
        <f t="shared" si="7"/>
        <v>1900</v>
      </c>
      <c r="D82" s="157">
        <f t="shared" si="5"/>
        <v>2.58893165556378E-25</v>
      </c>
      <c r="E82" s="158">
        <f t="shared" si="6"/>
        <v>282963643.70721567</v>
      </c>
    </row>
    <row r="83" spans="3:31" ht="20" thickBot="1">
      <c r="C83" s="165">
        <f t="shared" si="7"/>
        <v>2000</v>
      </c>
      <c r="D83" s="166">
        <f t="shared" si="5"/>
        <v>2.725191216382926E-25</v>
      </c>
      <c r="E83" s="167">
        <f t="shared" si="6"/>
        <v>321678197.08668894</v>
      </c>
    </row>
    <row r="92" spans="3:31" ht="22" customHeight="1">
      <c r="F92" s="66" t="s">
        <v>78</v>
      </c>
      <c r="AD92" s="66" t="s">
        <v>78</v>
      </c>
    </row>
    <row r="93" spans="3:31" ht="27">
      <c r="C93" s="147" t="s">
        <v>88</v>
      </c>
      <c r="D93" s="168"/>
      <c r="E93" s="66"/>
      <c r="F93" s="66"/>
      <c r="G93" s="66"/>
      <c r="Z93" s="475" t="s">
        <v>89</v>
      </c>
      <c r="AA93" s="475"/>
      <c r="AB93" s="475"/>
      <c r="AC93" s="66"/>
      <c r="AD93" s="66"/>
      <c r="AE93" s="66"/>
    </row>
    <row r="94" spans="3:31" ht="19">
      <c r="E94" s="66"/>
      <c r="G94" s="66"/>
      <c r="AC94" s="66"/>
      <c r="AE94" s="66"/>
    </row>
    <row r="95" spans="3:31" ht="20" thickBot="1">
      <c r="E95" s="66"/>
      <c r="F95" s="66"/>
      <c r="G95" s="66"/>
    </row>
    <row r="96" spans="3:31" ht="20" thickBot="1">
      <c r="C96" s="169" t="s">
        <v>90</v>
      </c>
      <c r="E96" s="66"/>
      <c r="F96" s="66"/>
      <c r="G96" s="66"/>
    </row>
    <row r="97" spans="3:39" ht="22" thickBot="1">
      <c r="C97" s="170" t="s">
        <v>91</v>
      </c>
      <c r="D97" s="334" cm="1">
        <f t="array" ref="D97">INDEX($E:$E,(COLUMN(D97)-4)*1+42)</f>
        <v>995.81610000000001</v>
      </c>
      <c r="E97" s="334" cm="1">
        <f t="array" ref="E97">INDEX($E:$E,(COLUMN(E97)-4)*1+42)</f>
        <v>1673.0462</v>
      </c>
      <c r="F97" s="334" cm="1">
        <f t="array" ref="F97">INDEX($E:$E,(COLUMN(F97)-4)*1+42)</f>
        <v>1673.2701999999999</v>
      </c>
      <c r="G97" s="334" cm="1">
        <f t="array" ref="G97">INDEX($E:$E,(COLUMN(G97)-4)*1+42)</f>
        <v>3486.8987000000002</v>
      </c>
      <c r="H97" s="334" cm="1">
        <f t="array" ref="H97">INDEX($E:$E,(COLUMN(H97)-4)*1+42)</f>
        <v>3630.1302999999998</v>
      </c>
      <c r="I97" s="334" cm="1">
        <f t="array" ref="I97">INDEX($E:$E,(COLUMN(I97)-4)*1+42)</f>
        <v>3630.5925000000002</v>
      </c>
      <c r="J97" s="367"/>
      <c r="K97" s="66"/>
      <c r="L97" s="66"/>
      <c r="Q97" s="174" t="s">
        <v>93</v>
      </c>
      <c r="R97" s="175" cm="1">
        <f t="array" ref="R97">SUM(($B$14*$D$98:$L$98)/2)*$H$13</f>
        <v>21.582017125061324</v>
      </c>
    </row>
    <row r="98" spans="3:39" ht="20" thickBot="1">
      <c r="C98" s="172" t="s">
        <v>92</v>
      </c>
      <c r="D98" s="276">
        <f>D97*$L$9</f>
        <v>29853869606730</v>
      </c>
      <c r="E98" s="276">
        <f t="shared" ref="E98:I98" si="8">E97*$L$9</f>
        <v>50156753943660</v>
      </c>
      <c r="F98" s="276">
        <f t="shared" si="8"/>
        <v>50163469306860</v>
      </c>
      <c r="G98" s="276">
        <f t="shared" si="8"/>
        <v>104534782196910</v>
      </c>
      <c r="H98" s="276">
        <f t="shared" si="8"/>
        <v>108828765302790</v>
      </c>
      <c r="I98" s="276">
        <f t="shared" si="8"/>
        <v>108842621735250</v>
      </c>
      <c r="J98" s="197"/>
      <c r="K98" s="140"/>
      <c r="L98" s="140"/>
      <c r="P98" s="335"/>
      <c r="Q98" s="66"/>
    </row>
    <row r="99" spans="3:39" ht="17" thickBot="1"/>
    <row r="100" spans="3:39" ht="30" customHeight="1" thickBot="1">
      <c r="C100" s="368" t="s">
        <v>94</v>
      </c>
      <c r="D100" s="117"/>
      <c r="E100" s="117"/>
      <c r="F100" s="117"/>
      <c r="G100" s="117"/>
      <c r="H100" s="117"/>
      <c r="I100" s="117"/>
      <c r="J100" s="176" t="s">
        <v>95</v>
      </c>
    </row>
    <row r="101" spans="3:39" ht="38" customHeight="1" thickBot="1">
      <c r="C101" s="177" t="s">
        <v>96</v>
      </c>
      <c r="D101" s="216">
        <v>1</v>
      </c>
      <c r="E101" s="336">
        <f t="shared" ref="E101:I101" si="9">D101+1</f>
        <v>2</v>
      </c>
      <c r="F101" s="336">
        <f t="shared" si="9"/>
        <v>3</v>
      </c>
      <c r="G101" s="336">
        <f t="shared" si="9"/>
        <v>4</v>
      </c>
      <c r="H101" s="336">
        <f t="shared" si="9"/>
        <v>5</v>
      </c>
      <c r="I101" s="349">
        <f t="shared" si="9"/>
        <v>6</v>
      </c>
      <c r="J101" s="179"/>
      <c r="K101" s="180"/>
      <c r="L101" s="180"/>
      <c r="P101" s="151" t="s">
        <v>83</v>
      </c>
      <c r="Q101" s="152"/>
      <c r="R101" s="152"/>
      <c r="S101" s="152"/>
      <c r="T101" s="152"/>
      <c r="U101" s="66"/>
      <c r="V101" s="66"/>
      <c r="Z101" s="181" t="s">
        <v>80</v>
      </c>
      <c r="AA101" s="182" t="s">
        <v>97</v>
      </c>
      <c r="AB101" s="183" t="s">
        <v>98</v>
      </c>
      <c r="AC101" s="183" t="s">
        <v>147</v>
      </c>
      <c r="AD101" s="184" t="s">
        <v>100</v>
      </c>
      <c r="AE101" s="185" t="s">
        <v>101</v>
      </c>
      <c r="AG101" s="476" t="s">
        <v>83</v>
      </c>
      <c r="AH101" s="476"/>
      <c r="AI101" s="476"/>
      <c r="AJ101" s="476"/>
      <c r="AK101" s="476"/>
      <c r="AL101" s="476"/>
      <c r="AM101" s="476"/>
    </row>
    <row r="102" spans="3:39" ht="20" thickBot="1">
      <c r="C102" s="174">
        <v>298.14999999999998</v>
      </c>
      <c r="D102" s="337">
        <f>1/(1-EXP(-($B$14*D$98)/($B$8*$C102)))</f>
        <v>1.0082521917729284</v>
      </c>
      <c r="E102" s="338">
        <f t="shared" ref="E102:I102" si="10">1/(1-EXP(-($B$14*E$98)/($B$8*$C102)))</f>
        <v>1.0003117583564216</v>
      </c>
      <c r="F102" s="338">
        <f t="shared" si="10"/>
        <v>1.0003114214373388</v>
      </c>
      <c r="G102" s="338">
        <f t="shared" si="10"/>
        <v>1.0000000492343368</v>
      </c>
      <c r="H102" s="338">
        <f t="shared" si="10"/>
        <v>1.0000000246653811</v>
      </c>
      <c r="I102" s="375">
        <f t="shared" si="10"/>
        <v>1.0000000246104279</v>
      </c>
      <c r="J102" s="300">
        <f xml:space="preserve"> PRODUCT(D102:I102)</f>
        <v>1.0088807114402614</v>
      </c>
      <c r="K102" s="188"/>
      <c r="L102" s="188"/>
      <c r="Z102" s="174">
        <v>298.14999999999998</v>
      </c>
      <c r="AA102" s="189">
        <f>$E65</f>
        <v>2760156.2707450204</v>
      </c>
      <c r="AB102" s="190" cm="1">
        <f t="array" ref="AB102">PRODUCT(EXP(-($B$14*$D$98:$I$98)/(2*$B$8*$Z102))/(1-EXP(-($B$14*$D$98:$I$98)/($B$8*$Z102))))</f>
        <v>1.5542662373611019E-16</v>
      </c>
      <c r="AC102" s="191">
        <f>$E137</f>
        <v>212.60793241026184</v>
      </c>
      <c r="AD102" s="192">
        <f>$D175</f>
        <v>1</v>
      </c>
      <c r="AE102" s="193">
        <f>PRODUCT(AA102:AD102)</f>
        <v>9.1209179351073114E-8</v>
      </c>
    </row>
    <row r="103" spans="3:39" ht="22" thickBot="1">
      <c r="C103" s="194">
        <v>300</v>
      </c>
      <c r="D103" s="340">
        <f t="shared" ref="D103:I120" si="11">1/(1-EXP(-($B$14*D$98)/($B$8*$C103)))</f>
        <v>1.0085025060861652</v>
      </c>
      <c r="E103" s="340">
        <f t="shared" si="11"/>
        <v>1.0003276780154098</v>
      </c>
      <c r="F103" s="340">
        <f t="shared" si="11"/>
        <v>1.0003273260688514</v>
      </c>
      <c r="G103" s="340">
        <f t="shared" si="11"/>
        <v>1.0000000546175787</v>
      </c>
      <c r="H103" s="340">
        <f t="shared" si="11"/>
        <v>1.0000000274791496</v>
      </c>
      <c r="I103" s="301">
        <f t="shared" si="11"/>
        <v>1.0000000274183047</v>
      </c>
      <c r="J103" s="302">
        <f t="shared" ref="J103:J120" si="12" xml:space="preserve"> PRODUCT(D103:I103)</f>
        <v>1.0091632980346976</v>
      </c>
      <c r="K103" s="188"/>
      <c r="L103" s="188"/>
      <c r="N103" s="188"/>
      <c r="R103" s="149" t="s">
        <v>102</v>
      </c>
      <c r="S103" s="149" t="s">
        <v>103</v>
      </c>
      <c r="T103" s="341" t="s">
        <v>104</v>
      </c>
      <c r="Z103" s="194">
        <v>300</v>
      </c>
      <c r="AA103" s="197">
        <f t="shared" ref="AA103:AA120" si="13">$E66</f>
        <v>2803172.1753482632</v>
      </c>
      <c r="AB103" s="66" cm="1">
        <f t="array" ref="AB103">PRODUCT(EXP(-($B$14*$D$98:$I$98)/(2*$B$8*$Z103))/(1-EXP(-($B$14*$D$98:$I$98)/($B$8*$Z103))))</f>
        <v>1.9460603927909808E-16</v>
      </c>
      <c r="AC103" s="140">
        <f t="shared" ref="AC103:AC120" si="14">$E138</f>
        <v>214.58982499874347</v>
      </c>
      <c r="AD103" s="198">
        <f t="shared" ref="AD103:AD120" si="15">$D176</f>
        <v>1</v>
      </c>
      <c r="AE103" s="303">
        <f t="shared" ref="AE103:AE120" si="16">PRODUCT(AA103:AD103)</f>
        <v>1.170618041075024E-7</v>
      </c>
    </row>
    <row r="104" spans="3:39" ht="20" thickBot="1">
      <c r="C104" s="199">
        <f>C103+100</f>
        <v>400</v>
      </c>
      <c r="D104" s="340">
        <f t="shared" si="11"/>
        <v>1.0286191738462527</v>
      </c>
      <c r="E104" s="340">
        <f t="shared" si="11"/>
        <v>1.0024408298832821</v>
      </c>
      <c r="F104" s="340">
        <f t="shared" si="11"/>
        <v>1.0024388592661027</v>
      </c>
      <c r="G104" s="340">
        <f t="shared" si="11"/>
        <v>1.0000035727355039</v>
      </c>
      <c r="H104" s="340">
        <f t="shared" si="11"/>
        <v>1.0000021342897785</v>
      </c>
      <c r="I104" s="301">
        <f t="shared" si="11"/>
        <v>1.0000021307444451</v>
      </c>
      <c r="J104" s="302">
        <f t="shared" si="12"/>
        <v>1.0336527403627873</v>
      </c>
      <c r="K104" s="188"/>
      <c r="L104" s="188"/>
      <c r="N104" s="188"/>
      <c r="Q104" s="159" t="s">
        <v>85</v>
      </c>
      <c r="R104" s="160">
        <f>J102</f>
        <v>1.0088807114402614</v>
      </c>
      <c r="S104" s="342">
        <f>J124</f>
        <v>1.5542662373611019E-16</v>
      </c>
      <c r="T104" s="201">
        <f>R97</f>
        <v>21.582017125061324</v>
      </c>
      <c r="Z104" s="199">
        <f>Z103+100</f>
        <v>400</v>
      </c>
      <c r="AA104" s="197">
        <f t="shared" si="13"/>
        <v>5754354.5245233085</v>
      </c>
      <c r="AB104" s="66" cm="1">
        <f t="array" ref="AB104">PRODUCT(EXP(-($B$14*$D$98:$I$98)/(2*$B$8*$Z104))/(1-EXP(-($B$14*$D$98:$I$98)/($B$8*$Z104))))</f>
        <v>1.6914953573435358E-12</v>
      </c>
      <c r="AC104" s="140">
        <f t="shared" si="14"/>
        <v>330.38264860901137</v>
      </c>
      <c r="AD104" s="198">
        <f t="shared" si="15"/>
        <v>1</v>
      </c>
      <c r="AE104" s="303">
        <f t="shared" si="16"/>
        <v>3.2157676041503864E-3</v>
      </c>
    </row>
    <row r="105" spans="3:39" ht="23" thickBot="1">
      <c r="C105" s="199">
        <f t="shared" ref="C105:C120" si="17">C104+100</f>
        <v>500</v>
      </c>
      <c r="D105" s="340">
        <f t="shared" si="11"/>
        <v>1.060393328895183</v>
      </c>
      <c r="E105" s="340">
        <f t="shared" si="11"/>
        <v>1.0081793882973036</v>
      </c>
      <c r="F105" s="340">
        <f t="shared" si="11"/>
        <v>1.0081740747055425</v>
      </c>
      <c r="G105" s="340">
        <f t="shared" si="11"/>
        <v>1.0000438953498187</v>
      </c>
      <c r="H105" s="340">
        <f t="shared" si="11"/>
        <v>1.0000290679624118</v>
      </c>
      <c r="I105" s="301">
        <f t="shared" si="11"/>
        <v>1.0000290293264136</v>
      </c>
      <c r="J105" s="302">
        <f t="shared" si="12"/>
        <v>1.0779152605996911</v>
      </c>
      <c r="K105" s="188"/>
      <c r="L105" s="188"/>
      <c r="N105" s="188"/>
      <c r="Q105" s="161" t="s">
        <v>86</v>
      </c>
      <c r="R105" s="162">
        <f>P38</f>
        <v>1.00888</v>
      </c>
      <c r="S105" s="343">
        <f>P37</f>
        <v>1.5543800000000001E-16</v>
      </c>
      <c r="T105" s="304">
        <f>D38</f>
        <v>21.57189</v>
      </c>
      <c r="Z105" s="199">
        <f t="shared" ref="Z105:Z120" si="18">Z104+100</f>
        <v>500</v>
      </c>
      <c r="AA105" s="197">
        <f t="shared" si="13"/>
        <v>10052443.658959117</v>
      </c>
      <c r="AB105" s="66" cm="1">
        <f t="array" ref="AB105">PRODUCT(EXP(-($B$14*$D$98:$I$98)/(2*$B$8*$Z105))/(1-EXP(-($B$14*$D$98:$I$98)/($B$8*$Z105))))</f>
        <v>4.0151478347715419E-10</v>
      </c>
      <c r="AC105" s="140">
        <f t="shared" si="14"/>
        <v>461.72378804761001</v>
      </c>
      <c r="AD105" s="198">
        <f t="shared" si="15"/>
        <v>1</v>
      </c>
      <c r="AE105" s="303">
        <f t="shared" si="16"/>
        <v>1.8636117414929423</v>
      </c>
      <c r="AJ105" s="149" t="s">
        <v>105</v>
      </c>
      <c r="AK105" s="203" t="s">
        <v>106</v>
      </c>
    </row>
    <row r="106" spans="3:39" ht="23" thickBot="1">
      <c r="C106" s="199">
        <f t="shared" si="17"/>
        <v>600</v>
      </c>
      <c r="D106" s="340">
        <f t="shared" si="11"/>
        <v>1.1011027150271311</v>
      </c>
      <c r="E106" s="340">
        <f t="shared" si="11"/>
        <v>1.0184325223475668</v>
      </c>
      <c r="F106" s="340">
        <f t="shared" si="11"/>
        <v>1.01842244174151</v>
      </c>
      <c r="G106" s="340">
        <f t="shared" si="11"/>
        <v>1.0002337586646515</v>
      </c>
      <c r="H106" s="340">
        <f t="shared" si="11"/>
        <v>1.0001657958427514</v>
      </c>
      <c r="I106" s="301">
        <f t="shared" si="11"/>
        <v>1.0001656121561939</v>
      </c>
      <c r="J106" s="302">
        <f t="shared" si="12"/>
        <v>1.1427032925665526</v>
      </c>
      <c r="K106" s="188"/>
      <c r="L106" s="188"/>
      <c r="N106" s="188"/>
      <c r="Q106" s="163" t="s">
        <v>87</v>
      </c>
      <c r="R106" s="164">
        <f>ABS(R104-R105)/R104</f>
        <v>7.0517778098249979E-7</v>
      </c>
      <c r="S106" s="164">
        <f>ABS(S104-S105)/S104</f>
        <v>7.3193791490524138E-5</v>
      </c>
      <c r="T106" s="164">
        <f>ABS(T104-T105)/T104</f>
        <v>4.6923904297916562E-4</v>
      </c>
      <c r="Z106" s="199">
        <f t="shared" si="18"/>
        <v>600</v>
      </c>
      <c r="AA106" s="197">
        <f t="shared" si="13"/>
        <v>15857136.432177441</v>
      </c>
      <c r="AB106" s="66" cm="1">
        <f t="array" ref="AB106">PRODUCT(EXP(-($B$14*$D$98:$I$98)/(2*$B$8*$Z106))/(1-EXP(-($B$14*$D$98:$I$98)/($B$8*$Z106))))</f>
        <v>1.5868318614127735E-8</v>
      </c>
      <c r="AC106" s="140">
        <f t="shared" si="14"/>
        <v>606.95168172098363</v>
      </c>
      <c r="AD106" s="198">
        <f t="shared" si="15"/>
        <v>1</v>
      </c>
      <c r="AE106" s="303">
        <f t="shared" si="16"/>
        <v>152.72488044080529</v>
      </c>
      <c r="AI106" s="159" t="s">
        <v>85</v>
      </c>
      <c r="AJ106" s="160">
        <f>AE102</f>
        <v>9.1209179351073114E-8</v>
      </c>
      <c r="AK106" s="205">
        <f>AA103*AC103*AD103*J103</f>
        <v>607044245.61867762</v>
      </c>
    </row>
    <row r="107" spans="3:39" ht="20" thickBot="1">
      <c r="C107" s="199">
        <f t="shared" si="17"/>
        <v>700</v>
      </c>
      <c r="D107" s="340">
        <f t="shared" si="11"/>
        <v>1.1483005268757258</v>
      </c>
      <c r="E107" s="340">
        <f t="shared" si="11"/>
        <v>1.033168864468772</v>
      </c>
      <c r="F107" s="340">
        <f t="shared" si="11"/>
        <v>1.033153090569328</v>
      </c>
      <c r="G107" s="340">
        <f t="shared" si="11"/>
        <v>1.000772259817875</v>
      </c>
      <c r="H107" s="340">
        <f t="shared" si="11"/>
        <v>1.0005752048898979</v>
      </c>
      <c r="I107" s="301">
        <f t="shared" si="11"/>
        <v>1.0005746583882515</v>
      </c>
      <c r="J107" s="302">
        <f t="shared" si="12"/>
        <v>1.2280782720316201</v>
      </c>
      <c r="K107" s="188"/>
      <c r="L107" s="188"/>
      <c r="N107" s="188"/>
      <c r="Z107" s="199">
        <f t="shared" si="18"/>
        <v>700</v>
      </c>
      <c r="AA107" s="197">
        <f t="shared" si="13"/>
        <v>23312655.010994311</v>
      </c>
      <c r="AB107" s="66" cm="1">
        <f t="array" ref="AB107">PRODUCT(EXP(-($B$14*$D$98:$I$98)/(2*$B$8*$Z107))/(1-EXP(-($B$14*$D$98:$I$98)/($B$8*$Z107))))</f>
        <v>2.2610468527510883E-7</v>
      </c>
      <c r="AC107" s="140">
        <f t="shared" si="14"/>
        <v>764.84653499649755</v>
      </c>
      <c r="AD107" s="198">
        <f t="shared" si="15"/>
        <v>1</v>
      </c>
      <c r="AE107" s="303">
        <f t="shared" si="16"/>
        <v>4031.5829715434579</v>
      </c>
      <c r="AI107" s="161" t="s">
        <v>86</v>
      </c>
      <c r="AJ107" s="162">
        <f>$P35</f>
        <v>9.1260100000000003E-8</v>
      </c>
      <c r="AK107" s="140"/>
    </row>
    <row r="108" spans="3:39" ht="22">
      <c r="C108" s="199">
        <f t="shared" si="17"/>
        <v>800</v>
      </c>
      <c r="D108" s="340">
        <f t="shared" si="11"/>
        <v>1.2001949033591841</v>
      </c>
      <c r="E108" s="340">
        <f t="shared" si="11"/>
        <v>1.0519058431128492</v>
      </c>
      <c r="F108" s="340">
        <f t="shared" si="11"/>
        <v>1.0518838519410181</v>
      </c>
      <c r="G108" s="340">
        <f t="shared" si="11"/>
        <v>1.0018937442273084</v>
      </c>
      <c r="H108" s="340">
        <f t="shared" si="11"/>
        <v>1.0014630567154204</v>
      </c>
      <c r="I108" s="301">
        <f t="shared" si="11"/>
        <v>1.0014618392719392</v>
      </c>
      <c r="J108" s="302">
        <f t="shared" si="12"/>
        <v>1.3344043127939229</v>
      </c>
      <c r="K108" s="188"/>
      <c r="L108" s="188"/>
      <c r="N108" s="188"/>
      <c r="Z108" s="199">
        <f t="shared" si="18"/>
        <v>800</v>
      </c>
      <c r="AA108" s="197">
        <f t="shared" si="13"/>
        <v>32551544.845135011</v>
      </c>
      <c r="AB108" s="66" cm="1">
        <f t="array" ref="AB108">PRODUCT(EXP(-($B$14*$D$98:$I$98)/(2*$B$8*$Z108))/(1-EXP(-($B$14*$D$98:$I$98)/($B$8*$Z108))))</f>
        <v>1.7070078245039955E-6</v>
      </c>
      <c r="AC108" s="140">
        <f t="shared" si="14"/>
        <v>934.46324487121603</v>
      </c>
      <c r="AD108" s="198">
        <f t="shared" si="15"/>
        <v>1</v>
      </c>
      <c r="AE108" s="303">
        <f t="shared" si="16"/>
        <v>51924.143339697002</v>
      </c>
      <c r="AI108" s="163" t="s">
        <v>87</v>
      </c>
      <c r="AJ108" s="164">
        <f>ABS(AJ106-AJ107)/AJ106</f>
        <v>5.5828425701420195E-4</v>
      </c>
      <c r="AK108" s="223"/>
    </row>
    <row r="109" spans="3:39" ht="19">
      <c r="C109" s="199">
        <f t="shared" si="17"/>
        <v>900</v>
      </c>
      <c r="D109" s="340">
        <f t="shared" si="11"/>
        <v>1.2555362959889789</v>
      </c>
      <c r="E109" s="340">
        <f t="shared" si="11"/>
        <v>1.0740379954259025</v>
      </c>
      <c r="F109" s="340">
        <f t="shared" si="11"/>
        <v>1.0740095256324711</v>
      </c>
      <c r="G109" s="340">
        <f t="shared" si="11"/>
        <v>1.0038085679161908</v>
      </c>
      <c r="H109" s="340">
        <f t="shared" si="11"/>
        <v>1.0030267760278542</v>
      </c>
      <c r="I109" s="301">
        <f t="shared" si="11"/>
        <v>1.0030245336302845</v>
      </c>
      <c r="J109" s="302">
        <f t="shared" si="12"/>
        <v>1.4626217642539519</v>
      </c>
      <c r="K109" s="188"/>
      <c r="L109" s="188"/>
      <c r="N109" s="188"/>
      <c r="Z109" s="199">
        <f t="shared" si="18"/>
        <v>900</v>
      </c>
      <c r="AA109" s="197">
        <f t="shared" si="13"/>
        <v>43697129.670598939</v>
      </c>
      <c r="AB109" s="66" cm="1">
        <f t="array" ref="AB109">PRODUCT(EXP(-($B$14*$D$98:$I$98)/(2*$B$8*$Z109))/(1-EXP(-($B$14*$D$98:$I$98)/($B$8*$Z109))))</f>
        <v>8.4501351237636343E-6</v>
      </c>
      <c r="AC109" s="140">
        <f t="shared" si="14"/>
        <v>1115.0414390554131</v>
      </c>
      <c r="AD109" s="198">
        <f t="shared" si="15"/>
        <v>1</v>
      </c>
      <c r="AE109" s="303">
        <f t="shared" si="16"/>
        <v>411725.31624685839</v>
      </c>
    </row>
    <row r="110" spans="3:39" ht="19">
      <c r="C110" s="199">
        <f t="shared" si="17"/>
        <v>1000</v>
      </c>
      <c r="D110" s="340">
        <f t="shared" si="11"/>
        <v>1.3134559359121516</v>
      </c>
      <c r="E110" s="340">
        <f t="shared" si="11"/>
        <v>1.0989884775462413</v>
      </c>
      <c r="F110" s="340">
        <f t="shared" si="11"/>
        <v>1.0989534236943643</v>
      </c>
      <c r="G110" s="340">
        <f t="shared" si="11"/>
        <v>1.0066693973398857</v>
      </c>
      <c r="H110" s="340">
        <f t="shared" si="11"/>
        <v>1.0054206175873537</v>
      </c>
      <c r="I110" s="301">
        <f t="shared" si="11"/>
        <v>1.0054169945374454</v>
      </c>
      <c r="J110" s="302">
        <f t="shared" si="12"/>
        <v>1.6142426138035757</v>
      </c>
      <c r="K110" s="188"/>
      <c r="L110" s="188"/>
      <c r="N110" s="188"/>
      <c r="Z110" s="199">
        <f t="shared" si="18"/>
        <v>1000</v>
      </c>
      <c r="AA110" s="197">
        <f t="shared" si="13"/>
        <v>56865208.629965775</v>
      </c>
      <c r="AB110" s="66" cm="1">
        <f t="array" ref="AB110">PRODUCT(EXP(-($B$14*$D$98:$I$98)/(2*$B$8*$Z110))/(1-EXP(-($B$14*$D$98:$I$98)/($B$8*$Z110))))</f>
        <v>3.1154965008262888E-5</v>
      </c>
      <c r="AC110" s="140">
        <f t="shared" si="14"/>
        <v>1305.9520862544198</v>
      </c>
      <c r="AD110" s="198">
        <f t="shared" si="15"/>
        <v>1</v>
      </c>
      <c r="AE110" s="303">
        <f t="shared" si="16"/>
        <v>2313668.5764798676</v>
      </c>
    </row>
    <row r="111" spans="3:39" ht="19">
      <c r="C111" s="199">
        <f t="shared" si="17"/>
        <v>1100</v>
      </c>
      <c r="D111" s="340">
        <f t="shared" si="11"/>
        <v>1.3733420305647623</v>
      </c>
      <c r="E111" s="340">
        <f t="shared" si="11"/>
        <v>1.1262604966134278</v>
      </c>
      <c r="F111" s="340">
        <f t="shared" si="11"/>
        <v>1.1262188407851497</v>
      </c>
      <c r="G111" s="340">
        <f t="shared" si="11"/>
        <v>1.010564194400986</v>
      </c>
      <c r="H111" s="340">
        <f t="shared" si="11"/>
        <v>1.008743610063386</v>
      </c>
      <c r="I111" s="301">
        <f t="shared" si="11"/>
        <v>1.0087382795498692</v>
      </c>
      <c r="J111" s="302">
        <f t="shared" si="12"/>
        <v>1.7912803289131456</v>
      </c>
      <c r="K111" s="188"/>
      <c r="L111" s="188"/>
      <c r="N111" s="188"/>
      <c r="Z111" s="199">
        <f t="shared" si="18"/>
        <v>1100</v>
      </c>
      <c r="AA111" s="197">
        <f t="shared" si="13"/>
        <v>72165288.096620664</v>
      </c>
      <c r="AB111" s="66" cm="1">
        <f t="array" ref="AB111">PRODUCT(EXP(-($B$14*$D$98:$I$98)/(2*$B$8*$Z111))/(1-EXP(-($B$14*$D$98:$I$98)/($B$8*$Z111))))</f>
        <v>9.2748653027237185E-5</v>
      </c>
      <c r="AC111" s="140">
        <f t="shared" si="14"/>
        <v>1506.663513684894</v>
      </c>
      <c r="AD111" s="198">
        <f t="shared" si="15"/>
        <v>1</v>
      </c>
      <c r="AE111" s="303">
        <f t="shared" si="16"/>
        <v>10084450.350892192</v>
      </c>
    </row>
    <row r="112" spans="3:39" ht="19">
      <c r="C112" s="199">
        <f t="shared" si="17"/>
        <v>1200</v>
      </c>
      <c r="D112" s="340">
        <f t="shared" si="11"/>
        <v>1.4347559392180389</v>
      </c>
      <c r="E112" s="340">
        <f t="shared" si="11"/>
        <v>1.1554444934583432</v>
      </c>
      <c r="F112" s="340">
        <f t="shared" si="11"/>
        <v>1.1553962644275593</v>
      </c>
      <c r="G112" s="340">
        <f t="shared" si="11"/>
        <v>1.0155247137612036</v>
      </c>
      <c r="H112" s="340">
        <f t="shared" si="11"/>
        <v>1.0130430366579584</v>
      </c>
      <c r="I112" s="301">
        <f t="shared" si="11"/>
        <v>1.0130357164129682</v>
      </c>
      <c r="J112" s="302">
        <f t="shared" si="12"/>
        <v>1.9961870206928807</v>
      </c>
      <c r="K112" s="188"/>
      <c r="L112" s="188"/>
      <c r="N112" s="188"/>
      <c r="Z112" s="199">
        <f t="shared" si="18"/>
        <v>1200</v>
      </c>
      <c r="AA112" s="197">
        <f t="shared" si="13"/>
        <v>89701509.611143649</v>
      </c>
      <c r="AB112" s="66" cm="1">
        <f t="array" ref="AB112">PRODUCT(EXP(-($B$14*$D$98:$I$98)/(2*$B$8*$Z112))/(1-EXP(-($B$14*$D$98:$I$98)/($B$8*$Z112))))</f>
        <v>2.3523391903162194E-4</v>
      </c>
      <c r="AC112" s="140">
        <f t="shared" si="14"/>
        <v>1716.7185999899482</v>
      </c>
      <c r="AD112" s="198">
        <f t="shared" si="15"/>
        <v>1</v>
      </c>
      <c r="AE112" s="303">
        <f t="shared" si="16"/>
        <v>36224200.46720393</v>
      </c>
    </row>
    <row r="113" spans="2:31" ht="19">
      <c r="C113" s="199">
        <f t="shared" si="17"/>
        <v>1300</v>
      </c>
      <c r="D113" s="340">
        <f t="shared" si="11"/>
        <v>1.4973771164340957</v>
      </c>
      <c r="E113" s="340">
        <f t="shared" si="11"/>
        <v>1.1862090848291953</v>
      </c>
      <c r="F113" s="340">
        <f t="shared" si="11"/>
        <v>1.1861543345070493</v>
      </c>
      <c r="G113" s="340">
        <f t="shared" si="11"/>
        <v>1.0215404796504193</v>
      </c>
      <c r="H113" s="340">
        <f t="shared" si="11"/>
        <v>1.0183248721659082</v>
      </c>
      <c r="I113" s="301">
        <f t="shared" si="11"/>
        <v>1.0183153289988089</v>
      </c>
      <c r="J113" s="302">
        <f t="shared" si="12"/>
        <v>2.2318132482351594</v>
      </c>
      <c r="K113" s="188"/>
      <c r="L113" s="188"/>
      <c r="N113" s="188"/>
      <c r="Z113" s="199">
        <f t="shared" si="18"/>
        <v>1300</v>
      </c>
      <c r="AA113" s="197">
        <f t="shared" si="13"/>
        <v>109573369.68490662</v>
      </c>
      <c r="AB113" s="66" cm="1">
        <f t="array" ref="AB113">PRODUCT(EXP(-($B$14*$D$98:$I$98)/(2*$B$8*$Z113))/(1-EXP(-($B$14*$D$98:$I$98)/($B$8*$Z113))))</f>
        <v>5.2742942949034189E-4</v>
      </c>
      <c r="AC113" s="140">
        <f t="shared" si="14"/>
        <v>1935.7188176355098</v>
      </c>
      <c r="AD113" s="198">
        <f t="shared" si="15"/>
        <v>1</v>
      </c>
      <c r="AE113" s="303">
        <f t="shared" si="16"/>
        <v>111869487.49640416</v>
      </c>
    </row>
    <row r="114" spans="2:31" ht="19">
      <c r="C114" s="199">
        <f t="shared" si="17"/>
        <v>1400</v>
      </c>
      <c r="D114" s="340">
        <f t="shared" si="11"/>
        <v>1.5609669456056046</v>
      </c>
      <c r="E114" s="340">
        <f t="shared" si="11"/>
        <v>1.2182878479332446</v>
      </c>
      <c r="F114" s="340">
        <f t="shared" si="11"/>
        <v>1.2182266380676834</v>
      </c>
      <c r="G114" s="340">
        <f t="shared" si="11"/>
        <v>1.0285725512390314</v>
      </c>
      <c r="H114" s="340">
        <f t="shared" si="11"/>
        <v>1.0245655310769959</v>
      </c>
      <c r="I114" s="301">
        <f t="shared" si="11"/>
        <v>1.0245535787249722</v>
      </c>
      <c r="J114" s="302">
        <f t="shared" si="12"/>
        <v>2.5013879695629635</v>
      </c>
      <c r="K114" s="188"/>
      <c r="L114" s="188"/>
      <c r="N114" s="188"/>
      <c r="Z114" s="199">
        <f t="shared" si="18"/>
        <v>1400</v>
      </c>
      <c r="AA114" s="197">
        <f t="shared" si="13"/>
        <v>131876291.56589337</v>
      </c>
      <c r="AB114" s="66" cm="1">
        <f t="array" ref="AB114">PRODUCT(EXP(-($B$14*$D$98:$I$98)/(2*$B$8*$Z114))/(1-EXP(-($B$14*$D$98:$I$98)/($B$8*$Z114))))</f>
        <v>1.0733041629948858E-3</v>
      </c>
      <c r="AC114" s="140">
        <f t="shared" si="14"/>
        <v>2163.3126858522319</v>
      </c>
      <c r="AD114" s="198">
        <f t="shared" si="15"/>
        <v>1</v>
      </c>
      <c r="AE114" s="303">
        <f t="shared" si="16"/>
        <v>306202573.84242785</v>
      </c>
    </row>
    <row r="115" spans="2:31" ht="19">
      <c r="C115" s="199">
        <f t="shared" si="17"/>
        <v>1500</v>
      </c>
      <c r="D115" s="340">
        <f t="shared" si="11"/>
        <v>1.6253446999097869</v>
      </c>
      <c r="E115" s="340">
        <f t="shared" si="11"/>
        <v>1.2514665690715157</v>
      </c>
      <c r="F115" s="340">
        <f t="shared" si="11"/>
        <v>1.2513989638980769</v>
      </c>
      <c r="G115" s="340">
        <f t="shared" si="11"/>
        <v>1.0365647771639566</v>
      </c>
      <c r="H115" s="340">
        <f t="shared" si="11"/>
        <v>1.0317222099462671</v>
      </c>
      <c r="I115" s="301">
        <f t="shared" si="11"/>
        <v>1.031707703657968</v>
      </c>
      <c r="J115" s="302">
        <f t="shared" si="12"/>
        <v>2.8085129030019038</v>
      </c>
      <c r="K115" s="188"/>
      <c r="L115" s="188"/>
      <c r="N115" s="188"/>
      <c r="Z115" s="199">
        <f t="shared" si="18"/>
        <v>1500</v>
      </c>
      <c r="AA115" s="197">
        <f t="shared" si="13"/>
        <v>156702088.41786647</v>
      </c>
      <c r="AB115" s="66" cm="1">
        <f t="array" ref="AB115">PRODUCT(EXP(-($B$14*$D$98:$I$98)/(2*$B$8*$Z115))/(1-EXP(-($B$14*$D$98:$I$98)/($B$8*$Z115))))</f>
        <v>2.0207630714465753E-3</v>
      </c>
      <c r="AC115" s="140">
        <f t="shared" si="14"/>
        <v>2399.1871798848724</v>
      </c>
      <c r="AD115" s="198">
        <f t="shared" si="15"/>
        <v>1</v>
      </c>
      <c r="AE115" s="303">
        <f t="shared" si="16"/>
        <v>759721318.55995023</v>
      </c>
    </row>
    <row r="116" spans="2:31" ht="19">
      <c r="C116" s="199">
        <f t="shared" si="17"/>
        <v>1600</v>
      </c>
      <c r="D116" s="340">
        <f t="shared" si="11"/>
        <v>1.6903713029238481</v>
      </c>
      <c r="E116" s="340">
        <f t="shared" si="11"/>
        <v>1.2855723996888919</v>
      </c>
      <c r="F116" s="340">
        <f t="shared" si="11"/>
        <v>1.2854984620005252</v>
      </c>
      <c r="G116" s="340">
        <f t="shared" si="11"/>
        <v>1.045452101571299</v>
      </c>
      <c r="H116" s="340">
        <f t="shared" si="11"/>
        <v>1.0397409517773601</v>
      </c>
      <c r="I116" s="301">
        <f t="shared" si="11"/>
        <v>1.0397237817996814</v>
      </c>
      <c r="J116" s="302">
        <f t="shared" si="12"/>
        <v>3.1571664555909482</v>
      </c>
      <c r="K116" s="188"/>
      <c r="L116" s="188"/>
      <c r="N116" s="188"/>
      <c r="Z116" s="199">
        <f t="shared" si="18"/>
        <v>1600</v>
      </c>
      <c r="AA116" s="197">
        <f t="shared" si="13"/>
        <v>184139344.78474429</v>
      </c>
      <c r="AB116" s="66" cm="1">
        <f t="array" ref="AB116">PRODUCT(EXP(-($B$14*$D$98:$I$98)/(2*$B$8*$Z116))/(1-EXP(-($B$14*$D$98:$I$98)/($B$8*$Z116))))</f>
        <v>3.5708492602895643E-3</v>
      </c>
      <c r="AC116" s="140">
        <f t="shared" si="14"/>
        <v>2643.0611888720919</v>
      </c>
      <c r="AD116" s="198">
        <f t="shared" si="15"/>
        <v>1</v>
      </c>
      <c r="AE116" s="303">
        <f t="shared" si="16"/>
        <v>1737902181.1066632</v>
      </c>
    </row>
    <row r="117" spans="2:31" ht="19">
      <c r="C117" s="199">
        <f t="shared" si="17"/>
        <v>1700</v>
      </c>
      <c r="D117" s="340">
        <f t="shared" si="11"/>
        <v>1.7559381638925435</v>
      </c>
      <c r="E117" s="340">
        <f t="shared" si="11"/>
        <v>1.3204651138796404</v>
      </c>
      <c r="F117" s="340">
        <f t="shared" si="11"/>
        <v>1.320384903048041</v>
      </c>
      <c r="G117" s="340">
        <f t="shared" si="11"/>
        <v>1.0551662779108189</v>
      </c>
      <c r="H117" s="340">
        <f t="shared" si="11"/>
        <v>1.0485624702578356</v>
      </c>
      <c r="I117" s="301">
        <f t="shared" si="11"/>
        <v>1.0485425554238721</v>
      </c>
      <c r="J117" s="302">
        <f t="shared" si="12"/>
        <v>3.5517138897680316</v>
      </c>
      <c r="K117" s="188"/>
      <c r="L117" s="188"/>
      <c r="N117" s="188"/>
      <c r="Z117" s="199">
        <f t="shared" si="18"/>
        <v>1700</v>
      </c>
      <c r="AA117" s="197">
        <f t="shared" si="13"/>
        <v>214273735.21648976</v>
      </c>
      <c r="AB117" s="66" cm="1">
        <f t="array" ref="AB117">PRODUCT(EXP(-($B$14*$D$98:$I$98)/(2*$B$8*$Z117))/(1-EXP(-($B$14*$D$98:$I$98)/($B$8*$Z117))))</f>
        <v>5.9873833837349472E-3</v>
      </c>
      <c r="AC117" s="140">
        <f t="shared" si="14"/>
        <v>2894.6804338083407</v>
      </c>
      <c r="AD117" s="198">
        <f t="shared" si="15"/>
        <v>1</v>
      </c>
      <c r="AE117" s="303">
        <f t="shared" si="16"/>
        <v>3713698426.2975259</v>
      </c>
    </row>
    <row r="118" spans="2:31" ht="19">
      <c r="C118" s="199">
        <f t="shared" si="17"/>
        <v>1800</v>
      </c>
      <c r="D118" s="340">
        <f t="shared" si="11"/>
        <v>1.8219593662789753</v>
      </c>
      <c r="E118" s="340">
        <f t="shared" si="11"/>
        <v>1.3560302297029982</v>
      </c>
      <c r="F118" s="340">
        <f t="shared" si="11"/>
        <v>1.3559438008045657</v>
      </c>
      <c r="G118" s="340">
        <f t="shared" si="11"/>
        <v>1.0656395723214485</v>
      </c>
      <c r="H118" s="340">
        <f t="shared" si="11"/>
        <v>1.0581261172306029</v>
      </c>
      <c r="I118" s="301">
        <f t="shared" si="11"/>
        <v>1.0581033992137852</v>
      </c>
      <c r="J118" s="302">
        <f t="shared" si="12"/>
        <v>3.9969216159415377</v>
      </c>
      <c r="K118" s="188"/>
      <c r="L118" s="188"/>
      <c r="N118" s="188"/>
      <c r="Z118" s="199">
        <f t="shared" si="18"/>
        <v>1800</v>
      </c>
      <c r="AA118" s="197">
        <f t="shared" si="13"/>
        <v>247188293.66774788</v>
      </c>
      <c r="AB118" s="66" cm="1">
        <f t="array" ref="AB118">PRODUCT(EXP(-($B$14*$D$98:$I$98)/(2*$B$8*$Z118))/(1-EXP(-($B$14*$D$98:$I$98)/($B$8*$Z118))))</f>
        <v>9.6070807794769557E-3</v>
      </c>
      <c r="AC118" s="140">
        <f t="shared" si="14"/>
        <v>3153.8134514403591</v>
      </c>
      <c r="AD118" s="198">
        <f t="shared" si="15"/>
        <v>1</v>
      </c>
      <c r="AE118" s="303">
        <f t="shared" si="16"/>
        <v>7489543424.7257996</v>
      </c>
    </row>
    <row r="119" spans="2:31" ht="19">
      <c r="C119" s="199">
        <f t="shared" si="17"/>
        <v>1900</v>
      </c>
      <c r="D119" s="340">
        <f t="shared" si="11"/>
        <v>1.8883661097186675</v>
      </c>
      <c r="E119" s="340">
        <f t="shared" si="11"/>
        <v>1.3921736529065101</v>
      </c>
      <c r="F119" s="340">
        <f t="shared" si="11"/>
        <v>1.3920810564641812</v>
      </c>
      <c r="G119" s="340">
        <f t="shared" si="11"/>
        <v>1.0768070154747242</v>
      </c>
      <c r="H119" s="340">
        <f t="shared" si="11"/>
        <v>1.0683724416228315</v>
      </c>
      <c r="I119" s="301">
        <f t="shared" si="11"/>
        <v>1.0683468800545837</v>
      </c>
      <c r="J119" s="302">
        <f t="shared" si="12"/>
        <v>4.4979743136714108</v>
      </c>
      <c r="K119" s="188"/>
      <c r="L119" s="188"/>
      <c r="N119" s="188"/>
      <c r="Z119" s="199">
        <f t="shared" si="18"/>
        <v>1900</v>
      </c>
      <c r="AA119" s="197">
        <f t="shared" si="13"/>
        <v>282963643.70721567</v>
      </c>
      <c r="AB119" s="66" cm="1">
        <f t="array" ref="AB119">PRODUCT(EXP(-($B$14*$D$98:$I$98)/(2*$B$8*$Z119))/(1-EXP(-($B$14*$D$98:$I$98)/($B$8*$Z119))))</f>
        <v>1.4850187936618853E-2</v>
      </c>
      <c r="AC119" s="140">
        <f t="shared" si="14"/>
        <v>3420.248372716726</v>
      </c>
      <c r="AD119" s="198">
        <f t="shared" si="15"/>
        <v>1</v>
      </c>
      <c r="AE119" s="303">
        <f t="shared" si="16"/>
        <v>14372100123.801291</v>
      </c>
    </row>
    <row r="120" spans="2:31" ht="20" thickBot="1">
      <c r="C120" s="208">
        <f t="shared" si="17"/>
        <v>2000</v>
      </c>
      <c r="D120" s="340">
        <f t="shared" si="11"/>
        <v>1.9551026920566166</v>
      </c>
      <c r="E120" s="340">
        <f t="shared" si="11"/>
        <v>1.4288175184646605</v>
      </c>
      <c r="F120" s="340">
        <f t="shared" si="11"/>
        <v>1.4287188005234073</v>
      </c>
      <c r="G120" s="340">
        <f t="shared" si="11"/>
        <v>1.0886076558078495</v>
      </c>
      <c r="H120" s="340">
        <f t="shared" si="11"/>
        <v>1.0792447375101952</v>
      </c>
      <c r="I120" s="301">
        <f t="shared" si="11"/>
        <v>1.079216305965562</v>
      </c>
      <c r="J120" s="305">
        <f t="shared" si="12"/>
        <v>5.0604940919624353</v>
      </c>
      <c r="K120" s="188"/>
      <c r="L120" s="188"/>
      <c r="N120" s="188"/>
      <c r="Z120" s="208">
        <f t="shared" si="18"/>
        <v>2000</v>
      </c>
      <c r="AA120" s="211">
        <f t="shared" si="13"/>
        <v>321678197.08668894</v>
      </c>
      <c r="AB120" s="212" cm="1">
        <f t="array" ref="AB120">PRODUCT(EXP(-($B$14*$D$98:$I$98)/(2*$B$8*$Z120))/(1-EXP(-($B$14*$D$98:$I$98)/($B$8*$Z120))))</f>
        <v>2.2231673318751952E-2</v>
      </c>
      <c r="AC120" s="213">
        <f t="shared" si="14"/>
        <v>3693.7903043808747</v>
      </c>
      <c r="AD120" s="214">
        <f t="shared" si="15"/>
        <v>1</v>
      </c>
      <c r="AE120" s="306">
        <f t="shared" si="16"/>
        <v>26415936694.016975</v>
      </c>
    </row>
    <row r="122" spans="2:31" ht="17" thickBot="1"/>
    <row r="123" spans="2:31" ht="32" thickBot="1">
      <c r="C123" s="215" t="s">
        <v>107</v>
      </c>
      <c r="D123" s="216">
        <v>1</v>
      </c>
      <c r="E123" s="336">
        <f t="shared" ref="E123:I123" si="19">D123+1</f>
        <v>2</v>
      </c>
      <c r="F123" s="336">
        <f t="shared" si="19"/>
        <v>3</v>
      </c>
      <c r="G123" s="336">
        <f t="shared" si="19"/>
        <v>4</v>
      </c>
      <c r="H123" s="336">
        <f t="shared" si="19"/>
        <v>5</v>
      </c>
      <c r="I123" s="349">
        <f t="shared" si="19"/>
        <v>6</v>
      </c>
      <c r="J123" s="176" t="s">
        <v>95</v>
      </c>
      <c r="K123" s="180"/>
      <c r="L123" s="180"/>
    </row>
    <row r="124" spans="2:31" ht="26" customHeight="1" thickBot="1">
      <c r="C124" s="174">
        <v>298.14999999999998</v>
      </c>
      <c r="D124" s="344">
        <f>EXP(-($B$14*D$98)/(2*$B$8*$C124))/(1-EXP(-($B$14*D$98)/($B$8*$C124)))</f>
        <v>9.1215626084490922E-2</v>
      </c>
      <c r="E124" s="345">
        <f t="shared" ref="E124:I124" si="20">EXP(-($B$14*E$98)/(2*$B$8*$C124))/(1-EXP(-($B$14*E$98)/($B$8*$C124)))</f>
        <v>1.7659432315179458E-2</v>
      </c>
      <c r="F124" s="345">
        <f t="shared" si="20"/>
        <v>1.7649884437308038E-2</v>
      </c>
      <c r="G124" s="345">
        <f t="shared" si="20"/>
        <v>2.2188812351345061E-4</v>
      </c>
      <c r="H124" s="345">
        <f t="shared" si="20"/>
        <v>1.5705216219417844E-4</v>
      </c>
      <c r="I124" s="353">
        <f t="shared" si="20"/>
        <v>1.5687711276097193E-4</v>
      </c>
      <c r="J124" s="300">
        <f xml:space="preserve"> PRODUCT(D124:I124)</f>
        <v>1.5542662373611019E-16</v>
      </c>
      <c r="K124" s="188"/>
      <c r="L124" s="188"/>
    </row>
    <row r="127" spans="2:31" ht="19">
      <c r="B127" s="66"/>
      <c r="C127" s="66"/>
      <c r="D127" s="66"/>
      <c r="E127" s="66"/>
      <c r="F127" s="66" t="s">
        <v>78</v>
      </c>
      <c r="G127" s="66"/>
      <c r="H127" s="66"/>
      <c r="I127" s="66"/>
      <c r="J127" s="66"/>
      <c r="K127" s="66"/>
      <c r="L127" s="66"/>
      <c r="M127" s="66"/>
      <c r="N127" s="66"/>
      <c r="O127" s="66"/>
    </row>
    <row r="128" spans="2:31"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0" thickBot="1">
      <c r="B130" s="66"/>
      <c r="C130" s="67" t="s">
        <v>34</v>
      </c>
      <c r="D130" s="68"/>
      <c r="E130" s="68"/>
      <c r="F130" s="69"/>
      <c r="G130" s="66"/>
      <c r="H130" s="66"/>
      <c r="I130" s="66"/>
      <c r="J130" s="66"/>
      <c r="K130" s="66"/>
      <c r="L130" s="66"/>
      <c r="M130" s="66"/>
      <c r="N130" s="66"/>
      <c r="O130" s="66"/>
    </row>
    <row r="131" spans="2:15" ht="20" thickBot="1">
      <c r="B131" s="66"/>
      <c r="C131" s="72"/>
      <c r="D131" s="73" t="s">
        <v>37</v>
      </c>
      <c r="E131" s="74" t="s">
        <v>38</v>
      </c>
      <c r="F131" s="75" t="s">
        <v>39</v>
      </c>
      <c r="G131" s="66"/>
      <c r="H131" s="66"/>
      <c r="I131" s="66"/>
      <c r="J131" s="66"/>
      <c r="K131" s="66"/>
      <c r="L131" s="66"/>
      <c r="M131" s="66"/>
      <c r="N131" s="66"/>
      <c r="O131" s="66"/>
    </row>
    <row r="132" spans="2:15" ht="22" thickBot="1">
      <c r="B132" s="66"/>
      <c r="C132" s="220" t="s">
        <v>109</v>
      </c>
      <c r="D132" s="102">
        <f>D24*($Q$8)^2</f>
        <v>9.9909755999999992E-47</v>
      </c>
      <c r="E132" s="102">
        <f t="shared" ref="E132:F132" si="21">E24*($Q$8)^2</f>
        <v>9.9921043999999991E-47</v>
      </c>
      <c r="F132" s="102">
        <f t="shared" si="21"/>
        <v>1.6163121200000001E-46</v>
      </c>
      <c r="G132" s="66"/>
      <c r="H132" s="66"/>
      <c r="I132" s="66"/>
      <c r="J132" s="66"/>
      <c r="K132" s="66"/>
      <c r="L132" s="66"/>
      <c r="M132" s="66"/>
      <c r="N132" s="66"/>
      <c r="O132" s="66"/>
    </row>
    <row r="133" spans="2:15" ht="19">
      <c r="B133" s="66"/>
      <c r="C133" s="66"/>
      <c r="D133" s="66"/>
      <c r="E133" s="66"/>
      <c r="F133" s="66"/>
      <c r="G133" s="66"/>
      <c r="H133" s="66"/>
      <c r="I133" s="66"/>
      <c r="J133" s="66"/>
      <c r="K133" s="66"/>
      <c r="L133" s="66"/>
      <c r="M133" s="66"/>
      <c r="N133" s="66"/>
      <c r="O133" s="66"/>
    </row>
    <row r="134" spans="2:15" ht="19">
      <c r="B134" s="66"/>
      <c r="C134" s="66"/>
      <c r="D134" s="66"/>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158</v>
      </c>
      <c r="E136" s="149" t="s">
        <v>159</v>
      </c>
      <c r="F136" s="66"/>
      <c r="G136" s="66"/>
      <c r="H136" s="151" t="s">
        <v>83</v>
      </c>
      <c r="I136" s="152"/>
      <c r="J136" s="152"/>
      <c r="K136" s="152"/>
      <c r="L136" s="152"/>
      <c r="M136" s="152"/>
      <c r="N136" s="152"/>
      <c r="O136" s="66"/>
    </row>
    <row r="137" spans="2:15" ht="20" thickBot="1">
      <c r="B137" s="66"/>
      <c r="C137" s="153">
        <v>298.14999999999998</v>
      </c>
      <c r="D137" s="155">
        <f t="shared" ref="D137:D155" si="22">(8*PI()^2*(2*PI()*$B$8*C137)^(3/2)*SQRT($D$132*$E$132*$F$132))/($H$139*$B$14^3)</f>
        <v>1434.0507837439361</v>
      </c>
      <c r="E137" s="155">
        <f>(SQRT(PI())/$A$31)*((C137^1.5)/SQRT($C$29*$D$29*$E$29))</f>
        <v>212.60793241026184</v>
      </c>
      <c r="F137" s="140"/>
      <c r="G137" s="66"/>
      <c r="H137" s="66"/>
      <c r="I137" s="66"/>
      <c r="J137" s="66"/>
      <c r="K137" s="66"/>
      <c r="L137" s="66"/>
      <c r="M137" s="66"/>
      <c r="N137" s="66"/>
      <c r="O137" s="66"/>
    </row>
    <row r="138" spans="2:15" ht="20" thickBot="1">
      <c r="B138" s="66"/>
      <c r="C138" s="153">
        <v>300</v>
      </c>
      <c r="D138" s="155">
        <f t="shared" si="22"/>
        <v>1447.4187450781592</v>
      </c>
      <c r="E138" s="155">
        <f>(SQRT(PI())/$A$31)*((C138^1.5)/SQRT($C$29*$D$29*$E$29))</f>
        <v>214.58982499874347</v>
      </c>
      <c r="F138" s="66"/>
      <c r="G138" s="66"/>
      <c r="L138" s="149" t="s">
        <v>156</v>
      </c>
      <c r="M138" s="149" t="s">
        <v>157</v>
      </c>
      <c r="N138" s="66"/>
      <c r="O138" s="66"/>
    </row>
    <row r="139" spans="2:15" ht="20" thickBot="1">
      <c r="B139" s="66"/>
      <c r="C139" s="156">
        <f>C138+100</f>
        <v>400</v>
      </c>
      <c r="D139" s="158">
        <f t="shared" si="22"/>
        <v>2228.446938935982</v>
      </c>
      <c r="E139" s="158">
        <f t="shared" ref="E139:E155" si="23">(SQRT(PI())/$A$31)*((C139^1.5)/SQRT($C$29*$D$29*$E$29))</f>
        <v>330.38264860901137</v>
      </c>
      <c r="F139" s="66"/>
      <c r="G139" s="109" t="s">
        <v>146</v>
      </c>
      <c r="H139" s="310">
        <v>1</v>
      </c>
      <c r="K139" s="159" t="s">
        <v>85</v>
      </c>
      <c r="L139" s="160">
        <f>$D$137</f>
        <v>1434.0507837439361</v>
      </c>
      <c r="M139" s="288">
        <f>$E$137</f>
        <v>212.60793241026184</v>
      </c>
      <c r="N139" s="66"/>
      <c r="O139" s="66"/>
    </row>
    <row r="140" spans="2:15" ht="20" thickBot="1">
      <c r="B140" s="66"/>
      <c r="C140" s="156">
        <f t="shared" ref="C140:C155" si="24">C139+100</f>
        <v>500</v>
      </c>
      <c r="D140" s="158">
        <f t="shared" si="22"/>
        <v>3114.3492748200847</v>
      </c>
      <c r="E140" s="158">
        <f t="shared" si="23"/>
        <v>461.72378804761001</v>
      </c>
      <c r="F140" s="66"/>
      <c r="G140" s="66"/>
      <c r="K140" s="161" t="s">
        <v>86</v>
      </c>
      <c r="L140" s="162">
        <f>P34</f>
        <v>212.608</v>
      </c>
      <c r="M140" s="162">
        <f>L140</f>
        <v>212.608</v>
      </c>
      <c r="N140" s="66"/>
      <c r="O140" s="66"/>
    </row>
    <row r="141" spans="2:15" ht="22">
      <c r="B141" s="66"/>
      <c r="C141" s="156">
        <f t="shared" si="24"/>
        <v>600</v>
      </c>
      <c r="D141" s="158">
        <f t="shared" si="22"/>
        <v>4093.9184394451681</v>
      </c>
      <c r="E141" s="158">
        <f t="shared" si="23"/>
        <v>606.95168172098363</v>
      </c>
      <c r="F141" s="66"/>
      <c r="G141" s="66"/>
      <c r="H141" s="66"/>
      <c r="I141" s="66"/>
      <c r="K141" s="163" t="s">
        <v>87</v>
      </c>
      <c r="L141" s="164">
        <f>ABS(L139-L140)/L139</f>
        <v>0.85174304675254564</v>
      </c>
      <c r="M141" s="164">
        <f>ABS(M139-M140)/M139</f>
        <v>3.1790788518194487E-7</v>
      </c>
      <c r="N141" s="66"/>
      <c r="O141" s="66"/>
    </row>
    <row r="142" spans="2:15" ht="19">
      <c r="B142" s="66"/>
      <c r="C142" s="156">
        <f t="shared" si="24"/>
        <v>700</v>
      </c>
      <c r="D142" s="158">
        <f t="shared" si="22"/>
        <v>5158.9268590367474</v>
      </c>
      <c r="E142" s="158">
        <f t="shared" si="23"/>
        <v>764.84653499649755</v>
      </c>
      <c r="F142" s="66"/>
      <c r="G142" s="66"/>
    </row>
    <row r="143" spans="2:15" ht="19">
      <c r="B143" s="66"/>
      <c r="C143" s="156">
        <f t="shared" si="24"/>
        <v>800</v>
      </c>
      <c r="D143" s="158">
        <f t="shared" si="22"/>
        <v>6302.9997681440755</v>
      </c>
      <c r="E143" s="158">
        <f t="shared" si="23"/>
        <v>934.46324487121603</v>
      </c>
      <c r="F143" s="66"/>
      <c r="G143" s="66"/>
    </row>
    <row r="144" spans="2:15" ht="19">
      <c r="B144" s="66"/>
      <c r="C144" s="156">
        <f t="shared" si="24"/>
        <v>900</v>
      </c>
      <c r="D144" s="158">
        <f t="shared" si="22"/>
        <v>7521.0084189088429</v>
      </c>
      <c r="E144" s="158">
        <f t="shared" si="23"/>
        <v>1115.0414390554131</v>
      </c>
      <c r="F144" s="66"/>
      <c r="G144" s="66"/>
    </row>
    <row r="145" spans="3:5" ht="19">
      <c r="C145" s="156">
        <f t="shared" si="24"/>
        <v>1000</v>
      </c>
      <c r="D145" s="158">
        <f t="shared" si="22"/>
        <v>8808.7099648346539</v>
      </c>
      <c r="E145" s="158">
        <f t="shared" si="23"/>
        <v>1305.9520862544198</v>
      </c>
    </row>
    <row r="146" spans="3:5" ht="19">
      <c r="C146" s="156">
        <f t="shared" si="24"/>
        <v>1100</v>
      </c>
      <c r="D146" s="158">
        <f t="shared" si="22"/>
        <v>10162.518247291553</v>
      </c>
      <c r="E146" s="158">
        <f t="shared" si="23"/>
        <v>1506.663513684894</v>
      </c>
    </row>
    <row r="147" spans="3:5" ht="19">
      <c r="C147" s="156">
        <f t="shared" si="24"/>
        <v>1200</v>
      </c>
      <c r="D147" s="158">
        <f t="shared" si="22"/>
        <v>11579.349960625339</v>
      </c>
      <c r="E147" s="158">
        <f t="shared" si="23"/>
        <v>1716.7185999899482</v>
      </c>
    </row>
    <row r="148" spans="3:5" ht="19">
      <c r="C148" s="156">
        <f t="shared" si="24"/>
        <v>1300</v>
      </c>
      <c r="D148" s="158">
        <f t="shared" si="22"/>
        <v>13056.517017349513</v>
      </c>
      <c r="E148" s="158">
        <f t="shared" si="23"/>
        <v>1935.7188176355098</v>
      </c>
    </row>
    <row r="149" spans="3:5" ht="19">
      <c r="C149" s="156">
        <f t="shared" si="24"/>
        <v>1400</v>
      </c>
      <c r="D149" s="158">
        <f t="shared" si="22"/>
        <v>14591.648662681242</v>
      </c>
      <c r="E149" s="158">
        <f t="shared" si="23"/>
        <v>2163.3126858522319</v>
      </c>
    </row>
    <row r="150" spans="3:5" ht="19">
      <c r="C150" s="156">
        <f t="shared" si="24"/>
        <v>1500</v>
      </c>
      <c r="D150" s="158">
        <f t="shared" si="22"/>
        <v>16182.633529510969</v>
      </c>
      <c r="E150" s="158">
        <f t="shared" si="23"/>
        <v>2399.1871798848724</v>
      </c>
    </row>
    <row r="151" spans="3:5" ht="19">
      <c r="C151" s="156">
        <f t="shared" si="24"/>
        <v>1600</v>
      </c>
      <c r="D151" s="158">
        <f t="shared" si="22"/>
        <v>17827.575511487703</v>
      </c>
      <c r="E151" s="158">
        <f t="shared" si="23"/>
        <v>2643.0611888720919</v>
      </c>
    </row>
    <row r="152" spans="3:5" ht="19">
      <c r="C152" s="156">
        <f t="shared" si="24"/>
        <v>1700</v>
      </c>
      <c r="D152" s="158">
        <f t="shared" si="22"/>
        <v>19524.759484424449</v>
      </c>
      <c r="E152" s="158">
        <f t="shared" si="23"/>
        <v>2894.6804338083407</v>
      </c>
    </row>
    <row r="153" spans="3:5" ht="19">
      <c r="C153" s="156">
        <f t="shared" si="24"/>
        <v>1800</v>
      </c>
      <c r="D153" s="158">
        <f t="shared" si="22"/>
        <v>21272.624217486289</v>
      </c>
      <c r="E153" s="158">
        <f t="shared" si="23"/>
        <v>3153.8134514403591</v>
      </c>
    </row>
    <row r="154" spans="3:5" ht="19">
      <c r="C154" s="156">
        <f t="shared" si="24"/>
        <v>1900</v>
      </c>
      <c r="D154" s="158">
        <f t="shared" si="22"/>
        <v>23069.740643678029</v>
      </c>
      <c r="E154" s="158">
        <f t="shared" si="23"/>
        <v>3420.248372716726</v>
      </c>
    </row>
    <row r="155" spans="3:5" ht="20" thickBot="1">
      <c r="C155" s="165">
        <f t="shared" si="24"/>
        <v>2000</v>
      </c>
      <c r="D155" s="167">
        <f t="shared" si="22"/>
        <v>24914.794198560463</v>
      </c>
      <c r="E155" s="167">
        <f t="shared" si="23"/>
        <v>3693.7903043808747</v>
      </c>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291">
        <f>D167+1</f>
        <v>2</v>
      </c>
      <c r="F167" s="291">
        <f>E167+1</f>
        <v>3</v>
      </c>
      <c r="G167" s="143" t="s">
        <v>113</v>
      </c>
      <c r="H167" s="66"/>
      <c r="I167" s="66"/>
      <c r="J167" s="66"/>
      <c r="K167" s="66"/>
      <c r="L167" s="66"/>
      <c r="M167" s="66"/>
      <c r="N167" s="66"/>
      <c r="O167" s="66"/>
    </row>
    <row r="168" spans="2:16" ht="20" thickBot="1">
      <c r="B168" s="66"/>
      <c r="C168" s="225" t="s">
        <v>114</v>
      </c>
      <c r="D168" s="226">
        <f>J$46</f>
        <v>-56.566232657100002</v>
      </c>
      <c r="E168" s="226">
        <f t="shared" ref="E168:G168" si="25">K$46</f>
        <v>-56.566974128200002</v>
      </c>
      <c r="F168" s="226">
        <f t="shared" si="25"/>
        <v>-56.566984467700003</v>
      </c>
      <c r="G168" s="226">
        <f t="shared" si="25"/>
        <v>-56.566984467700003</v>
      </c>
      <c r="H168" s="66"/>
      <c r="I168" s="66"/>
      <c r="J168" s="66"/>
      <c r="K168" s="66"/>
      <c r="L168" s="66"/>
      <c r="M168" s="66"/>
      <c r="N168" s="66"/>
      <c r="O168" s="66"/>
    </row>
    <row r="169" spans="2:16" ht="20" thickBot="1">
      <c r="B169" s="66"/>
      <c r="C169" s="228" t="s">
        <v>115</v>
      </c>
      <c r="D169" s="173">
        <f>D168*$K$7</f>
        <v>-2.4662877438495602E-16</v>
      </c>
      <c r="E169" s="173">
        <f t="shared" ref="E169:G169" si="26">E168*$K$7</f>
        <v>-2.46632007198952E-16</v>
      </c>
      <c r="F169" s="173">
        <f t="shared" si="26"/>
        <v>-2.46632052279172E-16</v>
      </c>
      <c r="G169" s="173">
        <f t="shared" si="26"/>
        <v>-2.46632052279172E-16</v>
      </c>
      <c r="H169" s="66"/>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G169+L23</f>
        <v>-2.46482168559172E-16</v>
      </c>
      <c r="F172" s="66"/>
      <c r="G172" s="66"/>
      <c r="H172" s="151" t="s">
        <v>83</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84</v>
      </c>
      <c r="M174" s="66"/>
      <c r="N174" s="66"/>
      <c r="O174" s="66"/>
    </row>
    <row r="175" spans="2:16" ht="20" thickBot="1">
      <c r="B175" s="66"/>
      <c r="C175" s="153">
        <v>298.14999999999998</v>
      </c>
      <c r="D175" s="155">
        <f>1</f>
        <v>1</v>
      </c>
      <c r="F175" s="66"/>
      <c r="G175" s="66"/>
      <c r="K175" s="159" t="s">
        <v>85</v>
      </c>
      <c r="L175" s="160">
        <f>1</f>
        <v>1</v>
      </c>
      <c r="M175" s="66"/>
      <c r="N175" s="66"/>
      <c r="O175" s="66"/>
    </row>
    <row r="176" spans="2:16" ht="20" thickBot="1">
      <c r="B176" s="66"/>
      <c r="C176" s="153">
        <v>300</v>
      </c>
      <c r="D176" s="155">
        <f>1</f>
        <v>1</v>
      </c>
      <c r="F176" s="66"/>
      <c r="G176" s="66"/>
      <c r="K176" s="161" t="s">
        <v>86</v>
      </c>
      <c r="L176" s="162">
        <f>P32</f>
        <v>1</v>
      </c>
      <c r="M176" s="66"/>
      <c r="N176" s="66"/>
      <c r="O176" s="66"/>
    </row>
    <row r="177" spans="2:15" ht="22">
      <c r="B177" s="66"/>
      <c r="C177" s="156">
        <f>C176+100</f>
        <v>400</v>
      </c>
      <c r="D177" s="158">
        <f>1</f>
        <v>1</v>
      </c>
      <c r="F177" s="66"/>
      <c r="G177" s="66"/>
      <c r="H177" s="66"/>
      <c r="I177" s="66"/>
      <c r="K177" s="163" t="s">
        <v>87</v>
      </c>
      <c r="L177" s="164">
        <f>ABS(L175-L176)/L175</f>
        <v>0</v>
      </c>
      <c r="M177" s="66"/>
      <c r="N177" s="66"/>
      <c r="O177" s="66"/>
    </row>
    <row r="178" spans="2:15" ht="19">
      <c r="B178" s="66"/>
      <c r="C178" s="156">
        <f t="shared" ref="C178:C193" si="27">C177+100</f>
        <v>500</v>
      </c>
      <c r="D178" s="158">
        <f>1</f>
        <v>1</v>
      </c>
      <c r="F178" s="66"/>
      <c r="G178" s="66"/>
    </row>
    <row r="179" spans="2:15" ht="19">
      <c r="B179" s="66"/>
      <c r="C179" s="156">
        <f t="shared" si="27"/>
        <v>600</v>
      </c>
      <c r="D179" s="158">
        <f>1</f>
        <v>1</v>
      </c>
      <c r="F179" s="66"/>
      <c r="G179" s="66"/>
    </row>
    <row r="180" spans="2:15" ht="19">
      <c r="B180" s="66"/>
      <c r="C180" s="156">
        <f t="shared" si="27"/>
        <v>700</v>
      </c>
      <c r="D180" s="158">
        <f>1</f>
        <v>1</v>
      </c>
      <c r="F180" s="66"/>
      <c r="G180" s="66"/>
    </row>
    <row r="181" spans="2:15" ht="19">
      <c r="C181" s="156">
        <f t="shared" si="27"/>
        <v>800</v>
      </c>
      <c r="D181" s="158">
        <f>1</f>
        <v>1</v>
      </c>
    </row>
    <row r="182" spans="2:15" ht="19">
      <c r="C182" s="156">
        <f t="shared" si="27"/>
        <v>900</v>
      </c>
      <c r="D182" s="158">
        <f>1</f>
        <v>1</v>
      </c>
    </row>
    <row r="183" spans="2:15" ht="19">
      <c r="C183" s="156">
        <f t="shared" si="27"/>
        <v>1000</v>
      </c>
      <c r="D183" s="158">
        <f>1</f>
        <v>1</v>
      </c>
    </row>
    <row r="184" spans="2:15" ht="19">
      <c r="C184" s="156">
        <f t="shared" si="27"/>
        <v>1100</v>
      </c>
      <c r="D184" s="158">
        <f>1</f>
        <v>1</v>
      </c>
    </row>
    <row r="185" spans="2:15" ht="19">
      <c r="C185" s="156">
        <f t="shared" si="27"/>
        <v>1200</v>
      </c>
      <c r="D185" s="158">
        <f>1</f>
        <v>1</v>
      </c>
    </row>
    <row r="186" spans="2:15" ht="19">
      <c r="C186" s="156">
        <f t="shared" si="27"/>
        <v>1300</v>
      </c>
      <c r="D186" s="158">
        <f>1</f>
        <v>1</v>
      </c>
    </row>
    <row r="187" spans="2:15" ht="19">
      <c r="C187" s="156">
        <f t="shared" si="27"/>
        <v>1400</v>
      </c>
      <c r="D187" s="158">
        <f>1</f>
        <v>1</v>
      </c>
    </row>
    <row r="188" spans="2:15" ht="19">
      <c r="C188" s="156">
        <f t="shared" si="27"/>
        <v>1500</v>
      </c>
      <c r="D188" s="158">
        <f>1</f>
        <v>1</v>
      </c>
    </row>
    <row r="189" spans="2:15" ht="19">
      <c r="C189" s="156">
        <f t="shared" si="27"/>
        <v>1600</v>
      </c>
      <c r="D189" s="158">
        <f>1</f>
        <v>1</v>
      </c>
    </row>
    <row r="190" spans="2:15" ht="19">
      <c r="C190" s="156">
        <f t="shared" si="27"/>
        <v>1700</v>
      </c>
      <c r="D190" s="158">
        <f>1</f>
        <v>1</v>
      </c>
    </row>
    <row r="191" spans="2:15" ht="19">
      <c r="C191" s="156">
        <f t="shared" si="27"/>
        <v>1800</v>
      </c>
      <c r="D191" s="158">
        <f>1</f>
        <v>1</v>
      </c>
    </row>
    <row r="192" spans="2:15" ht="19">
      <c r="C192" s="156">
        <f t="shared" si="27"/>
        <v>1900</v>
      </c>
      <c r="D192" s="158">
        <f>1</f>
        <v>1</v>
      </c>
    </row>
    <row r="193" spans="3:11" ht="20" thickBot="1">
      <c r="C193" s="165">
        <f t="shared" si="27"/>
        <v>2000</v>
      </c>
      <c r="D193" s="167">
        <f>1</f>
        <v>1</v>
      </c>
    </row>
    <row r="197" spans="3:11" ht="17" thickBot="1"/>
    <row r="198" spans="3:11" ht="20" thickBot="1">
      <c r="E198" s="66"/>
      <c r="F198" s="66" t="s">
        <v>78</v>
      </c>
      <c r="G198" s="66"/>
      <c r="H198" s="470" t="s">
        <v>118</v>
      </c>
      <c r="I198" s="471"/>
      <c r="J198" s="471"/>
      <c r="K198" s="472"/>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65" t="s">
        <v>124</v>
      </c>
      <c r="E203" s="466"/>
    </row>
    <row r="204" spans="3:11" ht="20" thickBot="1">
      <c r="D204" s="172" t="s">
        <v>125</v>
      </c>
      <c r="E204" s="232" t="s">
        <v>126</v>
      </c>
    </row>
    <row r="205" spans="3:11" ht="19">
      <c r="C205" s="92" t="s">
        <v>45</v>
      </c>
      <c r="D205" s="98">
        <f>$Q23</f>
        <v>6.4240000000000004</v>
      </c>
      <c r="E205" s="160">
        <f>D205*4.184</f>
        <v>26.878016000000002</v>
      </c>
    </row>
    <row r="206" spans="3:11" ht="19">
      <c r="C206" s="100" t="s">
        <v>48</v>
      </c>
      <c r="D206" s="98">
        <f t="shared" ref="D206:D209" si="28">$Q24</f>
        <v>0</v>
      </c>
      <c r="E206" s="235">
        <f t="shared" ref="E206:E209" si="29">D206*4.184</f>
        <v>0</v>
      </c>
    </row>
    <row r="207" spans="3:11" ht="19">
      <c r="C207" s="100" t="s">
        <v>50</v>
      </c>
      <c r="D207" s="98">
        <f t="shared" si="28"/>
        <v>2.9809999999999999</v>
      </c>
      <c r="E207" s="235">
        <f t="shared" si="29"/>
        <v>12.472504000000001</v>
      </c>
    </row>
    <row r="208" spans="3:11" ht="19">
      <c r="C208" s="100" t="s">
        <v>52</v>
      </c>
      <c r="D208" s="98">
        <f t="shared" si="28"/>
        <v>2.9809999999999999</v>
      </c>
      <c r="E208" s="235">
        <f t="shared" si="29"/>
        <v>12.472504000000001</v>
      </c>
    </row>
    <row r="209" spans="3:16" ht="20" thickBot="1">
      <c r="C209" s="105" t="s">
        <v>55</v>
      </c>
      <c r="D209" s="98">
        <f t="shared" si="28"/>
        <v>0.46300000000000002</v>
      </c>
      <c r="E209" s="235">
        <f t="shared" si="29"/>
        <v>1.9371920000000002</v>
      </c>
      <c r="K209">
        <f>COLUMN(E205)</f>
        <v>5</v>
      </c>
    </row>
    <row r="210" spans="3:16" ht="24" customHeight="1"/>
    <row r="211" spans="3:16" ht="17" thickBot="1"/>
    <row r="212" spans="3:16" ht="23" thickBot="1">
      <c r="D212" s="467" t="s">
        <v>126</v>
      </c>
      <c r="E212" s="468"/>
      <c r="F212" s="468"/>
      <c r="G212" s="468"/>
      <c r="H212" s="469"/>
      <c r="J212" s="151" t="s">
        <v>83</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311">
        <f>3*$B$7/2</f>
        <v>12.471599999999999</v>
      </c>
      <c r="E214" s="313" cm="1">
        <f t="array" ref="E214">$B$7*SUM(($D$42:$D$47*$D$42:$D$47)*EXP($D$42:$D$47/$C214)/($C214^2*(EXP($D$42:$D$47/$C214)-1)^2))</f>
        <v>1.9356432618704074</v>
      </c>
      <c r="F214" s="312">
        <f>3*$B$7/2</f>
        <v>12.471599999999999</v>
      </c>
      <c r="G214" s="312">
        <v>0</v>
      </c>
      <c r="H214" s="241">
        <f t="shared" ref="H214:H232" si="30">SUM(D214:G214)</f>
        <v>26.878843261870404</v>
      </c>
      <c r="K214" s="236" t="s">
        <v>127</v>
      </c>
      <c r="L214" s="237" t="s">
        <v>128</v>
      </c>
      <c r="M214" s="237" t="s">
        <v>129</v>
      </c>
      <c r="N214" s="238" t="s">
        <v>130</v>
      </c>
      <c r="O214" s="203" t="s">
        <v>131</v>
      </c>
      <c r="P214" s="66"/>
    </row>
    <row r="215" spans="3:16" ht="19">
      <c r="C215" s="153">
        <v>300</v>
      </c>
      <c r="D215" s="311">
        <f>3*$B$7/2</f>
        <v>12.471599999999999</v>
      </c>
      <c r="E215" s="313" cm="1">
        <f t="array" ref="E215">$B$7*SUM(($D$42:$D$47*$D$42:$D$47)*EXP($D$42:$D$47/$C215)/($C215^2*(EXP($D$42:$D$47/$C215)-1)^2))</f>
        <v>1.9771845450185657</v>
      </c>
      <c r="F215" s="312">
        <f>3*$B$7/2</f>
        <v>12.471599999999999</v>
      </c>
      <c r="G215" s="314">
        <v>0</v>
      </c>
      <c r="H215" s="241">
        <f t="shared" si="30"/>
        <v>26.920384545018564</v>
      </c>
      <c r="J215" s="159" t="s">
        <v>85</v>
      </c>
      <c r="K215" s="160">
        <f>D$214</f>
        <v>12.471599999999999</v>
      </c>
      <c r="L215" s="160">
        <f t="shared" ref="L215:O215" si="31">E$214</f>
        <v>1.9356432618704074</v>
      </c>
      <c r="M215" s="160">
        <f t="shared" si="31"/>
        <v>12.471599999999999</v>
      </c>
      <c r="N215" s="160">
        <f t="shared" si="31"/>
        <v>0</v>
      </c>
      <c r="O215" s="160">
        <f t="shared" si="31"/>
        <v>26.878843261870404</v>
      </c>
      <c r="P215" s="66"/>
    </row>
    <row r="216" spans="3:16" ht="20" thickBot="1">
      <c r="C216" s="156">
        <f>C215+100</f>
        <v>400</v>
      </c>
      <c r="D216" s="315">
        <f t="shared" ref="D216:D232" si="32">3*$B$7/2</f>
        <v>12.471599999999999</v>
      </c>
      <c r="E216" s="321" cm="1">
        <f t="array" ref="E216">$B$7*SUM(($D$42:$D$47*$D$42:$D$47)*EXP($D$42:$D$47/$C216)/($C216^2*(EXP($D$42:$D$47/$C216)-1)^2))</f>
        <v>4.6240702132038765</v>
      </c>
      <c r="F216" s="281">
        <f t="shared" ref="F216:F232" si="33">3*$B$7/2</f>
        <v>12.471599999999999</v>
      </c>
      <c r="G216" s="316">
        <v>0</v>
      </c>
      <c r="H216" s="245">
        <f t="shared" si="30"/>
        <v>29.567270213203873</v>
      </c>
      <c r="J216" s="161" t="s">
        <v>86</v>
      </c>
      <c r="K216" s="162">
        <f>E207</f>
        <v>12.472504000000001</v>
      </c>
      <c r="L216" s="162">
        <f>E209</f>
        <v>1.9371920000000002</v>
      </c>
      <c r="M216" s="162">
        <f>E208</f>
        <v>12.472504000000001</v>
      </c>
      <c r="N216" s="162">
        <f>E206</f>
        <v>0</v>
      </c>
      <c r="O216" s="162">
        <f>E205</f>
        <v>26.878016000000002</v>
      </c>
      <c r="P216" s="66"/>
    </row>
    <row r="217" spans="3:16" ht="22">
      <c r="C217" s="156">
        <f t="shared" ref="C217:C232" si="34">C216+100</f>
        <v>500</v>
      </c>
      <c r="D217" s="315">
        <f t="shared" si="32"/>
        <v>12.471599999999999</v>
      </c>
      <c r="E217" s="321" cm="1">
        <f t="array" ref="E217">$B$7*SUM(($D$42:$D$47*$D$42:$D$47)*EXP($D$42:$D$47/$C217)/($C217^2*(EXP($D$42:$D$47/$C217)-1)^2))</f>
        <v>7.6391921068575694</v>
      </c>
      <c r="F217" s="281">
        <f t="shared" si="33"/>
        <v>12.471599999999999</v>
      </c>
      <c r="G217" s="316">
        <v>0</v>
      </c>
      <c r="H217" s="245">
        <f t="shared" si="30"/>
        <v>32.582392106857569</v>
      </c>
      <c r="J217" s="163" t="s">
        <v>87</v>
      </c>
      <c r="K217" s="164">
        <f>IFERROR(ABS(K215-K216)/K215,0)</f>
        <v>7.2484685204946797E-5</v>
      </c>
      <c r="L217" s="164">
        <f t="shared" ref="L217:O217" si="35">IFERROR(ABS(L215-L216)/L215,0)</f>
        <v>8.0011547587355747E-4</v>
      </c>
      <c r="M217" s="164">
        <f t="shared" si="35"/>
        <v>7.2484685204946797E-5</v>
      </c>
      <c r="N217" s="164">
        <f t="shared" si="35"/>
        <v>0</v>
      </c>
      <c r="O217" s="164">
        <f t="shared" si="35"/>
        <v>3.0777435708160551E-5</v>
      </c>
      <c r="P217" s="66"/>
    </row>
    <row r="218" spans="3:16" ht="19">
      <c r="C218" s="156">
        <f t="shared" si="34"/>
        <v>600</v>
      </c>
      <c r="D218" s="315">
        <f t="shared" si="32"/>
        <v>12.471599999999999</v>
      </c>
      <c r="E218" s="321" cm="1">
        <f t="array" ref="E218">$B$7*SUM(($D$42:$D$47*$D$42:$D$47)*EXP($D$42:$D$47/$C218)/($C218^2*(EXP($D$42:$D$47/$C218)-1)^2))</f>
        <v>10.646342427186775</v>
      </c>
      <c r="F218" s="281">
        <f t="shared" si="33"/>
        <v>12.471599999999999</v>
      </c>
      <c r="G218" s="316">
        <v>0</v>
      </c>
      <c r="H218" s="245">
        <f t="shared" si="30"/>
        <v>35.589542427186771</v>
      </c>
    </row>
    <row r="219" spans="3:16" ht="19">
      <c r="C219" s="156">
        <f t="shared" si="34"/>
        <v>700</v>
      </c>
      <c r="D219" s="315">
        <f t="shared" si="32"/>
        <v>12.471599999999999</v>
      </c>
      <c r="E219" s="321" cm="1">
        <f t="array" ref="E219">$B$7*SUM(($D$42:$D$47*$D$42:$D$47)*EXP($D$42:$D$47/$C219)/($C219^2*(EXP($D$42:$D$47/$C219)-1)^2))</f>
        <v>13.532257718600921</v>
      </c>
      <c r="F219" s="281">
        <f t="shared" si="33"/>
        <v>12.471599999999999</v>
      </c>
      <c r="G219" s="316">
        <v>0</v>
      </c>
      <c r="H219" s="245">
        <f t="shared" si="30"/>
        <v>38.475457718600921</v>
      </c>
    </row>
    <row r="220" spans="3:16" ht="19">
      <c r="C220" s="156">
        <f t="shared" si="34"/>
        <v>800</v>
      </c>
      <c r="D220" s="315">
        <f t="shared" si="32"/>
        <v>12.471599999999999</v>
      </c>
      <c r="E220" s="321" cm="1">
        <f t="array" ref="E220">$B$7*SUM(($D$42:$D$47*$D$42:$D$47)*EXP($D$42:$D$47/$C220)/($C220^2*(EXP($D$42:$D$47/$C220)-1)^2))</f>
        <v>16.285685586716873</v>
      </c>
      <c r="F220" s="281">
        <f t="shared" si="33"/>
        <v>12.471599999999999</v>
      </c>
      <c r="G220" s="316">
        <v>0</v>
      </c>
      <c r="H220" s="245">
        <f t="shared" si="30"/>
        <v>41.228885586716871</v>
      </c>
    </row>
    <row r="221" spans="3:16" ht="19">
      <c r="C221" s="156">
        <f t="shared" si="34"/>
        <v>900</v>
      </c>
      <c r="D221" s="315">
        <f t="shared" si="32"/>
        <v>12.471599999999999</v>
      </c>
      <c r="E221" s="321" cm="1">
        <f t="array" ref="E221">$B$7*SUM(($D$42:$D$47*$D$42:$D$47)*EXP($D$42:$D$47/$C221)/($C221^2*(EXP($D$42:$D$47/$C221)-1)^2))</f>
        <v>18.906440703764787</v>
      </c>
      <c r="F221" s="281">
        <f t="shared" si="33"/>
        <v>12.471599999999999</v>
      </c>
      <c r="G221" s="316">
        <v>0</v>
      </c>
      <c r="H221" s="245">
        <f t="shared" si="30"/>
        <v>43.849640703764784</v>
      </c>
    </row>
    <row r="222" spans="3:16" ht="19">
      <c r="C222" s="156">
        <f t="shared" si="34"/>
        <v>1000</v>
      </c>
      <c r="D222" s="315">
        <f t="shared" si="32"/>
        <v>12.471599999999999</v>
      </c>
      <c r="E222" s="321" cm="1">
        <f t="array" ref="E222">$B$7*SUM(($D$42:$D$47*$D$42:$D$47)*EXP($D$42:$D$47/$C222)/($C222^2*(EXP($D$42:$D$47/$C222)-1)^2))</f>
        <v>21.38504484150781</v>
      </c>
      <c r="F222" s="281">
        <f t="shared" si="33"/>
        <v>12.471599999999999</v>
      </c>
      <c r="G222" s="316">
        <v>0</v>
      </c>
      <c r="H222" s="245">
        <f t="shared" si="30"/>
        <v>46.328244841507811</v>
      </c>
    </row>
    <row r="223" spans="3:16" ht="19">
      <c r="C223" s="156">
        <f t="shared" si="34"/>
        <v>1100</v>
      </c>
      <c r="D223" s="315">
        <f t="shared" si="32"/>
        <v>12.471599999999999</v>
      </c>
      <c r="E223" s="321" cm="1">
        <f t="array" ref="E223">$B$7*SUM(($D$42:$D$47*$D$42:$D$47)*EXP($D$42:$D$47/$C223)/($C223^2*(EXP($D$42:$D$47/$C223)-1)^2))</f>
        <v>23.707731938405875</v>
      </c>
      <c r="F223" s="281">
        <f t="shared" si="33"/>
        <v>12.471599999999999</v>
      </c>
      <c r="G223" s="316">
        <v>0</v>
      </c>
      <c r="H223" s="245">
        <f t="shared" si="30"/>
        <v>48.650931938405876</v>
      </c>
    </row>
    <row r="224" spans="3:16" ht="19">
      <c r="C224" s="156">
        <f t="shared" si="34"/>
        <v>1200</v>
      </c>
      <c r="D224" s="315">
        <f t="shared" si="32"/>
        <v>12.471599999999999</v>
      </c>
      <c r="E224" s="321" cm="1">
        <f t="array" ref="E224">$B$7*SUM(($D$42:$D$47*$D$42:$D$47)*EXP($D$42:$D$47/$C224)/($C224^2*(EXP($D$42:$D$47/$C224)-1)^2))</f>
        <v>25.86346642121104</v>
      </c>
      <c r="F224" s="281">
        <f t="shared" si="33"/>
        <v>12.471599999999999</v>
      </c>
      <c r="G224" s="316">
        <v>0</v>
      </c>
      <c r="H224" s="245">
        <f t="shared" si="30"/>
        <v>50.806666421211034</v>
      </c>
    </row>
    <row r="225" spans="3:11" ht="19">
      <c r="C225" s="156">
        <f t="shared" si="34"/>
        <v>1300</v>
      </c>
      <c r="D225" s="315">
        <f t="shared" si="32"/>
        <v>12.471599999999999</v>
      </c>
      <c r="E225" s="321" cm="1">
        <f t="array" ref="E225">$B$7*SUM(($D$42:$D$47*$D$42:$D$47)*EXP($D$42:$D$47/$C225)/($C225^2*(EXP($D$42:$D$47/$C225)-1)^2))</f>
        <v>27.847258687134495</v>
      </c>
      <c r="F225" s="281">
        <f t="shared" si="33"/>
        <v>12.471599999999999</v>
      </c>
      <c r="G225" s="316">
        <v>0</v>
      </c>
      <c r="H225" s="245">
        <f t="shared" si="30"/>
        <v>52.790458687134489</v>
      </c>
    </row>
    <row r="226" spans="3:11" ht="19">
      <c r="C226" s="156">
        <f t="shared" si="34"/>
        <v>1400</v>
      </c>
      <c r="D226" s="315">
        <f t="shared" si="32"/>
        <v>12.471599999999999</v>
      </c>
      <c r="E226" s="321" cm="1">
        <f t="array" ref="E226">$B$7*SUM(($D$42:$D$47*$D$42:$D$47)*EXP($D$42:$D$47/$C226)/($C226^2*(EXP($D$42:$D$47/$C226)-1)^2))</f>
        <v>29.660391593419508</v>
      </c>
      <c r="F226" s="281">
        <f t="shared" si="33"/>
        <v>12.471599999999999</v>
      </c>
      <c r="G226" s="316">
        <v>0</v>
      </c>
      <c r="H226" s="245">
        <f t="shared" si="30"/>
        <v>54.603591593419509</v>
      </c>
    </row>
    <row r="227" spans="3:11" ht="19">
      <c r="C227" s="156">
        <f t="shared" si="34"/>
        <v>1500</v>
      </c>
      <c r="D227" s="315">
        <f t="shared" si="32"/>
        <v>12.471599999999999</v>
      </c>
      <c r="E227" s="321" cm="1">
        <f t="array" ref="E227">$B$7*SUM(($D$42:$D$47*$D$42:$D$47)*EXP($D$42:$D$47/$C227)/($C227^2*(EXP($D$42:$D$47/$C227)-1)^2))</f>
        <v>31.309158802752222</v>
      </c>
      <c r="F227" s="281">
        <f t="shared" si="33"/>
        <v>12.471599999999999</v>
      </c>
      <c r="G227" s="316">
        <v>0</v>
      </c>
      <c r="H227" s="245">
        <f t="shared" si="30"/>
        <v>56.252358802752212</v>
      </c>
    </row>
    <row r="228" spans="3:11" ht="19">
      <c r="C228" s="156">
        <f t="shared" si="34"/>
        <v>1600</v>
      </c>
      <c r="D228" s="315">
        <f t="shared" si="32"/>
        <v>12.471599999999999</v>
      </c>
      <c r="E228" s="321" cm="1">
        <f t="array" ref="E228">$B$7*SUM(($D$42:$D$47*$D$42:$D$47)*EXP($D$42:$D$47/$C228)/($C228^2*(EXP($D$42:$D$47/$C228)-1)^2))</f>
        <v>32.803227937827536</v>
      </c>
      <c r="F228" s="281">
        <f t="shared" si="33"/>
        <v>12.471599999999999</v>
      </c>
      <c r="G228" s="316">
        <v>0</v>
      </c>
      <c r="H228" s="245">
        <f t="shared" si="30"/>
        <v>57.746427937827534</v>
      </c>
    </row>
    <row r="229" spans="3:11" ht="19">
      <c r="C229" s="156">
        <f t="shared" si="34"/>
        <v>1700</v>
      </c>
      <c r="D229" s="315">
        <f t="shared" si="32"/>
        <v>12.471599999999999</v>
      </c>
      <c r="E229" s="321" cm="1">
        <f t="array" ref="E229">$B$7*SUM(($D$42:$D$47*$D$42:$D$47)*EXP($D$42:$D$47/$C229)/($C229^2*(EXP($D$42:$D$47/$C229)-1)^2))</f>
        <v>34.154168411267044</v>
      </c>
      <c r="F229" s="281">
        <f t="shared" si="33"/>
        <v>12.471599999999999</v>
      </c>
      <c r="G229" s="316">
        <v>0</v>
      </c>
      <c r="H229" s="245">
        <f t="shared" si="30"/>
        <v>59.097368411267041</v>
      </c>
    </row>
    <row r="230" spans="3:11" ht="19">
      <c r="C230" s="156">
        <f t="shared" si="34"/>
        <v>1800</v>
      </c>
      <c r="D230" s="315">
        <f t="shared" si="32"/>
        <v>12.471599999999999</v>
      </c>
      <c r="E230" s="321" cm="1">
        <f t="array" ref="E230">$B$7*SUM(($D$42:$D$47*$D$42:$D$47)*EXP($D$42:$D$47/$C230)/($C230^2*(EXP($D$42:$D$47/$C230)-1)^2))</f>
        <v>35.374323008475386</v>
      </c>
      <c r="F230" s="281">
        <f t="shared" si="33"/>
        <v>12.471599999999999</v>
      </c>
      <c r="G230" s="316">
        <v>0</v>
      </c>
      <c r="H230" s="245">
        <f t="shared" si="30"/>
        <v>60.317523008475376</v>
      </c>
    </row>
    <row r="231" spans="3:11" ht="19">
      <c r="C231" s="156">
        <f t="shared" si="34"/>
        <v>1900</v>
      </c>
      <c r="D231" s="315">
        <f t="shared" si="32"/>
        <v>12.471599999999999</v>
      </c>
      <c r="E231" s="321" cm="1">
        <f t="array" ref="E231">$B$7*SUM(($D$42:$D$47*$D$42:$D$47)*EXP($D$42:$D$47/$C231)/($C231^2*(EXP($D$42:$D$47/$C231)-1)^2))</f>
        <v>36.47602711016016</v>
      </c>
      <c r="F231" s="281">
        <f t="shared" si="33"/>
        <v>12.471599999999999</v>
      </c>
      <c r="G231" s="316">
        <v>0</v>
      </c>
      <c r="H231" s="245">
        <f t="shared" si="30"/>
        <v>61.419227110160151</v>
      </c>
    </row>
    <row r="232" spans="3:11" ht="20" thickBot="1">
      <c r="C232" s="165">
        <f t="shared" si="34"/>
        <v>2000</v>
      </c>
      <c r="D232" s="317">
        <f t="shared" si="32"/>
        <v>12.471599999999999</v>
      </c>
      <c r="E232" s="322" cm="1">
        <f t="array" ref="E232">$B$7*SUM(($D$42:$D$47*$D$42:$D$47)*EXP($D$42:$D$47/$C232)/($C232^2*(EXP($D$42:$D$47/$C232)-1)^2))</f>
        <v>37.471113855486735</v>
      </c>
      <c r="F232" s="318">
        <f t="shared" si="33"/>
        <v>12.471599999999999</v>
      </c>
      <c r="G232" s="307">
        <v>0</v>
      </c>
      <c r="H232" s="249">
        <f t="shared" si="30"/>
        <v>62.414313855486725</v>
      </c>
    </row>
    <row r="238" spans="3:11" ht="17" thickBot="1"/>
    <row r="239" spans="3:11" ht="20" thickBot="1">
      <c r="E239" s="66"/>
      <c r="F239" s="66" t="s">
        <v>78</v>
      </c>
      <c r="G239" s="66"/>
      <c r="H239" s="470" t="s">
        <v>118</v>
      </c>
      <c r="I239" s="471"/>
      <c r="J239" s="471"/>
      <c r="K239" s="472"/>
    </row>
    <row r="240" spans="3:11" ht="28" thickBot="1">
      <c r="C240" s="147" t="s">
        <v>132</v>
      </c>
      <c r="D240" s="148"/>
      <c r="E240" s="66"/>
      <c r="F240" s="66"/>
      <c r="G240" s="66"/>
      <c r="H240" s="137" t="s">
        <v>120</v>
      </c>
      <c r="I240" s="137" t="s">
        <v>121</v>
      </c>
      <c r="J240" s="137" t="s">
        <v>122</v>
      </c>
      <c r="K240" s="137" t="s">
        <v>123</v>
      </c>
    </row>
    <row r="244" spans="3:10" ht="20" thickBot="1">
      <c r="D244" s="473"/>
      <c r="E244" s="473"/>
    </row>
    <row r="245" spans="3:10" ht="20" thickBot="1">
      <c r="D245" s="465" t="s">
        <v>133</v>
      </c>
      <c r="E245" s="466"/>
    </row>
    <row r="246" spans="3:10" ht="20" thickBot="1">
      <c r="D246" s="172" t="s">
        <v>125</v>
      </c>
      <c r="E246" s="232" t="s">
        <v>126</v>
      </c>
    </row>
    <row r="247" spans="3:10" ht="19">
      <c r="C247" s="92" t="s">
        <v>45</v>
      </c>
      <c r="D247" s="346">
        <f>$R23</f>
        <v>48.177999999999997</v>
      </c>
      <c r="E247" s="160">
        <f>D247*4.184</f>
        <v>201.576752</v>
      </c>
    </row>
    <row r="248" spans="3:10" ht="19">
      <c r="C248" s="100" t="s">
        <v>48</v>
      </c>
      <c r="D248" s="346">
        <f t="shared" ref="D248:D251" si="36">$R24</f>
        <v>0</v>
      </c>
      <c r="E248" s="235">
        <f t="shared" ref="E248:E251" si="37">D248*4.184</f>
        <v>0</v>
      </c>
    </row>
    <row r="249" spans="3:10" ht="19">
      <c r="C249" s="100" t="s">
        <v>50</v>
      </c>
      <c r="D249" s="346">
        <f t="shared" si="36"/>
        <v>34.441000000000003</v>
      </c>
      <c r="E249" s="235">
        <f t="shared" si="37"/>
        <v>144.10114400000001</v>
      </c>
    </row>
    <row r="250" spans="3:10" ht="19">
      <c r="C250" s="100" t="s">
        <v>52</v>
      </c>
      <c r="D250" s="346">
        <f t="shared" si="36"/>
        <v>13.631</v>
      </c>
      <c r="E250" s="235">
        <f t="shared" si="37"/>
        <v>57.032104000000004</v>
      </c>
    </row>
    <row r="251" spans="3:10" ht="20" thickBot="1">
      <c r="C251" s="105" t="s">
        <v>55</v>
      </c>
      <c r="D251" s="346">
        <f t="shared" si="36"/>
        <v>0.106</v>
      </c>
      <c r="E251" s="235">
        <f t="shared" si="37"/>
        <v>0.44350400000000001</v>
      </c>
    </row>
    <row r="253" spans="3:10" ht="17" thickBot="1"/>
    <row r="254" spans="3:10" ht="20" thickBot="1">
      <c r="C254" s="67" t="s">
        <v>34</v>
      </c>
      <c r="D254" s="252"/>
      <c r="E254" s="252"/>
      <c r="F254" s="252"/>
      <c r="G254" s="253"/>
      <c r="I254" s="76" t="s">
        <v>134</v>
      </c>
      <c r="J254" s="254">
        <f>($B$14^2)/(8*PI()*PI()*$G$258*$B$8)</f>
        <v>1.8759930088669763</v>
      </c>
    </row>
    <row r="255" spans="3:10" ht="20" thickBot="1">
      <c r="C255" s="255"/>
      <c r="D255" s="73" t="s">
        <v>37</v>
      </c>
      <c r="E255" s="74" t="s">
        <v>38</v>
      </c>
      <c r="F255" s="75" t="s">
        <v>39</v>
      </c>
      <c r="G255" s="203" t="s">
        <v>131</v>
      </c>
      <c r="I255" s="123"/>
      <c r="J255" s="123"/>
    </row>
    <row r="256" spans="3:10" ht="22" thickBot="1">
      <c r="C256" s="84" t="s">
        <v>44</v>
      </c>
      <c r="D256" s="256">
        <f>D$23</f>
        <v>6.0186599999999997</v>
      </c>
      <c r="E256" s="86">
        <f t="shared" ref="E256:F256" si="38">E$23</f>
        <v>6.0193399999999997</v>
      </c>
      <c r="F256" s="257">
        <f t="shared" si="38"/>
        <v>9.7368199999999998</v>
      </c>
      <c r="G256" s="193">
        <f>SQRT(F256^2 + E256^2 + D256^2)</f>
        <v>12.932996015757524</v>
      </c>
      <c r="J256" s="123"/>
    </row>
    <row r="257" spans="1:18" ht="22" thickBot="1">
      <c r="C257" s="96" t="s">
        <v>47</v>
      </c>
      <c r="D257" s="97">
        <f>D256*$U$9</f>
        <v>9.9909755999999984E-27</v>
      </c>
      <c r="E257" s="98">
        <f t="shared" ref="E257:F257" si="39">E256*$U$9</f>
        <v>9.9921043999999982E-27</v>
      </c>
      <c r="F257" s="258">
        <f t="shared" si="39"/>
        <v>1.6163121199999999E-26</v>
      </c>
      <c r="G257" s="193">
        <f t="shared" ref="G257:G258" si="40">SQRT(F257^2 + E257^2 + D257^2)</f>
        <v>2.1468773386157488E-26</v>
      </c>
    </row>
    <row r="258" spans="1:18" ht="22" thickBot="1">
      <c r="C258" s="101" t="s">
        <v>49</v>
      </c>
      <c r="D258" s="102">
        <f>D257*($Q$8)^2</f>
        <v>9.9909755999999992E-47</v>
      </c>
      <c r="E258" s="103">
        <f>E257*($Q$8)^2</f>
        <v>9.9921043999999991E-47</v>
      </c>
      <c r="F258" s="259">
        <f t="shared" ref="F258" si="41">F257*($Q$8)^2</f>
        <v>1.6163121200000001E-46</v>
      </c>
      <c r="G258" s="193">
        <f t="shared" si="40"/>
        <v>2.1468773386157489E-46</v>
      </c>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83</v>
      </c>
      <c r="M261" s="152"/>
      <c r="N261" s="152"/>
      <c r="O261" s="152"/>
      <c r="P261" s="152"/>
      <c r="Q261" s="152"/>
    </row>
    <row r="262" spans="1:18" ht="20" thickBot="1">
      <c r="C262" s="174">
        <v>298.14999999999998</v>
      </c>
      <c r="D262" s="267">
        <f>$B$7*C262/$B$16</f>
        <v>2.4465219442388352E-2</v>
      </c>
      <c r="E262" s="268">
        <f>((2*PI()*$A$28*$U$9*$B$8*$C262)/($B$14*$B$14))^(3/2)</f>
        <v>6.7940990259411595E+31</v>
      </c>
      <c r="F262" s="269">
        <f t="shared" ref="F262:F280" si="42">$B$7*LN(($D262/$B$6)*EXP(5/2)*E262)</f>
        <v>144.09511810258286</v>
      </c>
      <c r="G262" s="319" cm="1">
        <f t="array" ref="G262">$B$7*SUM((($D$42:$D$47)/$C262)/(EXP($D$42:$D$47/$C262)-1)-LN(1-EXP(-$D$42:$D$47/$C262)))</f>
        <v>0.44507418955131489</v>
      </c>
      <c r="H262" s="270">
        <f>$B$7*(LN((SQRT(PI())/$A$31)*($C262^(3/2)/SQRT(C$29*D$29*E$29)))+3/2)</f>
        <v>57.032209222920059</v>
      </c>
      <c r="I262" s="320">
        <v>0</v>
      </c>
      <c r="J262" s="272">
        <f t="shared" ref="J262:J280" si="43">SUM(F262:I262)</f>
        <v>201.57240151505425</v>
      </c>
      <c r="L262" s="66"/>
      <c r="M262" s="66"/>
      <c r="N262" s="66"/>
      <c r="O262" s="66"/>
      <c r="P262" s="66"/>
      <c r="Q262" s="66"/>
    </row>
    <row r="263" spans="1:18" ht="20" thickBot="1">
      <c r="C263" s="153">
        <v>300</v>
      </c>
      <c r="D263" s="267">
        <f>$B$7*C263/$B$16</f>
        <v>2.4617024426350848E-2</v>
      </c>
      <c r="E263" s="268">
        <f>((2*PI()*$A$28*$U$9*$B$8*$C263)/($B$14*$B$14))^(3/2)</f>
        <v>6.8574323849192478E+31</v>
      </c>
      <c r="F263" s="239">
        <f t="shared" si="42"/>
        <v>144.2236952909671</v>
      </c>
      <c r="G263" s="313" cm="1">
        <f t="array" ref="G263">$B$7*SUM((($D$42:$D$47)/$C263)/(EXP($D$42:$D$47/$C263)-1)-LN(1-EXP(-$D$42:$D$47/$C263)))</f>
        <v>0.45717577956974709</v>
      </c>
      <c r="H263" s="240">
        <f t="shared" ref="H263:H280" si="44">$B$7*(LN((SQRT(PI())/$A$31)*($C263^(3/2)/SQRT(C$29*D$29*E$29)))+3/2)</f>
        <v>57.109355535950563</v>
      </c>
      <c r="I263" s="314">
        <v>0</v>
      </c>
      <c r="J263" s="272">
        <f t="shared" si="43"/>
        <v>201.79022660648741</v>
      </c>
      <c r="N263" s="236" t="s">
        <v>127</v>
      </c>
      <c r="O263" s="237" t="s">
        <v>128</v>
      </c>
      <c r="P263" s="237" t="s">
        <v>129</v>
      </c>
      <c r="Q263" s="238" t="s">
        <v>130</v>
      </c>
      <c r="R263" s="203" t="s">
        <v>131</v>
      </c>
    </row>
    <row r="264" spans="1:18" ht="20" thickBot="1">
      <c r="C264" s="156">
        <f>C263+100</f>
        <v>400</v>
      </c>
      <c r="D264" s="273">
        <f t="shared" ref="D264:D280" si="45">$B$7*C264/$B$16</f>
        <v>3.2822699235134464E-2</v>
      </c>
      <c r="E264" s="274">
        <f t="shared" ref="E264:E280" si="46">(2*PI()*$A$28*$U$9*$B$8*$C264/($B$14)^2)^(3/2)</f>
        <v>1.0557707822354039E+32</v>
      </c>
      <c r="F264" s="229">
        <f t="shared" si="42"/>
        <v>150.20345484894975</v>
      </c>
      <c r="G264" s="321" cm="1">
        <f t="array" ref="G264">$B$7*SUM((($D$42:$D$47)/$C264)/(EXP($D$42:$D$47/$C264)-1)-LN(1-EXP(-$D$42:$D$47/$C264)))</f>
        <v>1.3725185546777492</v>
      </c>
      <c r="H264" s="243">
        <f t="shared" si="44"/>
        <v>60.697211270740198</v>
      </c>
      <c r="I264" s="316">
        <v>0</v>
      </c>
      <c r="J264" s="275">
        <f t="shared" si="43"/>
        <v>212.27318467436771</v>
      </c>
      <c r="M264" s="159" t="s">
        <v>85</v>
      </c>
      <c r="N264" s="276">
        <f>F$262</f>
        <v>144.09511810258286</v>
      </c>
      <c r="O264" s="276">
        <f>G$262</f>
        <v>0.44507418955131489</v>
      </c>
      <c r="P264" s="276">
        <f>H$262</f>
        <v>57.032209222920059</v>
      </c>
      <c r="Q264" s="276">
        <f>I$262</f>
        <v>0</v>
      </c>
      <c r="R264" s="276">
        <f>J$262</f>
        <v>201.57240151505425</v>
      </c>
    </row>
    <row r="265" spans="1:18" ht="20" thickBot="1">
      <c r="C265" s="156">
        <f t="shared" ref="C265:C280" si="47">C264+100</f>
        <v>500</v>
      </c>
      <c r="D265" s="273">
        <f t="shared" si="45"/>
        <v>4.1028374043918084E-2</v>
      </c>
      <c r="E265" s="274">
        <f t="shared" si="46"/>
        <v>1.4754845235853151E+32</v>
      </c>
      <c r="F265" s="229">
        <f t="shared" si="42"/>
        <v>154.84171670656696</v>
      </c>
      <c r="G265" s="321" cm="1">
        <f t="array" ref="G265">$B$7*SUM((($D$42:$D$47)/$C265)/(EXP($D$42:$D$47/$C265)-1)-LN(1-EXP(-$D$42:$D$47/$C265)))</f>
        <v>2.7260395676401581</v>
      </c>
      <c r="H265" s="243">
        <f t="shared" si="44"/>
        <v>63.480168385310499</v>
      </c>
      <c r="I265" s="316">
        <v>0</v>
      </c>
      <c r="J265" s="275">
        <f t="shared" si="43"/>
        <v>221.04792465951761</v>
      </c>
      <c r="M265" s="161" t="s">
        <v>86</v>
      </c>
      <c r="N265" s="276">
        <f>E249</f>
        <v>144.10114400000001</v>
      </c>
      <c r="O265" s="276">
        <f>E251</f>
        <v>0.44350400000000001</v>
      </c>
      <c r="P265" s="276">
        <f>E250</f>
        <v>57.032104000000004</v>
      </c>
      <c r="Q265" s="276">
        <f>E248</f>
        <v>0</v>
      </c>
      <c r="R265" s="276">
        <f>E247</f>
        <v>201.576752</v>
      </c>
    </row>
    <row r="266" spans="1:18" ht="22">
      <c r="C266" s="156">
        <f t="shared" si="47"/>
        <v>600</v>
      </c>
      <c r="D266" s="273">
        <f t="shared" si="45"/>
        <v>4.9234048852701696E-2</v>
      </c>
      <c r="E266" s="274">
        <f t="shared" si="46"/>
        <v>1.9395747763618335E+32</v>
      </c>
      <c r="F266" s="229">
        <f t="shared" si="42"/>
        <v>158.631452586086</v>
      </c>
      <c r="G266" s="321" cm="1">
        <f t="array" ref="G266">$B$7*SUM((($D$42:$D$47)/$C266)/(EXP($D$42:$D$47/$C266)-1)-LN(1-EXP(-$D$42:$D$47/$C266)))</f>
        <v>4.3861054241604487</v>
      </c>
      <c r="H266" s="243">
        <f t="shared" si="44"/>
        <v>65.754009913021974</v>
      </c>
      <c r="I266" s="316">
        <v>0</v>
      </c>
      <c r="J266" s="275">
        <f t="shared" si="43"/>
        <v>228.77156792326844</v>
      </c>
      <c r="L266" s="66"/>
      <c r="M266" s="163" t="s">
        <v>87</v>
      </c>
      <c r="N266" s="164">
        <f>IFERROR(ABS(N264-N265)/N264,0)</f>
        <v>4.1818886694386113E-5</v>
      </c>
      <c r="O266" s="164">
        <f t="shared" ref="O266:R266" si="48">IFERROR(ABS(O264-O265)/O264,0)</f>
        <v>3.5279276762775458E-3</v>
      </c>
      <c r="P266" s="164">
        <f t="shared" si="48"/>
        <v>1.8449735945532813E-6</v>
      </c>
      <c r="Q266" s="164">
        <f t="shared" si="48"/>
        <v>0</v>
      </c>
      <c r="R266" s="164">
        <f t="shared" si="48"/>
        <v>2.15827410550615E-5</v>
      </c>
    </row>
    <row r="267" spans="1:18" ht="19">
      <c r="A267" s="188"/>
      <c r="C267" s="156">
        <f t="shared" si="47"/>
        <v>700</v>
      </c>
      <c r="D267" s="273">
        <f t="shared" si="45"/>
        <v>5.7439723661485309E-2</v>
      </c>
      <c r="E267" s="274">
        <f t="shared" si="46"/>
        <v>2.4441435648726518E+32</v>
      </c>
      <c r="F267" s="229">
        <f t="shared" si="42"/>
        <v>161.83562861697553</v>
      </c>
      <c r="G267" s="321" cm="1">
        <f t="array" ref="G267">$B$7*SUM((($D$42:$D$47)/$C267)/(EXP($D$42:$D$47/$C267)-1)-LN(1-EXP(-$D$42:$D$47/$C267)))</f>
        <v>6.2456814656647337</v>
      </c>
      <c r="H267" s="243">
        <f t="shared" si="44"/>
        <v>67.676515531555594</v>
      </c>
      <c r="I267" s="316">
        <v>0</v>
      </c>
      <c r="J267" s="275">
        <f t="shared" si="43"/>
        <v>235.75782561419587</v>
      </c>
    </row>
    <row r="268" spans="1:18" ht="19">
      <c r="A268" s="188"/>
      <c r="C268" s="156">
        <f t="shared" si="47"/>
        <v>800</v>
      </c>
      <c r="D268" s="273">
        <f t="shared" si="45"/>
        <v>6.5645398470268929E-2</v>
      </c>
      <c r="E268" s="274">
        <f t="shared" si="46"/>
        <v>2.9861707179890856E+32</v>
      </c>
      <c r="F268" s="229">
        <f t="shared" si="42"/>
        <v>164.6112121440687</v>
      </c>
      <c r="G268" s="321" cm="1">
        <f t="array" ref="G268">$B$7*SUM((($D$42:$D$47)/$C268)/(EXP($D$42:$D$47/$C268)-1)-LN(1-EXP(-$D$42:$D$47/$C268)))</f>
        <v>8.2338646714453301</v>
      </c>
      <c r="H268" s="243">
        <f t="shared" si="44"/>
        <v>69.341865647811602</v>
      </c>
      <c r="I268" s="316">
        <v>0</v>
      </c>
      <c r="J268" s="275">
        <f t="shared" si="43"/>
        <v>242.18694246332564</v>
      </c>
    </row>
    <row r="269" spans="1:18" ht="19">
      <c r="C269" s="156">
        <f t="shared" si="47"/>
        <v>900</v>
      </c>
      <c r="D269" s="273">
        <f t="shared" si="45"/>
        <v>7.3851073279052548E-2</v>
      </c>
      <c r="E269" s="274">
        <f t="shared" si="46"/>
        <v>3.5632263900444941E+32</v>
      </c>
      <c r="F269" s="229">
        <f t="shared" si="42"/>
        <v>167.05945032322236</v>
      </c>
      <c r="G269" s="321" cm="1">
        <f t="array" ref="G269">$B$7*SUM((($D$42:$D$47)/$C269)/(EXP($D$42:$D$47/$C269)-1)-LN(1-EXP(-$D$42:$D$47/$C269)))</f>
        <v>10.304685942459249</v>
      </c>
      <c r="H269" s="243">
        <f t="shared" si="44"/>
        <v>70.810808555303751</v>
      </c>
      <c r="I269" s="316">
        <v>0</v>
      </c>
      <c r="J269" s="275">
        <f t="shared" si="43"/>
        <v>248.17494482098539</v>
      </c>
    </row>
    <row r="270" spans="1:18" ht="19">
      <c r="C270" s="156">
        <f t="shared" si="47"/>
        <v>1000</v>
      </c>
      <c r="D270" s="273">
        <f t="shared" si="45"/>
        <v>8.2056748087836168E-2</v>
      </c>
      <c r="E270" s="274">
        <f t="shared" si="46"/>
        <v>4.1733004486519267E+32</v>
      </c>
      <c r="F270" s="229">
        <f t="shared" si="42"/>
        <v>169.24947400168602</v>
      </c>
      <c r="G270" s="321" cm="1">
        <f t="array" ref="G270">$B$7*SUM((($D$42:$D$47)/$C270)/(EXP($D$42:$D$47/$C270)-1)-LN(1-EXP(-$D$42:$D$47/$C270)))</f>
        <v>12.426266946213586</v>
      </c>
      <c r="H270" s="243">
        <f t="shared" si="44"/>
        <v>72.124822762381896</v>
      </c>
      <c r="I270" s="316">
        <v>0</v>
      </c>
      <c r="J270" s="275">
        <f t="shared" si="43"/>
        <v>253.80056371028149</v>
      </c>
    </row>
    <row r="271" spans="1:18" ht="19">
      <c r="C271" s="156">
        <f t="shared" si="47"/>
        <v>1100</v>
      </c>
      <c r="D271" s="273">
        <f t="shared" si="45"/>
        <v>9.0262422896619773E-2</v>
      </c>
      <c r="E271" s="274">
        <f t="shared" si="46"/>
        <v>4.8146938802804272E+32</v>
      </c>
      <c r="F271" s="229">
        <f t="shared" si="42"/>
        <v>171.23059139909867</v>
      </c>
      <c r="G271" s="321" cm="1">
        <f t="array" ref="G271">$B$7*SUM((($D$42:$D$47)/$C271)/(EXP($D$42:$D$47/$C271)-1)-LN(1-EXP(-$D$42:$D$47/$C271)))</f>
        <v>14.574698498724366</v>
      </c>
      <c r="H271" s="243">
        <f t="shared" si="44"/>
        <v>73.313493200829512</v>
      </c>
      <c r="I271" s="316">
        <v>0</v>
      </c>
      <c r="J271" s="275">
        <f t="shared" si="43"/>
        <v>259.11878309865256</v>
      </c>
    </row>
    <row r="272" spans="1:18" ht="19">
      <c r="C272" s="156">
        <f t="shared" si="47"/>
        <v>1200</v>
      </c>
      <c r="D272" s="273">
        <f t="shared" si="45"/>
        <v>9.8468097705403393E-2</v>
      </c>
      <c r="E272" s="274">
        <f t="shared" si="46"/>
        <v>5.4859459079353507E+32</v>
      </c>
      <c r="F272" s="229">
        <f t="shared" si="42"/>
        <v>173.03920988120507</v>
      </c>
      <c r="G272" s="321" cm="1">
        <f t="array" ref="G272">$B$7*SUM((($D$42:$D$47)/$C272)/(EXP($D$42:$D$47/$C272)-1)-LN(1-EXP(-$D$42:$D$47/$C272)))</f>
        <v>16.731204790173159</v>
      </c>
      <c r="H272" s="243">
        <f t="shared" si="44"/>
        <v>74.398664290093407</v>
      </c>
      <c r="I272" s="316">
        <v>0</v>
      </c>
      <c r="J272" s="275">
        <f t="shared" si="43"/>
        <v>264.16907896147166</v>
      </c>
    </row>
    <row r="273" spans="3:10" ht="19">
      <c r="C273" s="156">
        <f t="shared" si="47"/>
        <v>1300</v>
      </c>
      <c r="D273" s="273">
        <f t="shared" si="45"/>
        <v>0.10667377251418701</v>
      </c>
      <c r="E273" s="274">
        <f t="shared" si="46"/>
        <v>6.1857829970405043E+32</v>
      </c>
      <c r="F273" s="229">
        <f t="shared" si="42"/>
        <v>174.7029776029072</v>
      </c>
      <c r="G273" s="321" cm="1">
        <f t="array" ref="G273">$B$7*SUM((($D$42:$D$47)/$C273)/(EXP($D$42:$D$47/$C273)-1)-LN(1-EXP(-$D$42:$D$47/$C273)))</f>
        <v>18.880871165317451</v>
      </c>
      <c r="H273" s="243">
        <f t="shared" si="44"/>
        <v>75.396924923114653</v>
      </c>
      <c r="I273" s="316">
        <v>0</v>
      </c>
      <c r="J273" s="275">
        <f t="shared" si="43"/>
        <v>268.98077369133932</v>
      </c>
    </row>
    <row r="274" spans="3:10" ht="19">
      <c r="C274" s="156">
        <f t="shared" si="47"/>
        <v>1400</v>
      </c>
      <c r="D274" s="273">
        <f t="shared" si="45"/>
        <v>0.11487944732297062</v>
      </c>
      <c r="E274" s="274">
        <f t="shared" si="46"/>
        <v>6.9130819556596765E+32</v>
      </c>
      <c r="F274" s="229">
        <f t="shared" si="42"/>
        <v>176.24338591209457</v>
      </c>
      <c r="G274" s="321" cm="1">
        <f t="array" ref="G274">$B$7*SUM((($D$42:$D$47)/$C274)/(EXP($D$42:$D$47/$C274)-1)-LN(1-EXP(-$D$42:$D$47/$C274)))</f>
        <v>21.011968212199932</v>
      </c>
      <c r="H274" s="243">
        <f t="shared" si="44"/>
        <v>76.321169908627027</v>
      </c>
      <c r="I274" s="316">
        <v>0</v>
      </c>
      <c r="J274" s="275">
        <f t="shared" si="43"/>
        <v>273.57652403292155</v>
      </c>
    </row>
    <row r="275" spans="3:10" ht="19">
      <c r="C275" s="156">
        <f t="shared" si="47"/>
        <v>1500</v>
      </c>
      <c r="D275" s="273">
        <f t="shared" si="45"/>
        <v>0.12308512213175424</v>
      </c>
      <c r="E275" s="274">
        <f t="shared" si="46"/>
        <v>7.6668424818939479E+32</v>
      </c>
      <c r="F275" s="229">
        <f t="shared" si="42"/>
        <v>177.67747173882228</v>
      </c>
      <c r="G275" s="321" cm="1">
        <f t="array" ref="G275">$B$7*SUM((($D$42:$D$47)/$C275)/(EXP($D$42:$D$47/$C275)-1)-LN(1-EXP(-$D$42:$D$47/$C275)))</f>
        <v>23.115466274176853</v>
      </c>
      <c r="H275" s="243">
        <f t="shared" si="44"/>
        <v>77.181621404663687</v>
      </c>
      <c r="I275" s="316">
        <v>0</v>
      </c>
      <c r="J275" s="275">
        <f t="shared" si="43"/>
        <v>277.97455941766282</v>
      </c>
    </row>
    <row r="276" spans="3:10" ht="19">
      <c r="C276" s="156">
        <f t="shared" si="47"/>
        <v>1600</v>
      </c>
      <c r="D276" s="273">
        <f t="shared" si="45"/>
        <v>0.13129079694053786</v>
      </c>
      <c r="E276" s="274">
        <f t="shared" si="46"/>
        <v>8.4461662578831591E+32</v>
      </c>
      <c r="F276" s="229">
        <f t="shared" si="42"/>
        <v>179.01896943918774</v>
      </c>
      <c r="G276" s="321" cm="1">
        <f t="array" ref="G276">$B$7*SUM((($D$42:$D$47)/$C276)/(EXP($D$42:$D$47/$C276)-1)-LN(1-EXP(-$D$42:$D$47/$C276)))</f>
        <v>25.184609117007888</v>
      </c>
      <c r="H276" s="243">
        <f t="shared" si="44"/>
        <v>77.986520024883021</v>
      </c>
      <c r="I276" s="316">
        <v>0</v>
      </c>
      <c r="J276" s="275">
        <f t="shared" si="43"/>
        <v>282.19009858107864</v>
      </c>
    </row>
    <row r="277" spans="3:10" ht="19">
      <c r="C277" s="156">
        <f t="shared" si="47"/>
        <v>1700</v>
      </c>
      <c r="D277" s="273">
        <f t="shared" si="45"/>
        <v>0.13949647174932148</v>
      </c>
      <c r="E277" s="274">
        <f t="shared" si="46"/>
        <v>9.2502407096447846E+32</v>
      </c>
      <c r="F277" s="229">
        <f t="shared" si="42"/>
        <v>180.2791128282642</v>
      </c>
      <c r="G277" s="321" cm="1">
        <f t="array" ref="G277">$B$7*SUM((($D$42:$D$47)/$C277)/(EXP($D$42:$D$47/$C277)-1)-LN(1-EXP(-$D$42:$D$47/$C277)))</f>
        <v>27.214520980437918</v>
      </c>
      <c r="H277" s="243">
        <f t="shared" si="44"/>
        <v>78.742606058328874</v>
      </c>
      <c r="I277" s="316">
        <v>0</v>
      </c>
      <c r="J277" s="275">
        <f t="shared" si="43"/>
        <v>286.23623986703103</v>
      </c>
    </row>
    <row r="278" spans="3:10" ht="19">
      <c r="C278" s="156">
        <f t="shared" si="47"/>
        <v>1800</v>
      </c>
      <c r="D278" s="273">
        <f t="shared" si="45"/>
        <v>0.1477021465581051</v>
      </c>
      <c r="E278" s="274">
        <f t="shared" si="46"/>
        <v>1.0078326173213323E+33</v>
      </c>
      <c r="F278" s="229">
        <f t="shared" si="42"/>
        <v>181.46720761834143</v>
      </c>
      <c r="G278" s="321" cm="1">
        <f t="array" ref="G278">$B$7*SUM((($D$42:$D$47)/$C278)/(EXP($D$42:$D$47/$C278)-1)-LN(1-EXP(-$D$42:$D$47/$C278)))</f>
        <v>29.201851251735643</v>
      </c>
      <c r="H278" s="243">
        <f t="shared" si="44"/>
        <v>79.45546293237517</v>
      </c>
      <c r="I278" s="316">
        <v>0</v>
      </c>
      <c r="J278" s="275">
        <f t="shared" si="43"/>
        <v>290.12452180245225</v>
      </c>
    </row>
    <row r="279" spans="3:10" ht="19">
      <c r="C279" s="156">
        <f t="shared" si="47"/>
        <v>1900</v>
      </c>
      <c r="D279" s="273">
        <f t="shared" si="45"/>
        <v>0.15590782136688872</v>
      </c>
      <c r="E279" s="274">
        <f t="shared" si="46"/>
        <v>1.0929745599854236E+33</v>
      </c>
      <c r="F279" s="229">
        <f t="shared" si="42"/>
        <v>182.59104887966541</v>
      </c>
      <c r="G279" s="321" cm="1">
        <f t="array" ref="G279">$B$7*SUM((($D$42:$D$47)/$C279)/(EXP($D$42:$D$47/$C279)-1)-LN(1-EXP(-$D$42:$D$47/$C279)))</f>
        <v>31.144463742914695</v>
      </c>
      <c r="H279" s="243">
        <f t="shared" si="44"/>
        <v>80.12976768916954</v>
      </c>
      <c r="I279" s="316">
        <v>0</v>
      </c>
      <c r="J279" s="275">
        <f t="shared" si="43"/>
        <v>293.86528031174964</v>
      </c>
    </row>
    <row r="280" spans="3:10" ht="20" thickBot="1">
      <c r="C280" s="165">
        <f t="shared" si="47"/>
        <v>2000</v>
      </c>
      <c r="D280" s="277">
        <f t="shared" si="45"/>
        <v>0.16411349617567234</v>
      </c>
      <c r="E280" s="278">
        <f t="shared" si="46"/>
        <v>1.1803876188682418E+33</v>
      </c>
      <c r="F280" s="246">
        <f t="shared" si="42"/>
        <v>183.65723129680492</v>
      </c>
      <c r="G280" s="322" cm="1">
        <f t="array" ref="G280">$B$7*SUM((($D$42:$D$47)/$C280)/(EXP($D$42:$D$47/$C280)-1)-LN(1-EXP(-$D$42:$D$47/$C280)))</f>
        <v>33.041173247387526</v>
      </c>
      <c r="H280" s="247">
        <f t="shared" si="44"/>
        <v>80.769477139453301</v>
      </c>
      <c r="I280" s="307">
        <v>0</v>
      </c>
      <c r="J280" s="279">
        <f t="shared" si="43"/>
        <v>297.46788168364571</v>
      </c>
    </row>
  </sheetData>
  <mergeCells count="10">
    <mergeCell ref="A18:V18"/>
    <mergeCell ref="A53:V53"/>
    <mergeCell ref="Z93:AB93"/>
    <mergeCell ref="AG101:AM101"/>
    <mergeCell ref="H198:K198"/>
    <mergeCell ref="D203:E203"/>
    <mergeCell ref="D212:H212"/>
    <mergeCell ref="H239:K239"/>
    <mergeCell ref="D244:E244"/>
    <mergeCell ref="D245:E2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5EBD7-E848-9A45-9D22-F5625ECA3CDC}">
  <dimension ref="A3:AH280"/>
  <sheetViews>
    <sheetView topLeftCell="A150" zoomScale="66" zoomScaleNormal="80" workbookViewId="0">
      <selection activeCell="O183" sqref="O183"/>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21.33203125" customWidth="1"/>
    <col min="16" max="16" width="24" customWidth="1"/>
    <col min="17" max="17" width="21" customWidth="1"/>
    <col min="18" max="18" width="20" customWidth="1"/>
    <col min="21" max="21" width="20.5" customWidth="1"/>
    <col min="22" max="22" width="18.1640625" customWidth="1"/>
    <col min="23" max="23" width="17.1640625" customWidth="1"/>
    <col min="24" max="25" width="16" customWidth="1"/>
    <col min="26" max="26" width="17.6640625" customWidth="1"/>
    <col min="30" max="30" width="15.1640625" customWidth="1"/>
    <col min="31" max="31" width="14" customWidth="1"/>
    <col min="32" max="32" width="17.332031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0" thickBot="1">
      <c r="A18" s="474" t="s">
        <v>32</v>
      </c>
      <c r="B18" s="474"/>
      <c r="C18" s="474"/>
      <c r="D18" s="474"/>
      <c r="E18" s="474"/>
      <c r="F18" s="474"/>
      <c r="G18" s="474"/>
      <c r="H18" s="474"/>
      <c r="I18" s="474"/>
      <c r="J18" s="474"/>
      <c r="K18" s="474"/>
      <c r="L18" s="474"/>
      <c r="M18" s="474"/>
      <c r="N18" s="474"/>
      <c r="O18" s="474"/>
      <c r="P18" s="474"/>
      <c r="Q18" s="474"/>
      <c r="R18" s="474"/>
      <c r="S18" s="474"/>
      <c r="T18" s="474"/>
      <c r="U18" s="474"/>
      <c r="V18" s="474"/>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6.7290000000000003E-2</v>
      </c>
      <c r="E23" s="86">
        <v>1.0772900000000001</v>
      </c>
      <c r="F23" s="87">
        <v>2.33209</v>
      </c>
      <c r="G23" s="66"/>
      <c r="H23" s="88">
        <v>0</v>
      </c>
      <c r="I23" s="89">
        <f>H23*$H$7</f>
        <v>0</v>
      </c>
      <c r="J23" s="89">
        <f>H23*$I$7</f>
        <v>0</v>
      </c>
      <c r="K23" s="90">
        <f>H23*$F$7</f>
        <v>0</v>
      </c>
      <c r="L23" s="91">
        <f>H23*$K$7</f>
        <v>0</v>
      </c>
      <c r="M23" s="66"/>
      <c r="N23" s="66"/>
      <c r="O23" s="92" t="s">
        <v>45</v>
      </c>
      <c r="P23" s="93">
        <v>0.88900000000000001</v>
      </c>
      <c r="Q23" s="94">
        <v>2.9809999999999999</v>
      </c>
      <c r="R23" s="95">
        <v>27.391999999999999</v>
      </c>
      <c r="S23" s="66"/>
      <c r="T23" s="66"/>
      <c r="U23" s="66"/>
      <c r="V23" s="66"/>
      <c r="W23" s="66"/>
      <c r="X23" s="66"/>
      <c r="Y23" s="66"/>
      <c r="Z23" s="66"/>
      <c r="AA23" s="66"/>
    </row>
    <row r="24" spans="1:27" ht="22" thickBot="1">
      <c r="A24" s="65" t="s">
        <v>46</v>
      </c>
      <c r="B24" s="66"/>
      <c r="C24" s="96" t="s">
        <v>47</v>
      </c>
      <c r="D24" s="97">
        <f>D23*$U$9</f>
        <v>1.117014E-28</v>
      </c>
      <c r="E24" s="98">
        <f t="shared" ref="E24:F24" si="0">E23*$U$9</f>
        <v>1.7883014E-27</v>
      </c>
      <c r="F24" s="99">
        <f t="shared" si="0"/>
        <v>3.8712694000000001E-27</v>
      </c>
      <c r="G24" s="66"/>
      <c r="M24" s="66"/>
      <c r="N24" s="66"/>
      <c r="O24" s="100" t="s">
        <v>48</v>
      </c>
      <c r="P24" s="93">
        <v>0</v>
      </c>
      <c r="Q24" s="94">
        <v>0</v>
      </c>
      <c r="R24" s="95">
        <v>1.377</v>
      </c>
      <c r="S24" s="66"/>
      <c r="T24" s="66"/>
      <c r="U24" s="66"/>
      <c r="V24" s="66"/>
      <c r="W24" s="66"/>
      <c r="X24" s="66"/>
      <c r="Y24" s="66"/>
      <c r="Z24" s="66"/>
      <c r="AA24" s="66"/>
    </row>
    <row r="25" spans="1:27" ht="22" thickBot="1">
      <c r="A25" s="71">
        <v>1</v>
      </c>
      <c r="B25" s="66"/>
      <c r="C25" s="101" t="s">
        <v>49</v>
      </c>
      <c r="D25" s="102">
        <f>D24*($Q$8)^2</f>
        <v>1.1170140000000001E-48</v>
      </c>
      <c r="E25" s="103">
        <f>E24*($Q$8)^2</f>
        <v>1.7883014000000001E-47</v>
      </c>
      <c r="F25" s="104">
        <f t="shared" ref="F25" si="1">F24*($Q$8)^2</f>
        <v>3.8712694000000007E-47</v>
      </c>
      <c r="G25" s="66"/>
      <c r="M25" s="66"/>
      <c r="N25" s="66"/>
      <c r="O25" s="100" t="s">
        <v>50</v>
      </c>
      <c r="P25" s="93">
        <v>0.88900000000000001</v>
      </c>
      <c r="Q25" s="94">
        <v>2.9809999999999999</v>
      </c>
      <c r="R25" s="95">
        <v>26.013999999999999</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v>
      </c>
      <c r="Q26" s="94">
        <v>0</v>
      </c>
      <c r="R26" s="95">
        <v>0</v>
      </c>
      <c r="S26" s="66"/>
      <c r="T26" s="66"/>
      <c r="U26" s="66"/>
      <c r="V26" s="66"/>
      <c r="W26" s="66"/>
      <c r="X26" s="66"/>
      <c r="Y26" s="66"/>
      <c r="Z26" s="66"/>
      <c r="AA26" s="66"/>
    </row>
    <row r="27" spans="1:27" ht="20" thickBot="1">
      <c r="A27" s="65" t="s">
        <v>53</v>
      </c>
      <c r="B27" s="66"/>
      <c r="C27" s="65" t="s">
        <v>54</v>
      </c>
      <c r="D27" s="66"/>
      <c r="E27" s="66"/>
      <c r="F27" s="66"/>
      <c r="G27" s="66"/>
      <c r="H27" s="76" t="s">
        <v>40</v>
      </c>
      <c r="I27" s="77" t="s">
        <v>9</v>
      </c>
      <c r="J27" s="77" t="s">
        <v>10</v>
      </c>
      <c r="K27" s="78" t="s">
        <v>7</v>
      </c>
      <c r="L27" s="79" t="s">
        <v>12</v>
      </c>
      <c r="M27" s="66"/>
      <c r="N27" s="66"/>
      <c r="O27" s="105" t="s">
        <v>55</v>
      </c>
      <c r="P27" s="106">
        <v>0</v>
      </c>
      <c r="Q27" s="107">
        <v>0</v>
      </c>
      <c r="R27" s="108">
        <v>0</v>
      </c>
      <c r="S27" s="66"/>
      <c r="T27" s="66"/>
      <c r="U27" s="66"/>
      <c r="V27" s="66"/>
      <c r="W27" s="66"/>
      <c r="X27" s="66"/>
      <c r="Y27" s="66"/>
      <c r="Z27" s="66"/>
      <c r="AA27" s="66"/>
    </row>
    <row r="28" spans="1:27" ht="20" thickBot="1">
      <c r="A28" s="71">
        <v>1.00783</v>
      </c>
      <c r="B28" s="66"/>
      <c r="C28" s="109" t="s">
        <v>37</v>
      </c>
      <c r="D28" s="110" t="s">
        <v>38</v>
      </c>
      <c r="E28" s="111" t="s">
        <v>39</v>
      </c>
      <c r="F28" s="66"/>
      <c r="G28" s="66"/>
      <c r="H28" s="112">
        <v>1.4159999999999999E-3</v>
      </c>
      <c r="I28" s="89">
        <f>H28*$H$7</f>
        <v>0.88854424799999998</v>
      </c>
      <c r="J28" s="89">
        <f>H28*$I$7</f>
        <v>3.717708</v>
      </c>
      <c r="K28" s="113">
        <f>H28*$F$7</f>
        <v>3.85303512E-2</v>
      </c>
      <c r="L28" s="91">
        <f>H28*$K$7</f>
        <v>6.1737599999999998E-21</v>
      </c>
      <c r="M28" s="66"/>
      <c r="N28" s="66"/>
      <c r="O28" s="66"/>
      <c r="P28" s="66"/>
      <c r="Q28" s="66"/>
      <c r="R28" s="66"/>
      <c r="S28" s="66"/>
      <c r="T28" s="66"/>
      <c r="U28" s="66"/>
      <c r="V28" s="66"/>
      <c r="W28" s="66"/>
      <c r="X28" s="66"/>
      <c r="Y28" s="66"/>
      <c r="Z28" s="66"/>
      <c r="AA28" s="66"/>
    </row>
    <row r="29" spans="1:27" ht="20" thickBot="1">
      <c r="A29" s="66"/>
      <c r="B29" s="66"/>
      <c r="C29" s="114" t="s">
        <v>56</v>
      </c>
      <c r="D29" s="115" t="s">
        <v>56</v>
      </c>
      <c r="E29" s="115" t="s">
        <v>56</v>
      </c>
      <c r="F29" s="66"/>
      <c r="G29" s="66"/>
      <c r="L29" s="66"/>
      <c r="M29" s="66"/>
      <c r="N29" s="66"/>
      <c r="O29" s="66"/>
      <c r="P29" s="66"/>
      <c r="Q29" s="66"/>
      <c r="R29" s="66"/>
      <c r="S29" s="66"/>
      <c r="T29" s="66"/>
      <c r="U29" s="66"/>
      <c r="V29" s="66"/>
      <c r="W29" s="66"/>
      <c r="X29" s="66"/>
      <c r="Y29" s="66"/>
      <c r="Z29" s="66"/>
      <c r="AA29" s="66"/>
    </row>
    <row r="30" spans="1:27" ht="20" thickBot="1">
      <c r="A30" s="65" t="s">
        <v>57</v>
      </c>
      <c r="B30" s="66"/>
      <c r="F30" s="66"/>
      <c r="G30" s="66"/>
      <c r="M30" s="66"/>
      <c r="O30" s="116" t="s">
        <v>58</v>
      </c>
      <c r="P30" s="117"/>
      <c r="Q30" s="117"/>
      <c r="R30" s="118"/>
      <c r="S30" s="66"/>
      <c r="T30" s="66"/>
      <c r="U30" s="66"/>
      <c r="V30" s="66"/>
      <c r="W30" s="66"/>
      <c r="X30" s="66"/>
      <c r="Y30" s="66"/>
      <c r="Z30" s="66"/>
      <c r="AA30" s="66"/>
    </row>
    <row r="31" spans="1:27" ht="20" thickBot="1">
      <c r="A31" s="71" t="s">
        <v>56</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2</v>
      </c>
      <c r="Q32" s="125">
        <v>0.30103000000000002</v>
      </c>
      <c r="R32" s="125">
        <v>0.69314699999999996</v>
      </c>
      <c r="S32" s="66"/>
      <c r="T32" s="66"/>
      <c r="U32" s="66"/>
      <c r="V32" s="66"/>
      <c r="W32" s="66"/>
      <c r="X32" s="66"/>
      <c r="Y32" s="66"/>
      <c r="Z32" s="66"/>
      <c r="AA32" s="66"/>
    </row>
    <row r="33" spans="1:27" ht="20" thickBot="1">
      <c r="A33" s="66"/>
      <c r="B33" s="66"/>
      <c r="C33" s="126" t="s">
        <v>56</v>
      </c>
      <c r="D33" s="127" t="s">
        <v>56</v>
      </c>
      <c r="E33" s="127" t="s">
        <v>56</v>
      </c>
      <c r="F33" s="66"/>
      <c r="G33" s="66"/>
      <c r="H33" s="112">
        <v>2.3600000000000001E-3</v>
      </c>
      <c r="I33" s="89">
        <f>H33*$H$7</f>
        <v>1.4809070800000002</v>
      </c>
      <c r="J33" s="89">
        <f>H33*$I$7</f>
        <v>6.19618</v>
      </c>
      <c r="K33" s="113">
        <f>H33*$F$7</f>
        <v>6.4217252000000002E-2</v>
      </c>
      <c r="L33" s="91">
        <f>H33*$K$7</f>
        <v>1.02896E-20</v>
      </c>
      <c r="M33" s="66"/>
      <c r="N33" s="66"/>
      <c r="O33" s="100" t="s">
        <v>50</v>
      </c>
      <c r="P33" s="93">
        <v>39767.9</v>
      </c>
      <c r="Q33" s="94">
        <v>4.5995330000000001</v>
      </c>
      <c r="R33" s="94">
        <v>10.590816</v>
      </c>
      <c r="S33" s="66"/>
      <c r="T33" s="66"/>
      <c r="U33" s="66"/>
      <c r="V33" s="66"/>
      <c r="W33" s="66"/>
      <c r="X33" s="66"/>
      <c r="Y33" s="66"/>
      <c r="Z33" s="66"/>
      <c r="AA33" s="66"/>
    </row>
    <row r="34" spans="1:27" ht="19">
      <c r="A34" s="66"/>
      <c r="B34" s="66"/>
      <c r="E34" s="66"/>
      <c r="F34" s="66"/>
      <c r="G34" s="66"/>
      <c r="M34" s="66"/>
      <c r="N34" s="66"/>
      <c r="O34" s="100" t="s">
        <v>52</v>
      </c>
      <c r="P34" s="93">
        <v>1</v>
      </c>
      <c r="Q34" s="94">
        <v>0</v>
      </c>
      <c r="R34" s="94">
        <v>0</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79535.8</v>
      </c>
      <c r="Q35" s="94">
        <v>4.900563</v>
      </c>
      <c r="R35" s="94">
        <v>11.283963</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79535.8</v>
      </c>
      <c r="Q36" s="94">
        <v>4.900563</v>
      </c>
      <c r="R36" s="94">
        <v>11.283963</v>
      </c>
      <c r="S36" s="66"/>
      <c r="T36" s="66"/>
      <c r="U36" s="66"/>
      <c r="V36" s="66"/>
      <c r="W36" s="66"/>
      <c r="X36" s="66"/>
      <c r="Y36" s="66"/>
      <c r="Z36" s="66"/>
      <c r="AA36" s="66"/>
    </row>
    <row r="37" spans="1:27" ht="20" thickBot="1">
      <c r="A37" s="66"/>
      <c r="B37" s="66"/>
      <c r="C37" s="128" t="s">
        <v>68</v>
      </c>
      <c r="D37" s="129">
        <v>0</v>
      </c>
      <c r="E37" s="66"/>
      <c r="F37" s="66"/>
      <c r="H37" s="76" t="s">
        <v>40</v>
      </c>
      <c r="I37" s="77" t="s">
        <v>9</v>
      </c>
      <c r="J37" s="77" t="s">
        <v>10</v>
      </c>
      <c r="K37" s="79" t="s">
        <v>7</v>
      </c>
      <c r="L37" s="79" t="s">
        <v>12</v>
      </c>
      <c r="M37" s="66"/>
      <c r="N37" s="66"/>
      <c r="O37" s="100" t="s">
        <v>69</v>
      </c>
      <c r="P37" s="93">
        <v>1</v>
      </c>
      <c r="Q37" s="94">
        <v>0</v>
      </c>
      <c r="R37" s="94">
        <v>0</v>
      </c>
      <c r="S37" s="66"/>
      <c r="T37" s="66"/>
      <c r="U37" s="66"/>
      <c r="V37" s="66"/>
      <c r="W37" s="66"/>
      <c r="X37" s="66"/>
      <c r="Y37" s="66"/>
      <c r="Z37" s="66"/>
      <c r="AA37" s="66"/>
    </row>
    <row r="38" spans="1:27" ht="20" thickBot="1">
      <c r="A38" s="66"/>
      <c r="B38" s="66"/>
      <c r="C38" s="130" t="s">
        <v>70</v>
      </c>
      <c r="D38" s="131">
        <v>0</v>
      </c>
      <c r="E38" s="66"/>
      <c r="F38" s="66"/>
      <c r="H38" s="112">
        <v>-1.0654E-2</v>
      </c>
      <c r="I38" s="89">
        <f>H38*$H$7</f>
        <v>-6.6854169620000006</v>
      </c>
      <c r="J38" s="89">
        <f>H38*$I$7</f>
        <v>-27.972077000000002</v>
      </c>
      <c r="K38" s="113">
        <f>H38*$F$7</f>
        <v>-0.2899027978</v>
      </c>
      <c r="L38" s="91">
        <f>H38*$K$7</f>
        <v>-4.645144E-20</v>
      </c>
      <c r="M38" s="66"/>
      <c r="N38" s="66"/>
      <c r="O38" s="105" t="s">
        <v>71</v>
      </c>
      <c r="P38" s="93">
        <v>1</v>
      </c>
      <c r="Q38" s="94">
        <v>0</v>
      </c>
      <c r="R38" s="94">
        <v>0</v>
      </c>
      <c r="S38" s="66"/>
      <c r="T38" s="66"/>
      <c r="U38" s="66"/>
      <c r="V38" s="66"/>
      <c r="W38" s="66"/>
      <c r="X38" s="66"/>
      <c r="Y38" s="66"/>
      <c r="Z38" s="66"/>
      <c r="AA38" s="66"/>
    </row>
    <row r="39" spans="1:27" ht="19">
      <c r="A39" s="66"/>
      <c r="B39" s="66"/>
      <c r="C39" s="66"/>
      <c r="D39" s="66"/>
      <c r="E39" s="66"/>
      <c r="F39" s="66"/>
      <c r="J39" s="66"/>
      <c r="K39" s="66"/>
      <c r="L39" s="66"/>
      <c r="M39" s="66"/>
      <c r="N39" s="66"/>
      <c r="O39" s="132"/>
      <c r="P39" s="66"/>
      <c r="Q39" s="66"/>
      <c r="R39" s="66"/>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133" t="s">
        <v>72</v>
      </c>
      <c r="E41" s="134" t="s">
        <v>73</v>
      </c>
      <c r="F41" s="135" t="s">
        <v>74</v>
      </c>
      <c r="G41" s="136" t="s">
        <v>75</v>
      </c>
      <c r="I41" s="66"/>
      <c r="J41" s="66"/>
      <c r="K41" s="66"/>
      <c r="L41" s="66"/>
      <c r="M41" s="66"/>
      <c r="N41" s="66"/>
      <c r="O41" s="66"/>
      <c r="P41" s="66"/>
      <c r="Q41" s="66"/>
      <c r="R41" s="66"/>
      <c r="S41" s="66"/>
      <c r="T41" s="66"/>
      <c r="U41" s="66"/>
      <c r="V41" s="66"/>
      <c r="W41" s="66"/>
      <c r="X41" s="66"/>
      <c r="Y41" s="66"/>
      <c r="Z41" s="66"/>
      <c r="AA41" s="66"/>
    </row>
    <row r="42" spans="1:27" ht="20" thickBot="1">
      <c r="A42" s="66"/>
      <c r="B42" s="66"/>
      <c r="C42" s="137">
        <v>1</v>
      </c>
      <c r="D42" s="138" t="s">
        <v>56</v>
      </c>
      <c r="E42" s="138" t="s">
        <v>56</v>
      </c>
      <c r="F42" s="138" t="s">
        <v>56</v>
      </c>
      <c r="G42" s="138" t="s">
        <v>56</v>
      </c>
      <c r="H42" s="139"/>
      <c r="K42" s="66"/>
      <c r="L42" s="66"/>
      <c r="M42" s="66"/>
      <c r="N42" s="66"/>
      <c r="O42" s="66"/>
      <c r="P42" s="66"/>
      <c r="Q42" s="66"/>
      <c r="R42" s="66"/>
      <c r="S42" s="66"/>
      <c r="T42" s="66"/>
      <c r="U42" s="66"/>
      <c r="V42" s="66"/>
      <c r="W42" s="66"/>
      <c r="X42" s="66"/>
      <c r="Y42" s="66"/>
      <c r="Z42" s="66"/>
      <c r="AA42" s="66"/>
    </row>
    <row r="43" spans="1:27" ht="19">
      <c r="A43" s="66"/>
      <c r="B43" s="66"/>
      <c r="C43" s="139"/>
      <c r="D43" s="66"/>
      <c r="E43" s="66"/>
      <c r="F43" s="140"/>
      <c r="G43" s="66"/>
      <c r="H43" s="139"/>
      <c r="K43" s="66"/>
      <c r="L43" s="66"/>
      <c r="M43" s="66"/>
      <c r="N43" s="66"/>
      <c r="O43" s="66"/>
      <c r="P43" s="66"/>
      <c r="Q43" s="66"/>
      <c r="R43" s="66"/>
      <c r="S43" s="66"/>
      <c r="T43" s="66"/>
      <c r="U43" s="66"/>
      <c r="V43" s="66"/>
      <c r="W43" s="66"/>
      <c r="X43" s="66"/>
      <c r="Y43" s="66"/>
      <c r="Z43" s="66"/>
      <c r="AA43" s="66"/>
    </row>
    <row r="44" spans="1:27" ht="20" thickBot="1">
      <c r="A44" s="66"/>
      <c r="B44" s="66"/>
      <c r="C44" s="139"/>
      <c r="D44" s="66"/>
      <c r="E44" s="66"/>
      <c r="F44" s="140"/>
      <c r="G44" s="66"/>
      <c r="H44" s="139"/>
      <c r="J44" s="141" t="s">
        <v>76</v>
      </c>
      <c r="M44" s="66"/>
      <c r="N44" s="66"/>
      <c r="O44" s="66"/>
      <c r="P44" s="66"/>
      <c r="Q44" s="66"/>
      <c r="R44" s="66"/>
      <c r="S44" s="66"/>
      <c r="T44" s="66"/>
      <c r="U44" s="66"/>
      <c r="V44" s="66"/>
      <c r="W44" s="66"/>
      <c r="X44" s="66"/>
      <c r="Y44" s="66"/>
      <c r="Z44" s="66"/>
      <c r="AA44" s="66"/>
    </row>
    <row r="45" spans="1:27" ht="20" thickBot="1">
      <c r="A45" s="66"/>
      <c r="B45" s="66"/>
      <c r="C45" s="139"/>
      <c r="D45" s="66"/>
      <c r="E45" s="66"/>
      <c r="F45" s="140"/>
      <c r="G45" s="66"/>
      <c r="H45" s="139"/>
      <c r="J45" s="142">
        <v>1</v>
      </c>
      <c r="K45" s="143">
        <f>J45+1</f>
        <v>2</v>
      </c>
      <c r="L45" s="139"/>
      <c r="M45" s="66"/>
      <c r="N45" s="66"/>
      <c r="O45" s="66"/>
      <c r="P45" s="66"/>
      <c r="Q45" s="66"/>
      <c r="R45" s="66"/>
      <c r="S45" s="66"/>
      <c r="T45" s="66"/>
      <c r="U45" s="66"/>
      <c r="V45" s="66"/>
      <c r="W45" s="66"/>
      <c r="X45" s="66"/>
      <c r="Y45" s="66"/>
      <c r="Z45" s="66"/>
      <c r="AA45" s="66"/>
    </row>
    <row r="46" spans="1:27" ht="20" thickBot="1">
      <c r="A46" s="66"/>
      <c r="B46" s="66"/>
      <c r="C46" s="139"/>
      <c r="D46" s="66"/>
      <c r="E46" s="66"/>
      <c r="F46" s="140"/>
      <c r="G46" s="66"/>
      <c r="H46" s="139"/>
      <c r="J46" s="144">
        <v>-0.50027278419099996</v>
      </c>
      <c r="K46" s="145">
        <v>-0.50027278419099996</v>
      </c>
      <c r="L46" s="146"/>
      <c r="M46" s="66"/>
      <c r="N46" s="66"/>
      <c r="O46" s="66"/>
      <c r="P46" s="66"/>
      <c r="Q46" s="66"/>
      <c r="R46" s="66"/>
      <c r="S46" s="66"/>
      <c r="T46" s="66"/>
      <c r="U46" s="66"/>
      <c r="V46" s="66"/>
      <c r="W46" s="66"/>
      <c r="X46" s="66"/>
      <c r="Y46" s="66"/>
      <c r="Z46" s="66"/>
      <c r="AA46" s="66"/>
    </row>
    <row r="47" spans="1:27" ht="19">
      <c r="A47" s="66"/>
      <c r="B47" s="66"/>
      <c r="C47" s="139"/>
      <c r="D47" s="66"/>
      <c r="E47" s="66"/>
      <c r="F47" s="140"/>
      <c r="G47" s="66"/>
      <c r="H47" s="139"/>
      <c r="K47" s="66"/>
      <c r="L47" s="66"/>
      <c r="M47" s="66"/>
      <c r="N47" s="66"/>
      <c r="O47" s="66"/>
      <c r="P47" s="66"/>
      <c r="Q47" s="66"/>
      <c r="R47" s="66"/>
      <c r="S47" s="66"/>
      <c r="T47" s="66"/>
      <c r="U47" s="66"/>
      <c r="V47" s="66"/>
      <c r="W47" s="66"/>
      <c r="X47" s="66"/>
      <c r="Y47" s="66"/>
      <c r="Z47" s="66"/>
      <c r="AA47" s="66"/>
    </row>
    <row r="48" spans="1:27" ht="19">
      <c r="A48" s="66"/>
      <c r="B48" s="66"/>
      <c r="C48" s="139"/>
      <c r="D48" s="66"/>
      <c r="E48" s="66"/>
      <c r="F48" s="140"/>
      <c r="G48" s="66"/>
      <c r="H48" s="139"/>
      <c r="K48" s="66"/>
      <c r="L48" s="66"/>
      <c r="M48" s="66"/>
      <c r="N48" s="66"/>
      <c r="O48" s="66"/>
      <c r="P48" s="66"/>
      <c r="Q48" s="66"/>
      <c r="R48" s="66"/>
      <c r="S48" s="66"/>
      <c r="T48" s="66"/>
      <c r="U48" s="66"/>
      <c r="V48" s="66"/>
      <c r="W48" s="66"/>
      <c r="X48" s="66"/>
      <c r="Y48" s="66"/>
      <c r="Z48" s="66"/>
      <c r="AA48" s="66"/>
    </row>
    <row r="49" spans="1:27" ht="19">
      <c r="A49" s="66"/>
      <c r="B49" s="66"/>
      <c r="C49" s="139"/>
      <c r="D49" s="66"/>
      <c r="E49" s="66"/>
      <c r="F49" s="140"/>
      <c r="G49" s="66"/>
      <c r="H49" s="139"/>
      <c r="K49" s="66"/>
      <c r="L49" s="66"/>
      <c r="M49" s="66"/>
      <c r="N49" s="66"/>
      <c r="O49" s="66"/>
      <c r="P49" s="66"/>
      <c r="Q49" s="66"/>
      <c r="R49" s="66"/>
      <c r="S49" s="66"/>
      <c r="T49" s="66"/>
      <c r="U49" s="66"/>
      <c r="V49" s="66"/>
      <c r="W49" s="66"/>
      <c r="X49" s="66"/>
      <c r="Y49" s="66"/>
      <c r="Z49" s="66"/>
      <c r="AA49" s="66"/>
    </row>
    <row r="50" spans="1:27" ht="19">
      <c r="A50" s="66"/>
      <c r="B50" s="66"/>
      <c r="C50" s="139"/>
      <c r="D50" s="66"/>
      <c r="E50" s="66"/>
      <c r="F50" s="140"/>
      <c r="G50" s="66"/>
      <c r="H50" s="139"/>
      <c r="K50" s="66"/>
      <c r="L50" s="66"/>
      <c r="M50" s="66"/>
      <c r="N50" s="66"/>
      <c r="O50" s="66"/>
      <c r="P50" s="66"/>
      <c r="Q50" s="66"/>
      <c r="R50" s="66"/>
      <c r="S50" s="66"/>
      <c r="T50" s="66"/>
      <c r="U50" s="66"/>
      <c r="V50" s="66"/>
      <c r="W50" s="66"/>
      <c r="X50" s="66"/>
      <c r="Y50" s="66"/>
      <c r="Z50" s="66"/>
      <c r="AA50" s="66"/>
    </row>
    <row r="51" spans="1:27" ht="19">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27" ht="1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ht="30" thickBot="1">
      <c r="A53" s="474" t="s">
        <v>77</v>
      </c>
      <c r="B53" s="474"/>
      <c r="C53" s="474"/>
      <c r="D53" s="474"/>
      <c r="E53" s="474"/>
      <c r="F53" s="474"/>
      <c r="G53" s="474"/>
      <c r="H53" s="474"/>
      <c r="I53" s="474"/>
      <c r="J53" s="474"/>
      <c r="K53" s="474"/>
      <c r="L53" s="474"/>
      <c r="M53" s="474"/>
      <c r="N53" s="474"/>
      <c r="O53" s="474"/>
      <c r="P53" s="474"/>
      <c r="Q53" s="474"/>
      <c r="R53" s="474"/>
      <c r="S53" s="474"/>
      <c r="T53" s="474"/>
      <c r="U53" s="474"/>
      <c r="V53" s="474"/>
      <c r="W53" s="66"/>
      <c r="X53" s="66"/>
      <c r="Y53" s="66"/>
      <c r="Z53" s="66"/>
      <c r="AA53" s="66"/>
    </row>
    <row r="54" spans="1:27" ht="20" thickTop="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ht="19">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row>
    <row r="56" spans="1:27"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row>
    <row r="57" spans="1:27"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c r="B64" s="66"/>
      <c r="C64" s="149" t="s">
        <v>80</v>
      </c>
      <c r="D64" s="150" t="s">
        <v>81</v>
      </c>
      <c r="E64" s="149" t="s">
        <v>82</v>
      </c>
      <c r="F64" s="66"/>
      <c r="G64" s="66"/>
      <c r="H64" s="151" t="s">
        <v>83</v>
      </c>
      <c r="I64" s="152"/>
      <c r="J64" s="152"/>
      <c r="K64" s="152"/>
      <c r="L64" s="152"/>
      <c r="M64" s="152"/>
      <c r="N64" s="152"/>
      <c r="O64" s="66"/>
      <c r="Q64" s="66"/>
      <c r="R64" s="66"/>
      <c r="S64" s="66"/>
      <c r="T64" s="66"/>
      <c r="U64" s="66"/>
      <c r="V64" s="66"/>
      <c r="W64" s="66"/>
      <c r="X64" s="66"/>
      <c r="Y64" s="66"/>
      <c r="Z64" s="66"/>
      <c r="AA64" s="66"/>
    </row>
    <row r="65" spans="2:27" ht="20" thickBot="1">
      <c r="B65" s="66"/>
      <c r="C65" s="153">
        <v>298.14999999999998</v>
      </c>
      <c r="D65" s="154">
        <f t="shared" ref="D65:D83" si="2">C65*$B$8/$B$16</f>
        <v>4.0625788058228471E-26</v>
      </c>
      <c r="E65" s="155">
        <f xml:space="preserve"> (2*PI()*$A$28*$U$9*$B$8*C65/($B$14^2))^(3/2)*D65</f>
        <v>39748.853510380723</v>
      </c>
      <c r="F65" s="140"/>
      <c r="G65" s="66"/>
      <c r="H65" s="66"/>
      <c r="I65" s="66"/>
      <c r="J65" s="66"/>
      <c r="K65" s="66"/>
      <c r="L65" s="66"/>
      <c r="M65" s="66"/>
      <c r="N65" s="66"/>
      <c r="O65" s="66"/>
      <c r="Q65" s="66"/>
      <c r="R65" s="66"/>
      <c r="S65" s="66"/>
      <c r="T65" s="66"/>
      <c r="U65" s="66"/>
      <c r="V65" s="66"/>
      <c r="W65" s="66"/>
      <c r="X65" s="66"/>
      <c r="Y65" s="66"/>
      <c r="Z65" s="66"/>
      <c r="AA65" s="66"/>
    </row>
    <row r="66" spans="2:27" ht="20" thickBot="1">
      <c r="B66" s="66"/>
      <c r="C66" s="153">
        <v>300</v>
      </c>
      <c r="D66" s="154">
        <f t="shared" si="2"/>
        <v>4.0877868245743891E-26</v>
      </c>
      <c r="E66" s="155">
        <f xml:space="preserve"> (2*PI()*$A$28*$U$9*$B$8*C66/($B$14^2))^(3/2)*D66</f>
        <v>40368.323106654447</v>
      </c>
      <c r="F66" s="66"/>
      <c r="G66" s="66"/>
      <c r="L66" s="149" t="s">
        <v>84</v>
      </c>
      <c r="M66" s="66"/>
      <c r="N66" s="66"/>
      <c r="O66" s="66"/>
      <c r="Q66" s="66"/>
      <c r="R66" s="66"/>
      <c r="S66" s="66"/>
      <c r="T66" s="66"/>
      <c r="U66" s="66"/>
      <c r="V66" s="66"/>
      <c r="W66" s="66"/>
      <c r="X66" s="66"/>
      <c r="Y66" s="66"/>
      <c r="Z66" s="66"/>
      <c r="AA66" s="66"/>
    </row>
    <row r="67" spans="2:27" ht="19">
      <c r="B67" s="66"/>
      <c r="C67" s="156">
        <f>C66+100</f>
        <v>400</v>
      </c>
      <c r="D67" s="157">
        <f t="shared" si="2"/>
        <v>5.4503824327658529E-26</v>
      </c>
      <c r="E67" s="158">
        <f t="shared" ref="E67:E83" si="3" xml:space="preserve"> (2*PI()*$A$28*$U$9*$B$8*C67/($B$14^2))^(3/2)*D67</f>
        <v>82868.132310616726</v>
      </c>
      <c r="F67" s="66"/>
      <c r="G67" s="66"/>
      <c r="K67" s="159" t="s">
        <v>85</v>
      </c>
      <c r="L67" s="160">
        <f>$E$65</f>
        <v>39748.853510380723</v>
      </c>
      <c r="M67" s="66"/>
      <c r="N67" s="66"/>
      <c r="O67" s="66"/>
      <c r="Q67" s="66"/>
      <c r="R67" s="66"/>
      <c r="S67" s="66"/>
      <c r="T67" s="66"/>
      <c r="U67" s="66"/>
      <c r="V67" s="66"/>
      <c r="W67" s="66"/>
      <c r="X67" s="66"/>
      <c r="Y67" s="66"/>
      <c r="Z67" s="66"/>
      <c r="AA67" s="66"/>
    </row>
    <row r="68" spans="2:27" ht="20" thickBot="1">
      <c r="B68" s="66"/>
      <c r="C68" s="156">
        <f t="shared" ref="C68:C83" si="4">C67+100</f>
        <v>500</v>
      </c>
      <c r="D68" s="157">
        <f t="shared" si="2"/>
        <v>6.812978040957315E-26</v>
      </c>
      <c r="E68" s="158">
        <f t="shared" si="3"/>
        <v>144764.66954295631</v>
      </c>
      <c r="F68" s="66"/>
      <c r="G68" s="66"/>
      <c r="K68" s="161" t="s">
        <v>86</v>
      </c>
      <c r="L68" s="162">
        <f>P33</f>
        <v>39767.9</v>
      </c>
      <c r="M68" s="66"/>
      <c r="N68" s="66"/>
      <c r="O68" s="66"/>
      <c r="Q68" s="66"/>
      <c r="R68" s="66"/>
      <c r="S68" s="66"/>
      <c r="T68" s="66"/>
      <c r="U68" s="66"/>
      <c r="V68" s="66"/>
      <c r="W68" s="66"/>
      <c r="X68" s="66"/>
      <c r="Y68" s="66"/>
      <c r="Z68" s="66"/>
      <c r="AA68" s="66"/>
    </row>
    <row r="69" spans="2:27" ht="22">
      <c r="B69" s="66"/>
      <c r="C69" s="156">
        <f t="shared" si="4"/>
        <v>600</v>
      </c>
      <c r="D69" s="157">
        <f t="shared" si="2"/>
        <v>8.1755736491487783E-26</v>
      </c>
      <c r="E69" s="158">
        <f t="shared" si="3"/>
        <v>228357.72011076027</v>
      </c>
      <c r="F69" s="66"/>
      <c r="G69" s="66"/>
      <c r="H69" s="66"/>
      <c r="I69" s="66"/>
      <c r="K69" s="163" t="s">
        <v>87</v>
      </c>
      <c r="L69" s="164">
        <f>ABS(L67-L68)/L67</f>
        <v>4.7917079204069958E-4</v>
      </c>
      <c r="M69" s="66"/>
      <c r="N69" s="66"/>
      <c r="O69" s="66"/>
      <c r="Q69" s="66"/>
      <c r="R69" s="66"/>
      <c r="S69" s="66"/>
      <c r="T69" s="66"/>
      <c r="U69" s="66"/>
      <c r="V69" s="66"/>
      <c r="W69" s="66"/>
      <c r="X69" s="66"/>
      <c r="Y69" s="66"/>
      <c r="Z69" s="66"/>
      <c r="AA69" s="66"/>
    </row>
    <row r="70" spans="2:27" ht="19">
      <c r="B70" s="66"/>
      <c r="C70" s="156">
        <f t="shared" si="4"/>
        <v>700</v>
      </c>
      <c r="D70" s="157">
        <f t="shared" si="2"/>
        <v>9.5381692573402415E-26</v>
      </c>
      <c r="E70" s="158">
        <f t="shared" si="3"/>
        <v>335724.21923775156</v>
      </c>
      <c r="F70" s="66"/>
      <c r="G70" s="66"/>
      <c r="Q70" s="66"/>
      <c r="R70" s="66"/>
      <c r="S70" s="66"/>
      <c r="T70" s="66"/>
      <c r="U70" s="66"/>
      <c r="V70" s="66"/>
      <c r="W70" s="66"/>
      <c r="X70" s="66"/>
      <c r="Y70" s="66"/>
      <c r="Z70" s="66"/>
      <c r="AA70" s="66"/>
    </row>
    <row r="71" spans="2:27" ht="19">
      <c r="B71" s="66"/>
      <c r="C71" s="156">
        <f t="shared" si="4"/>
        <v>800</v>
      </c>
      <c r="D71" s="157">
        <f t="shared" si="2"/>
        <v>1.0900764865531706E-25</v>
      </c>
      <c r="E71" s="158">
        <f t="shared" si="3"/>
        <v>468772.94640881027</v>
      </c>
      <c r="F71" s="66"/>
      <c r="G71" s="66"/>
      <c r="Q71" s="66"/>
      <c r="R71" s="66"/>
      <c r="S71" s="66"/>
      <c r="T71" s="66"/>
      <c r="U71" s="66"/>
      <c r="V71" s="66"/>
      <c r="W71" s="66"/>
      <c r="X71" s="66"/>
      <c r="Y71" s="66"/>
      <c r="Z71" s="66"/>
      <c r="AA71" s="66"/>
    </row>
    <row r="72" spans="2:27" ht="19">
      <c r="B72" s="66"/>
      <c r="C72" s="156">
        <f t="shared" si="4"/>
        <v>900</v>
      </c>
      <c r="D72" s="157">
        <f t="shared" si="2"/>
        <v>1.2263360473723168E-25</v>
      </c>
      <c r="E72" s="158">
        <f t="shared" si="3"/>
        <v>629279.87973373779</v>
      </c>
      <c r="F72" s="66"/>
      <c r="G72" s="66"/>
      <c r="Q72" s="66"/>
      <c r="R72" s="66"/>
      <c r="S72" s="66"/>
      <c r="T72" s="66"/>
      <c r="U72" s="66"/>
      <c r="V72" s="66"/>
      <c r="W72" s="66"/>
      <c r="X72" s="66"/>
      <c r="Y72" s="66"/>
      <c r="Z72" s="66"/>
      <c r="AA72" s="66"/>
    </row>
    <row r="73" spans="2:27" ht="19">
      <c r="C73" s="156">
        <f t="shared" si="4"/>
        <v>1000</v>
      </c>
      <c r="D73" s="157">
        <f t="shared" si="2"/>
        <v>1.362595608191463E-25</v>
      </c>
      <c r="E73" s="158">
        <f t="shared" si="3"/>
        <v>818912.6360804349</v>
      </c>
    </row>
    <row r="74" spans="2:27" ht="19">
      <c r="C74" s="156">
        <f t="shared" si="4"/>
        <v>1100</v>
      </c>
      <c r="D74" s="157">
        <f t="shared" si="2"/>
        <v>1.4988551690106094E-25</v>
      </c>
      <c r="E74" s="158">
        <f t="shared" si="3"/>
        <v>1039248.2105053912</v>
      </c>
    </row>
    <row r="75" spans="2:27" ht="19">
      <c r="C75" s="156">
        <f t="shared" si="4"/>
        <v>1200</v>
      </c>
      <c r="D75" s="157">
        <f t="shared" si="2"/>
        <v>1.6351147298297557E-25</v>
      </c>
      <c r="E75" s="158">
        <f t="shared" si="3"/>
        <v>1291786.3394129495</v>
      </c>
    </row>
    <row r="76" spans="2:27" ht="19">
      <c r="C76" s="156">
        <f t="shared" si="4"/>
        <v>1300</v>
      </c>
      <c r="D76" s="157">
        <f t="shared" si="2"/>
        <v>1.7713742906489019E-25</v>
      </c>
      <c r="E76" s="158">
        <f t="shared" si="3"/>
        <v>1577959.8664058954</v>
      </c>
    </row>
    <row r="77" spans="2:27" ht="19">
      <c r="C77" s="156">
        <f t="shared" si="4"/>
        <v>1400</v>
      </c>
      <c r="D77" s="157">
        <f t="shared" si="2"/>
        <v>1.9076338514680483E-25</v>
      </c>
      <c r="E77" s="158">
        <f t="shared" si="3"/>
        <v>1899142.9762525919</v>
      </c>
    </row>
    <row r="78" spans="2:27" ht="19">
      <c r="C78" s="156">
        <f t="shared" si="4"/>
        <v>1500</v>
      </c>
      <c r="D78" s="157">
        <f t="shared" si="2"/>
        <v>2.043893412287195E-25</v>
      </c>
      <c r="E78" s="158">
        <f t="shared" si="3"/>
        <v>2256657.865103865</v>
      </c>
    </row>
    <row r="79" spans="2:27" ht="19">
      <c r="C79" s="156">
        <f t="shared" si="4"/>
        <v>1600</v>
      </c>
      <c r="D79" s="157">
        <f t="shared" si="2"/>
        <v>2.1801529731063412E-25</v>
      </c>
      <c r="E79" s="158">
        <f t="shared" si="3"/>
        <v>2651780.2339397119</v>
      </c>
    </row>
    <row r="80" spans="2:27" ht="19">
      <c r="C80" s="156">
        <f t="shared" si="4"/>
        <v>1700</v>
      </c>
      <c r="D80" s="157">
        <f t="shared" si="2"/>
        <v>2.3164125339254876E-25</v>
      </c>
      <c r="E80" s="158">
        <f t="shared" si="3"/>
        <v>3085743.8770825602</v>
      </c>
    </row>
    <row r="81" spans="3:26" ht="19">
      <c r="C81" s="156">
        <f t="shared" si="4"/>
        <v>1800</v>
      </c>
      <c r="D81" s="157">
        <f t="shared" si="2"/>
        <v>2.4526720947446336E-25</v>
      </c>
      <c r="E81" s="158">
        <f t="shared" si="3"/>
        <v>3559744.5617918582</v>
      </c>
    </row>
    <row r="82" spans="3:26" ht="19">
      <c r="C82" s="156">
        <f t="shared" si="4"/>
        <v>1900</v>
      </c>
      <c r="D82" s="157">
        <f t="shared" si="2"/>
        <v>2.58893165556378E-25</v>
      </c>
      <c r="E82" s="158">
        <f t="shared" si="3"/>
        <v>4074943.3434961871</v>
      </c>
    </row>
    <row r="83" spans="3:26" ht="20" thickBot="1">
      <c r="C83" s="165">
        <f t="shared" si="4"/>
        <v>2000</v>
      </c>
      <c r="D83" s="166">
        <f t="shared" si="2"/>
        <v>2.725191216382926E-25</v>
      </c>
      <c r="E83" s="167">
        <f t="shared" si="3"/>
        <v>4632469.425374628</v>
      </c>
    </row>
    <row r="92" spans="3:26" ht="22" customHeight="1">
      <c r="F92" s="66" t="s">
        <v>78</v>
      </c>
      <c r="Y92" s="66" t="s">
        <v>78</v>
      </c>
    </row>
    <row r="93" spans="3:26" ht="27">
      <c r="C93" s="147" t="s">
        <v>88</v>
      </c>
      <c r="D93" s="168"/>
      <c r="E93" s="66"/>
      <c r="F93" s="66"/>
      <c r="G93" s="66"/>
      <c r="U93" s="475" t="s">
        <v>89</v>
      </c>
      <c r="V93" s="475"/>
      <c r="W93" s="475"/>
      <c r="X93" s="66"/>
      <c r="Y93" s="66"/>
      <c r="Z93" s="66"/>
    </row>
    <row r="94" spans="3:26" ht="19">
      <c r="E94" s="66"/>
      <c r="G94" s="66"/>
      <c r="X94" s="66"/>
      <c r="Z94" s="66"/>
    </row>
    <row r="95" spans="3:26" ht="20" thickBot="1">
      <c r="E95" s="66"/>
      <c r="F95" s="66"/>
      <c r="G95" s="66"/>
    </row>
    <row r="96" spans="3:26" ht="20" thickBot="1">
      <c r="C96" s="169" t="s">
        <v>90</v>
      </c>
      <c r="E96" s="66"/>
      <c r="F96" s="66"/>
      <c r="G96" s="66"/>
    </row>
    <row r="97" spans="3:34" ht="22" thickBot="1">
      <c r="C97" s="170" t="s">
        <v>91</v>
      </c>
      <c r="D97" s="171" t="str" cm="1">
        <f t="array" ref="D97">INDEX($E:$E,(COLUMN(D97)-4)*1+42)</f>
        <v>-</v>
      </c>
      <c r="E97" s="66"/>
      <c r="F97" s="66"/>
      <c r="G97" s="66"/>
      <c r="H97" s="66"/>
      <c r="I97" s="66"/>
      <c r="J97" s="66"/>
      <c r="K97" s="66"/>
      <c r="L97" s="66"/>
    </row>
    <row r="98" spans="3:34" ht="20" thickBot="1">
      <c r="C98" s="172" t="s">
        <v>92</v>
      </c>
      <c r="D98" s="173" t="s">
        <v>56</v>
      </c>
      <c r="E98" s="140"/>
      <c r="F98" s="140"/>
      <c r="G98" s="140"/>
      <c r="H98" s="140"/>
      <c r="I98" s="140"/>
      <c r="J98" s="140"/>
      <c r="K98" s="140"/>
      <c r="L98" s="140"/>
    </row>
    <row r="99" spans="3:34" ht="20" thickBot="1">
      <c r="L99" s="174" t="s">
        <v>93</v>
      </c>
      <c r="M99" s="175">
        <f>0</f>
        <v>0</v>
      </c>
    </row>
    <row r="100" spans="3:34" ht="30" customHeight="1" thickBot="1">
      <c r="C100" s="481" t="s">
        <v>94</v>
      </c>
      <c r="D100" s="482"/>
      <c r="E100" s="176" t="s">
        <v>95</v>
      </c>
    </row>
    <row r="101" spans="3:34" ht="38" customHeight="1" thickBot="1">
      <c r="C101" s="177" t="s">
        <v>96</v>
      </c>
      <c r="D101" s="178">
        <v>1</v>
      </c>
      <c r="E101" s="179"/>
      <c r="F101" s="180"/>
      <c r="G101" s="180"/>
      <c r="H101" s="180"/>
      <c r="I101" s="180"/>
      <c r="K101" s="151" t="s">
        <v>83</v>
      </c>
      <c r="L101" s="152"/>
      <c r="M101" s="152"/>
      <c r="N101" s="152"/>
      <c r="O101" s="152"/>
      <c r="Q101" s="66"/>
      <c r="U101" s="181" t="s">
        <v>80</v>
      </c>
      <c r="V101" s="182" t="s">
        <v>97</v>
      </c>
      <c r="W101" s="183" t="s">
        <v>98</v>
      </c>
      <c r="X101" s="183" t="s">
        <v>99</v>
      </c>
      <c r="Y101" s="184" t="s">
        <v>100</v>
      </c>
      <c r="Z101" s="185" t="s">
        <v>101</v>
      </c>
      <c r="AB101" s="476" t="s">
        <v>83</v>
      </c>
      <c r="AC101" s="476"/>
      <c r="AD101" s="476"/>
      <c r="AE101" s="476"/>
      <c r="AF101" s="476"/>
      <c r="AG101" s="476"/>
      <c r="AH101" s="476"/>
    </row>
    <row r="102" spans="3:34" ht="20" thickBot="1">
      <c r="C102" s="174">
        <v>298.14999999999998</v>
      </c>
      <c r="D102" s="186">
        <f>1</f>
        <v>1</v>
      </c>
      <c r="E102" s="187">
        <f xml:space="preserve"> PRODUCT(D102)</f>
        <v>1</v>
      </c>
      <c r="F102" s="188"/>
      <c r="G102" s="188"/>
      <c r="H102" s="188"/>
      <c r="I102" s="188"/>
      <c r="U102" s="174">
        <v>298.14999999999998</v>
      </c>
      <c r="V102" s="189">
        <f>$E65</f>
        <v>39748.853510380723</v>
      </c>
      <c r="W102" s="190">
        <f>1</f>
        <v>1</v>
      </c>
      <c r="X102" s="191">
        <f>$D137</f>
        <v>1</v>
      </c>
      <c r="Y102" s="192">
        <f>$D175</f>
        <v>2</v>
      </c>
      <c r="Z102" s="193">
        <f>PRODUCT(V102:Y102)</f>
        <v>79497.707020761445</v>
      </c>
    </row>
    <row r="103" spans="3:34" ht="22" thickBot="1">
      <c r="C103" s="194">
        <v>300</v>
      </c>
      <c r="D103" s="186">
        <f>1</f>
        <v>1</v>
      </c>
      <c r="E103" s="195">
        <f t="shared" ref="E103:E119" si="5" xml:space="preserve"> PRODUCT(D103)</f>
        <v>1</v>
      </c>
      <c r="F103" s="188"/>
      <c r="G103" s="188"/>
      <c r="H103" s="188"/>
      <c r="I103" s="188"/>
      <c r="M103" s="149" t="s">
        <v>102</v>
      </c>
      <c r="N103" s="181" t="s">
        <v>103</v>
      </c>
      <c r="O103" s="196" t="s">
        <v>104</v>
      </c>
      <c r="U103" s="194">
        <v>300</v>
      </c>
      <c r="V103" s="197">
        <f t="shared" ref="V103:V120" si="6">$E66</f>
        <v>40368.323106654447</v>
      </c>
      <c r="W103" s="66">
        <f>1</f>
        <v>1</v>
      </c>
      <c r="X103" s="140">
        <f t="shared" ref="X103:X120" si="7">$D138</f>
        <v>1</v>
      </c>
      <c r="Y103" s="198">
        <f t="shared" ref="Y103:Y120" si="8">$D176</f>
        <v>2</v>
      </c>
      <c r="Z103" s="193">
        <f t="shared" ref="Z103:Z120" si="9">PRODUCT(V103:Y103)</f>
        <v>80736.646213308893</v>
      </c>
    </row>
    <row r="104" spans="3:34" ht="20" thickBot="1">
      <c r="C104" s="199">
        <f>C103+100</f>
        <v>400</v>
      </c>
      <c r="D104" s="200">
        <f>1</f>
        <v>1</v>
      </c>
      <c r="E104" s="195">
        <f t="shared" si="5"/>
        <v>1</v>
      </c>
      <c r="F104" s="188"/>
      <c r="G104" s="188"/>
      <c r="H104" s="188"/>
      <c r="I104" s="188"/>
      <c r="L104" s="159" t="s">
        <v>85</v>
      </c>
      <c r="M104" s="160">
        <f>E102</f>
        <v>1</v>
      </c>
      <c r="N104" s="201">
        <f>E124</f>
        <v>1</v>
      </c>
      <c r="O104" s="201">
        <f>M99</f>
        <v>0</v>
      </c>
      <c r="U104" s="199">
        <f>U103+100</f>
        <v>400</v>
      </c>
      <c r="V104" s="197">
        <f t="shared" si="6"/>
        <v>82868.132310616726</v>
      </c>
      <c r="W104" s="66">
        <f>1</f>
        <v>1</v>
      </c>
      <c r="X104" s="140">
        <f t="shared" si="7"/>
        <v>1</v>
      </c>
      <c r="Y104" s="198">
        <f t="shared" si="8"/>
        <v>2</v>
      </c>
      <c r="Z104" s="193">
        <f t="shared" si="9"/>
        <v>165736.26462123345</v>
      </c>
    </row>
    <row r="105" spans="3:34" ht="23" thickBot="1">
      <c r="C105" s="199">
        <f t="shared" ref="C105:C120" si="10">C104+100</f>
        <v>500</v>
      </c>
      <c r="D105" s="200">
        <f>1</f>
        <v>1</v>
      </c>
      <c r="E105" s="195">
        <f t="shared" si="5"/>
        <v>1</v>
      </c>
      <c r="F105" s="188"/>
      <c r="G105" s="188"/>
      <c r="H105" s="188"/>
      <c r="I105" s="188"/>
      <c r="L105" s="161" t="s">
        <v>86</v>
      </c>
      <c r="M105" s="162">
        <f>P38</f>
        <v>1</v>
      </c>
      <c r="N105" s="202">
        <f>P37</f>
        <v>1</v>
      </c>
      <c r="O105" s="202">
        <f>D38</f>
        <v>0</v>
      </c>
      <c r="U105" s="199">
        <f t="shared" ref="U105:U120" si="11">U104+100</f>
        <v>500</v>
      </c>
      <c r="V105" s="197">
        <f t="shared" si="6"/>
        <v>144764.66954295631</v>
      </c>
      <c r="W105" s="66">
        <f>1</f>
        <v>1</v>
      </c>
      <c r="X105" s="140">
        <f t="shared" si="7"/>
        <v>1</v>
      </c>
      <c r="Y105" s="198">
        <f t="shared" si="8"/>
        <v>2</v>
      </c>
      <c r="Z105" s="193">
        <f t="shared" si="9"/>
        <v>289529.33908591262</v>
      </c>
      <c r="AE105" s="149" t="s">
        <v>105</v>
      </c>
      <c r="AF105" s="203" t="s">
        <v>106</v>
      </c>
    </row>
    <row r="106" spans="3:34" ht="23" thickBot="1">
      <c r="C106" s="199">
        <f t="shared" si="10"/>
        <v>600</v>
      </c>
      <c r="D106" s="200">
        <f>1</f>
        <v>1</v>
      </c>
      <c r="E106" s="195">
        <f t="shared" si="5"/>
        <v>1</v>
      </c>
      <c r="F106" s="188"/>
      <c r="G106" s="188"/>
      <c r="H106" s="188"/>
      <c r="I106" s="188"/>
      <c r="L106" s="163" t="s">
        <v>87</v>
      </c>
      <c r="M106" s="164">
        <f>ABS(M104-M105)/M104</f>
        <v>0</v>
      </c>
      <c r="N106" s="164">
        <f t="shared" ref="N106" si="12">ABS(N104-N105)/N104</f>
        <v>0</v>
      </c>
      <c r="O106" s="164">
        <f>0</f>
        <v>0</v>
      </c>
      <c r="U106" s="199">
        <f t="shared" si="11"/>
        <v>600</v>
      </c>
      <c r="V106" s="197">
        <f t="shared" si="6"/>
        <v>228357.72011076027</v>
      </c>
      <c r="W106" s="66">
        <f>1</f>
        <v>1</v>
      </c>
      <c r="X106" s="140">
        <f t="shared" si="7"/>
        <v>1</v>
      </c>
      <c r="Y106" s="198">
        <f t="shared" si="8"/>
        <v>2</v>
      </c>
      <c r="Z106" s="193">
        <f t="shared" si="9"/>
        <v>456715.44022152055</v>
      </c>
      <c r="AD106" s="159" t="s">
        <v>85</v>
      </c>
      <c r="AE106" s="204">
        <f>Z102</f>
        <v>79497.707020761445</v>
      </c>
      <c r="AF106" s="205">
        <f>V103*X103*Y103*E103</f>
        <v>80736.646213308893</v>
      </c>
    </row>
    <row r="107" spans="3:34" ht="20" thickBot="1">
      <c r="C107" s="199">
        <f t="shared" si="10"/>
        <v>700</v>
      </c>
      <c r="D107" s="200">
        <f>1</f>
        <v>1</v>
      </c>
      <c r="E107" s="195">
        <f t="shared" si="5"/>
        <v>1</v>
      </c>
      <c r="F107" s="188"/>
      <c r="G107" s="188"/>
      <c r="H107" s="188"/>
      <c r="I107" s="188"/>
      <c r="U107" s="199">
        <f t="shared" si="11"/>
        <v>700</v>
      </c>
      <c r="V107" s="197">
        <f t="shared" si="6"/>
        <v>335724.21923775156</v>
      </c>
      <c r="W107" s="66">
        <f>1</f>
        <v>1</v>
      </c>
      <c r="X107" s="140">
        <f t="shared" si="7"/>
        <v>1</v>
      </c>
      <c r="Y107" s="198">
        <f t="shared" si="8"/>
        <v>2</v>
      </c>
      <c r="Z107" s="193">
        <f t="shared" si="9"/>
        <v>671448.43847550312</v>
      </c>
      <c r="AD107" s="161" t="s">
        <v>86</v>
      </c>
      <c r="AE107" s="206">
        <f>$P35</f>
        <v>79535.8</v>
      </c>
      <c r="AF107" s="197"/>
    </row>
    <row r="108" spans="3:34" ht="23" thickBot="1">
      <c r="C108" s="199">
        <f t="shared" si="10"/>
        <v>800</v>
      </c>
      <c r="D108" s="200">
        <f>1</f>
        <v>1</v>
      </c>
      <c r="E108" s="195">
        <f t="shared" si="5"/>
        <v>1</v>
      </c>
      <c r="F108" s="188"/>
      <c r="G108" s="188"/>
      <c r="H108" s="188"/>
      <c r="I108" s="188"/>
      <c r="U108" s="199">
        <f t="shared" si="11"/>
        <v>800</v>
      </c>
      <c r="V108" s="197">
        <f t="shared" si="6"/>
        <v>468772.94640881027</v>
      </c>
      <c r="W108" s="66">
        <f>1</f>
        <v>1</v>
      </c>
      <c r="X108" s="140">
        <f t="shared" si="7"/>
        <v>1</v>
      </c>
      <c r="Y108" s="198">
        <f t="shared" si="8"/>
        <v>2</v>
      </c>
      <c r="Z108" s="193">
        <f t="shared" si="9"/>
        <v>937545.89281762054</v>
      </c>
      <c r="AD108" s="163" t="s">
        <v>87</v>
      </c>
      <c r="AE108" s="164">
        <f>ABS(AE106-AE107)/AE106</f>
        <v>4.7917079204069958E-4</v>
      </c>
      <c r="AF108" s="207"/>
    </row>
    <row r="109" spans="3:34" ht="20" thickBot="1">
      <c r="C109" s="199">
        <f t="shared" si="10"/>
        <v>900</v>
      </c>
      <c r="D109" s="200">
        <f>1</f>
        <v>1</v>
      </c>
      <c r="E109" s="195">
        <f t="shared" si="5"/>
        <v>1</v>
      </c>
      <c r="F109" s="188"/>
      <c r="G109" s="188"/>
      <c r="H109" s="188"/>
      <c r="I109" s="188"/>
      <c r="U109" s="199">
        <f t="shared" si="11"/>
        <v>900</v>
      </c>
      <c r="V109" s="197">
        <f t="shared" si="6"/>
        <v>629279.87973373779</v>
      </c>
      <c r="W109" s="66">
        <f>1</f>
        <v>1</v>
      </c>
      <c r="X109" s="140">
        <f t="shared" si="7"/>
        <v>1</v>
      </c>
      <c r="Y109" s="198">
        <f t="shared" si="8"/>
        <v>2</v>
      </c>
      <c r="Z109" s="193">
        <f t="shared" si="9"/>
        <v>1258559.7594674756</v>
      </c>
    </row>
    <row r="110" spans="3:34" ht="20" thickBot="1">
      <c r="C110" s="199">
        <f t="shared" si="10"/>
        <v>1000</v>
      </c>
      <c r="D110" s="200">
        <f>1</f>
        <v>1</v>
      </c>
      <c r="E110" s="195">
        <f t="shared" si="5"/>
        <v>1</v>
      </c>
      <c r="F110" s="188"/>
      <c r="G110" s="188"/>
      <c r="H110" s="188"/>
      <c r="I110" s="188"/>
      <c r="U110" s="199">
        <f t="shared" si="11"/>
        <v>1000</v>
      </c>
      <c r="V110" s="197">
        <f t="shared" si="6"/>
        <v>818912.6360804349</v>
      </c>
      <c r="W110" s="66">
        <f>1</f>
        <v>1</v>
      </c>
      <c r="X110" s="140">
        <f t="shared" si="7"/>
        <v>1</v>
      </c>
      <c r="Y110" s="198">
        <f t="shared" si="8"/>
        <v>2</v>
      </c>
      <c r="Z110" s="193">
        <f t="shared" si="9"/>
        <v>1637825.2721608698</v>
      </c>
    </row>
    <row r="111" spans="3:34" ht="20" thickBot="1">
      <c r="C111" s="199">
        <f t="shared" si="10"/>
        <v>1100</v>
      </c>
      <c r="D111" s="200">
        <f>1</f>
        <v>1</v>
      </c>
      <c r="E111" s="195">
        <f t="shared" si="5"/>
        <v>1</v>
      </c>
      <c r="F111" s="188"/>
      <c r="G111" s="188"/>
      <c r="H111" s="188"/>
      <c r="I111" s="188"/>
      <c r="U111" s="199">
        <f t="shared" si="11"/>
        <v>1100</v>
      </c>
      <c r="V111" s="197">
        <f t="shared" si="6"/>
        <v>1039248.2105053912</v>
      </c>
      <c r="W111" s="66">
        <f>1</f>
        <v>1</v>
      </c>
      <c r="X111" s="140">
        <f t="shared" si="7"/>
        <v>1</v>
      </c>
      <c r="Y111" s="198">
        <f t="shared" si="8"/>
        <v>2</v>
      </c>
      <c r="Z111" s="193">
        <f t="shared" si="9"/>
        <v>2078496.4210107825</v>
      </c>
    </row>
    <row r="112" spans="3:34" ht="20" thickBot="1">
      <c r="C112" s="199">
        <f t="shared" si="10"/>
        <v>1200</v>
      </c>
      <c r="D112" s="200">
        <f>1</f>
        <v>1</v>
      </c>
      <c r="E112" s="195">
        <f t="shared" si="5"/>
        <v>1</v>
      </c>
      <c r="F112" s="188"/>
      <c r="G112" s="188"/>
      <c r="H112" s="188"/>
      <c r="I112" s="188"/>
      <c r="U112" s="199">
        <f t="shared" si="11"/>
        <v>1200</v>
      </c>
      <c r="V112" s="197">
        <f t="shared" si="6"/>
        <v>1291786.3394129495</v>
      </c>
      <c r="W112" s="66">
        <f>1</f>
        <v>1</v>
      </c>
      <c r="X112" s="140">
        <f t="shared" si="7"/>
        <v>1</v>
      </c>
      <c r="Y112" s="198">
        <f t="shared" si="8"/>
        <v>2</v>
      </c>
      <c r="Z112" s="193">
        <f t="shared" si="9"/>
        <v>2583572.678825899</v>
      </c>
    </row>
    <row r="113" spans="2:26" ht="20" thickBot="1">
      <c r="C113" s="199">
        <f t="shared" si="10"/>
        <v>1300</v>
      </c>
      <c r="D113" s="200">
        <f>1</f>
        <v>1</v>
      </c>
      <c r="E113" s="195">
        <f t="shared" si="5"/>
        <v>1</v>
      </c>
      <c r="F113" s="188"/>
      <c r="G113" s="188"/>
      <c r="H113" s="188"/>
      <c r="I113" s="188"/>
      <c r="U113" s="199">
        <f t="shared" si="11"/>
        <v>1300</v>
      </c>
      <c r="V113" s="197">
        <f t="shared" si="6"/>
        <v>1577959.8664058954</v>
      </c>
      <c r="W113" s="66">
        <f>1</f>
        <v>1</v>
      </c>
      <c r="X113" s="140">
        <f t="shared" si="7"/>
        <v>1</v>
      </c>
      <c r="Y113" s="198">
        <f t="shared" si="8"/>
        <v>2</v>
      </c>
      <c r="Z113" s="193">
        <f t="shared" si="9"/>
        <v>3155919.7328117909</v>
      </c>
    </row>
    <row r="114" spans="2:26" ht="20" thickBot="1">
      <c r="C114" s="199">
        <f t="shared" si="10"/>
        <v>1400</v>
      </c>
      <c r="D114" s="200">
        <f>1</f>
        <v>1</v>
      </c>
      <c r="E114" s="195">
        <f t="shared" si="5"/>
        <v>1</v>
      </c>
      <c r="F114" s="188"/>
      <c r="G114" s="188"/>
      <c r="H114" s="188"/>
      <c r="I114" s="188"/>
      <c r="U114" s="199">
        <f t="shared" si="11"/>
        <v>1400</v>
      </c>
      <c r="V114" s="197">
        <f t="shared" si="6"/>
        <v>1899142.9762525919</v>
      </c>
      <c r="W114" s="66">
        <f>1</f>
        <v>1</v>
      </c>
      <c r="X114" s="140">
        <f t="shared" si="7"/>
        <v>1</v>
      </c>
      <c r="Y114" s="198">
        <f t="shared" si="8"/>
        <v>2</v>
      </c>
      <c r="Z114" s="193">
        <f t="shared" si="9"/>
        <v>3798285.9525051839</v>
      </c>
    </row>
    <row r="115" spans="2:26" ht="20" thickBot="1">
      <c r="C115" s="199">
        <f t="shared" si="10"/>
        <v>1500</v>
      </c>
      <c r="D115" s="200">
        <f>1</f>
        <v>1</v>
      </c>
      <c r="E115" s="195">
        <f t="shared" si="5"/>
        <v>1</v>
      </c>
      <c r="F115" s="188"/>
      <c r="G115" s="188"/>
      <c r="H115" s="188"/>
      <c r="I115" s="188"/>
      <c r="U115" s="199">
        <f t="shared" si="11"/>
        <v>1500</v>
      </c>
      <c r="V115" s="197">
        <f t="shared" si="6"/>
        <v>2256657.865103865</v>
      </c>
      <c r="W115" s="66">
        <f>1</f>
        <v>1</v>
      </c>
      <c r="X115" s="140">
        <f t="shared" si="7"/>
        <v>1</v>
      </c>
      <c r="Y115" s="198">
        <f t="shared" si="8"/>
        <v>2</v>
      </c>
      <c r="Z115" s="193">
        <f t="shared" si="9"/>
        <v>4513315.7302077301</v>
      </c>
    </row>
    <row r="116" spans="2:26" ht="20" thickBot="1">
      <c r="C116" s="199">
        <f t="shared" si="10"/>
        <v>1600</v>
      </c>
      <c r="D116" s="200">
        <f>1</f>
        <v>1</v>
      </c>
      <c r="E116" s="195">
        <f t="shared" si="5"/>
        <v>1</v>
      </c>
      <c r="F116" s="188"/>
      <c r="G116" s="188"/>
      <c r="H116" s="188"/>
      <c r="I116" s="188"/>
      <c r="U116" s="199">
        <f t="shared" si="11"/>
        <v>1600</v>
      </c>
      <c r="V116" s="197">
        <f t="shared" si="6"/>
        <v>2651780.2339397119</v>
      </c>
      <c r="W116" s="66">
        <f>1</f>
        <v>1</v>
      </c>
      <c r="X116" s="140">
        <f t="shared" si="7"/>
        <v>1</v>
      </c>
      <c r="Y116" s="198">
        <f t="shared" si="8"/>
        <v>2</v>
      </c>
      <c r="Z116" s="193">
        <f t="shared" si="9"/>
        <v>5303560.4678794239</v>
      </c>
    </row>
    <row r="117" spans="2:26" ht="20" thickBot="1">
      <c r="C117" s="199">
        <f t="shared" si="10"/>
        <v>1700</v>
      </c>
      <c r="D117" s="200">
        <f>1</f>
        <v>1</v>
      </c>
      <c r="E117" s="195">
        <f t="shared" si="5"/>
        <v>1</v>
      </c>
      <c r="F117" s="188"/>
      <c r="G117" s="188"/>
      <c r="H117" s="188"/>
      <c r="I117" s="188"/>
      <c r="U117" s="199">
        <f t="shared" si="11"/>
        <v>1700</v>
      </c>
      <c r="V117" s="197">
        <f t="shared" si="6"/>
        <v>3085743.8770825602</v>
      </c>
      <c r="W117" s="66">
        <f>1</f>
        <v>1</v>
      </c>
      <c r="X117" s="140">
        <f t="shared" si="7"/>
        <v>1</v>
      </c>
      <c r="Y117" s="198">
        <f t="shared" si="8"/>
        <v>2</v>
      </c>
      <c r="Z117" s="193">
        <f t="shared" si="9"/>
        <v>6171487.7541651204</v>
      </c>
    </row>
    <row r="118" spans="2:26" ht="20" thickBot="1">
      <c r="C118" s="199">
        <f t="shared" si="10"/>
        <v>1800</v>
      </c>
      <c r="D118" s="200">
        <f>1</f>
        <v>1</v>
      </c>
      <c r="E118" s="195">
        <f t="shared" si="5"/>
        <v>1</v>
      </c>
      <c r="F118" s="188"/>
      <c r="G118" s="188"/>
      <c r="H118" s="188"/>
      <c r="I118" s="188"/>
      <c r="U118" s="199">
        <f t="shared" si="11"/>
        <v>1800</v>
      </c>
      <c r="V118" s="197">
        <f t="shared" si="6"/>
        <v>3559744.5617918582</v>
      </c>
      <c r="W118" s="66">
        <f>1</f>
        <v>1</v>
      </c>
      <c r="X118" s="140">
        <f t="shared" si="7"/>
        <v>1</v>
      </c>
      <c r="Y118" s="198">
        <f t="shared" si="8"/>
        <v>2</v>
      </c>
      <c r="Z118" s="193">
        <f t="shared" si="9"/>
        <v>7119489.1235837163</v>
      </c>
    </row>
    <row r="119" spans="2:26" ht="20" thickBot="1">
      <c r="C119" s="199">
        <f t="shared" si="10"/>
        <v>1900</v>
      </c>
      <c r="D119" s="200">
        <f>1</f>
        <v>1</v>
      </c>
      <c r="E119" s="195">
        <f t="shared" si="5"/>
        <v>1</v>
      </c>
      <c r="F119" s="188"/>
      <c r="G119" s="188"/>
      <c r="H119" s="188"/>
      <c r="I119" s="188"/>
      <c r="U119" s="199">
        <f t="shared" si="11"/>
        <v>1900</v>
      </c>
      <c r="V119" s="197">
        <f t="shared" si="6"/>
        <v>4074943.3434961871</v>
      </c>
      <c r="W119" s="66">
        <f>1</f>
        <v>1</v>
      </c>
      <c r="X119" s="140">
        <f t="shared" si="7"/>
        <v>1</v>
      </c>
      <c r="Y119" s="198">
        <f t="shared" si="8"/>
        <v>2</v>
      </c>
      <c r="Z119" s="193">
        <f t="shared" si="9"/>
        <v>8149886.6869923742</v>
      </c>
    </row>
    <row r="120" spans="2:26" ht="20" thickBot="1">
      <c r="C120" s="208">
        <f t="shared" si="10"/>
        <v>2000</v>
      </c>
      <c r="D120" s="209">
        <f>1</f>
        <v>1</v>
      </c>
      <c r="E120" s="210">
        <f xml:space="preserve"> PRODUCT(D120)</f>
        <v>1</v>
      </c>
      <c r="F120" s="188"/>
      <c r="G120" s="188"/>
      <c r="H120" s="188"/>
      <c r="I120" s="188"/>
      <c r="U120" s="208">
        <f t="shared" si="11"/>
        <v>2000</v>
      </c>
      <c r="V120" s="211">
        <f t="shared" si="6"/>
        <v>4632469.425374628</v>
      </c>
      <c r="W120" s="212">
        <f>1</f>
        <v>1</v>
      </c>
      <c r="X120" s="213">
        <f t="shared" si="7"/>
        <v>1</v>
      </c>
      <c r="Y120" s="214">
        <f t="shared" si="8"/>
        <v>2</v>
      </c>
      <c r="Z120" s="193">
        <f t="shared" si="9"/>
        <v>9264938.8507492561</v>
      </c>
    </row>
    <row r="122" spans="2:26" ht="17" thickBot="1"/>
    <row r="123" spans="2:26" ht="32" thickBot="1">
      <c r="C123" s="215" t="s">
        <v>107</v>
      </c>
      <c r="D123" s="216">
        <v>1</v>
      </c>
      <c r="E123" s="176" t="s">
        <v>95</v>
      </c>
      <c r="F123" s="180"/>
      <c r="G123" s="180"/>
      <c r="H123" s="180"/>
      <c r="I123" s="180"/>
      <c r="J123" s="180"/>
      <c r="K123" s="180"/>
      <c r="L123" s="180"/>
      <c r="M123" s="217"/>
    </row>
    <row r="124" spans="2:26" ht="20" thickBot="1">
      <c r="C124" s="174">
        <v>298.14999999999998</v>
      </c>
      <c r="D124" s="218">
        <f>1</f>
        <v>1</v>
      </c>
      <c r="E124" s="219">
        <f>D124</f>
        <v>1</v>
      </c>
      <c r="F124" s="188"/>
      <c r="G124" s="188"/>
      <c r="H124" s="188"/>
      <c r="I124" s="188"/>
      <c r="J124" s="188"/>
      <c r="K124" s="188"/>
      <c r="L124" s="188"/>
    </row>
    <row r="127" spans="2:26" ht="19">
      <c r="B127" s="66"/>
      <c r="C127" s="66"/>
      <c r="D127" s="66"/>
      <c r="E127" s="66"/>
      <c r="F127" s="66" t="s">
        <v>78</v>
      </c>
      <c r="G127" s="66"/>
      <c r="H127" s="66"/>
      <c r="I127" s="66"/>
      <c r="J127" s="66"/>
      <c r="K127" s="66"/>
      <c r="L127" s="66"/>
      <c r="M127" s="66"/>
      <c r="N127" s="66"/>
      <c r="O127" s="66"/>
    </row>
    <row r="128" spans="2:26"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0" thickBot="1">
      <c r="B130" s="66"/>
      <c r="C130" s="67" t="s">
        <v>34</v>
      </c>
      <c r="D130" s="68"/>
      <c r="E130" s="68"/>
      <c r="F130" s="69"/>
      <c r="G130" s="66"/>
      <c r="H130" s="66"/>
      <c r="I130" s="66"/>
      <c r="J130" s="66"/>
      <c r="K130" s="66"/>
      <c r="L130" s="66"/>
      <c r="M130" s="66"/>
      <c r="N130" s="66"/>
      <c r="O130" s="66"/>
    </row>
    <row r="131" spans="2:15" ht="20" thickBot="1">
      <c r="B131" s="66"/>
      <c r="C131" s="72"/>
      <c r="D131" s="73" t="s">
        <v>37</v>
      </c>
      <c r="E131" s="74" t="s">
        <v>38</v>
      </c>
      <c r="F131" s="75" t="s">
        <v>39</v>
      </c>
      <c r="G131" s="66"/>
      <c r="H131" s="66"/>
      <c r="I131" s="66"/>
      <c r="J131" s="66"/>
      <c r="K131" s="66"/>
      <c r="L131" s="66"/>
      <c r="M131" s="66"/>
      <c r="N131" s="66"/>
      <c r="O131" s="66"/>
    </row>
    <row r="132" spans="2:15" ht="22" thickBot="1">
      <c r="B132" s="66"/>
      <c r="C132" s="220" t="s">
        <v>109</v>
      </c>
      <c r="D132" s="102">
        <f>D24*($Q$8)^2</f>
        <v>1.1170140000000001E-48</v>
      </c>
      <c r="E132" s="102">
        <f t="shared" ref="E132:F132" si="13">E24*($Q$8)^2</f>
        <v>1.7883014000000001E-47</v>
      </c>
      <c r="F132" s="102">
        <f t="shared" si="13"/>
        <v>3.8712694000000007E-47</v>
      </c>
      <c r="G132" s="66"/>
      <c r="H132" s="66"/>
      <c r="I132" s="66"/>
      <c r="J132" s="66"/>
      <c r="K132" s="66"/>
      <c r="L132" s="66"/>
      <c r="M132" s="66"/>
      <c r="N132" s="66"/>
      <c r="O132" s="66"/>
    </row>
    <row r="133" spans="2:15" ht="19">
      <c r="B133" s="66"/>
      <c r="C133" s="66"/>
      <c r="D133" s="66"/>
      <c r="E133" s="66"/>
      <c r="F133" s="66"/>
      <c r="G133" s="66"/>
      <c r="H133" s="66"/>
      <c r="I133" s="66"/>
      <c r="J133" s="66"/>
      <c r="K133" s="66"/>
      <c r="L133" s="66"/>
      <c r="M133" s="66"/>
      <c r="N133" s="66"/>
      <c r="O133" s="66"/>
    </row>
    <row r="134" spans="2:15" ht="19">
      <c r="B134" s="66"/>
      <c r="C134" s="66"/>
      <c r="D134" s="66"/>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110</v>
      </c>
      <c r="E136" s="222"/>
      <c r="F136" s="66"/>
      <c r="G136" s="66"/>
      <c r="H136" s="151" t="s">
        <v>83</v>
      </c>
      <c r="I136" s="152"/>
      <c r="J136" s="152"/>
      <c r="K136" s="152"/>
      <c r="L136" s="152"/>
      <c r="M136" s="152"/>
      <c r="N136" s="152"/>
      <c r="O136" s="66"/>
    </row>
    <row r="137" spans="2:15" ht="20" thickBot="1">
      <c r="B137" s="66"/>
      <c r="C137" s="153">
        <v>298.14999999999998</v>
      </c>
      <c r="D137" s="155">
        <f>1</f>
        <v>1</v>
      </c>
      <c r="E137" s="140"/>
      <c r="F137" s="140"/>
      <c r="G137" s="66"/>
      <c r="H137" s="66"/>
      <c r="I137" s="66"/>
      <c r="J137" s="66"/>
      <c r="K137" s="66"/>
      <c r="L137" s="66"/>
      <c r="M137" s="66"/>
      <c r="N137" s="66"/>
      <c r="O137" s="66"/>
    </row>
    <row r="138" spans="2:15" ht="20" thickBot="1">
      <c r="B138" s="66"/>
      <c r="C138" s="153">
        <v>300</v>
      </c>
      <c r="D138" s="155">
        <f>1</f>
        <v>1</v>
      </c>
      <c r="E138" s="140"/>
      <c r="F138" s="66"/>
      <c r="G138" s="66"/>
      <c r="L138" s="149" t="s">
        <v>84</v>
      </c>
      <c r="M138" s="222"/>
      <c r="N138" s="66"/>
      <c r="O138" s="66"/>
    </row>
    <row r="139" spans="2:15" ht="19">
      <c r="B139" s="66"/>
      <c r="C139" s="156">
        <f>C138+100</f>
        <v>400</v>
      </c>
      <c r="D139" s="158">
        <f>1</f>
        <v>1</v>
      </c>
      <c r="E139" s="140"/>
      <c r="F139" s="66"/>
      <c r="G139" s="123"/>
      <c r="H139" s="66"/>
      <c r="K139" s="159" t="s">
        <v>85</v>
      </c>
      <c r="L139" s="160">
        <f>1</f>
        <v>1</v>
      </c>
      <c r="M139" s="140"/>
      <c r="N139" s="66"/>
      <c r="O139" s="66"/>
    </row>
    <row r="140" spans="2:15" ht="20" thickBot="1">
      <c r="B140" s="66"/>
      <c r="C140" s="156">
        <f t="shared" ref="C140:C155" si="14">C139+100</f>
        <v>500</v>
      </c>
      <c r="D140" s="158">
        <f>1</f>
        <v>1</v>
      </c>
      <c r="E140" s="140"/>
      <c r="F140" s="66"/>
      <c r="G140" s="66"/>
      <c r="K140" s="161" t="s">
        <v>86</v>
      </c>
      <c r="L140" s="162">
        <f>P34</f>
        <v>1</v>
      </c>
      <c r="M140" s="140"/>
      <c r="N140" s="66"/>
      <c r="O140" s="66"/>
    </row>
    <row r="141" spans="2:15" ht="22">
      <c r="B141" s="66"/>
      <c r="C141" s="156">
        <f t="shared" si="14"/>
        <v>600</v>
      </c>
      <c r="D141" s="158">
        <f>1</f>
        <v>1</v>
      </c>
      <c r="E141" s="140"/>
      <c r="F141" s="66"/>
      <c r="G141" s="66"/>
      <c r="H141" s="66"/>
      <c r="I141" s="66"/>
      <c r="K141" s="163" t="s">
        <v>87</v>
      </c>
      <c r="L141" s="164">
        <f>ABS(L139-L140)/L139</f>
        <v>0</v>
      </c>
      <c r="M141" s="223"/>
      <c r="N141" s="66"/>
      <c r="O141" s="66"/>
    </row>
    <row r="142" spans="2:15" ht="19">
      <c r="B142" s="66"/>
      <c r="C142" s="156">
        <f t="shared" si="14"/>
        <v>700</v>
      </c>
      <c r="D142" s="158">
        <f>1</f>
        <v>1</v>
      </c>
      <c r="E142" s="140"/>
      <c r="F142" s="66"/>
      <c r="G142" s="66"/>
    </row>
    <row r="143" spans="2:15" ht="19">
      <c r="B143" s="66"/>
      <c r="C143" s="156">
        <f t="shared" si="14"/>
        <v>800</v>
      </c>
      <c r="D143" s="158">
        <f>1</f>
        <v>1</v>
      </c>
      <c r="E143" s="140"/>
      <c r="F143" s="66"/>
      <c r="G143" s="66"/>
    </row>
    <row r="144" spans="2:15" ht="19">
      <c r="B144" s="66"/>
      <c r="C144" s="156">
        <f t="shared" si="14"/>
        <v>900</v>
      </c>
      <c r="D144" s="158">
        <f>1</f>
        <v>1</v>
      </c>
      <c r="E144" s="140"/>
      <c r="F144" s="66"/>
      <c r="G144" s="66"/>
    </row>
    <row r="145" spans="3:5" ht="19">
      <c r="C145" s="156">
        <f t="shared" si="14"/>
        <v>1000</v>
      </c>
      <c r="D145" s="158">
        <f>1</f>
        <v>1</v>
      </c>
      <c r="E145" s="140"/>
    </row>
    <row r="146" spans="3:5" ht="19">
      <c r="C146" s="156">
        <f t="shared" si="14"/>
        <v>1100</v>
      </c>
      <c r="D146" s="158">
        <f>1</f>
        <v>1</v>
      </c>
      <c r="E146" s="140"/>
    </row>
    <row r="147" spans="3:5" ht="19">
      <c r="C147" s="156">
        <f t="shared" si="14"/>
        <v>1200</v>
      </c>
      <c r="D147" s="158">
        <f>1</f>
        <v>1</v>
      </c>
      <c r="E147" s="140"/>
    </row>
    <row r="148" spans="3:5" ht="19">
      <c r="C148" s="156">
        <f t="shared" si="14"/>
        <v>1300</v>
      </c>
      <c r="D148" s="158">
        <f>1</f>
        <v>1</v>
      </c>
      <c r="E148" s="140"/>
    </row>
    <row r="149" spans="3:5" ht="19">
      <c r="C149" s="156">
        <f t="shared" si="14"/>
        <v>1400</v>
      </c>
      <c r="D149" s="158">
        <f>1</f>
        <v>1</v>
      </c>
      <c r="E149" s="140"/>
    </row>
    <row r="150" spans="3:5" ht="19">
      <c r="C150" s="156">
        <f t="shared" si="14"/>
        <v>1500</v>
      </c>
      <c r="D150" s="158">
        <f>1</f>
        <v>1</v>
      </c>
      <c r="E150" s="140"/>
    </row>
    <row r="151" spans="3:5" ht="19">
      <c r="C151" s="156">
        <f t="shared" si="14"/>
        <v>1600</v>
      </c>
      <c r="D151" s="158">
        <f>1</f>
        <v>1</v>
      </c>
      <c r="E151" s="140"/>
    </row>
    <row r="152" spans="3:5" ht="19">
      <c r="C152" s="156">
        <f t="shared" si="14"/>
        <v>1700</v>
      </c>
      <c r="D152" s="158">
        <f>1</f>
        <v>1</v>
      </c>
      <c r="E152" s="140"/>
    </row>
    <row r="153" spans="3:5" ht="19">
      <c r="C153" s="156">
        <f t="shared" si="14"/>
        <v>1800</v>
      </c>
      <c r="D153" s="158">
        <f>1</f>
        <v>1</v>
      </c>
      <c r="E153" s="140"/>
    </row>
    <row r="154" spans="3:5" ht="19">
      <c r="C154" s="156">
        <f t="shared" si="14"/>
        <v>1900</v>
      </c>
      <c r="D154" s="158">
        <f>1</f>
        <v>1</v>
      </c>
      <c r="E154" s="140"/>
    </row>
    <row r="155" spans="3:5" ht="20" thickBot="1">
      <c r="C155" s="165">
        <f t="shared" si="14"/>
        <v>2000</v>
      </c>
      <c r="D155" s="167">
        <f>1</f>
        <v>1</v>
      </c>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143" t="s">
        <v>113</v>
      </c>
      <c r="G167" s="66"/>
      <c r="H167" s="66"/>
      <c r="I167" s="66"/>
      <c r="J167" s="66"/>
      <c r="K167" s="66"/>
      <c r="L167" s="66"/>
      <c r="M167" s="66"/>
      <c r="N167" s="66"/>
      <c r="O167" s="66"/>
    </row>
    <row r="168" spans="2:16" ht="20" thickBot="1">
      <c r="B168" s="66"/>
      <c r="C168" s="225" t="s">
        <v>114</v>
      </c>
      <c r="D168" s="226">
        <f>J$46</f>
        <v>-0.50027278419099996</v>
      </c>
      <c r="E168" s="226">
        <f t="shared" ref="E168" si="15">K$46</f>
        <v>-0.50027278419099996</v>
      </c>
      <c r="F168" s="227"/>
      <c r="G168" s="66"/>
      <c r="H168" s="66"/>
      <c r="I168" s="66"/>
      <c r="J168" s="66"/>
      <c r="K168" s="66"/>
      <c r="L168" s="66"/>
      <c r="M168" s="66"/>
      <c r="N168" s="66"/>
      <c r="O168" s="66"/>
    </row>
    <row r="169" spans="2:16" ht="20" thickBot="1">
      <c r="B169" s="66"/>
      <c r="C169" s="228" t="s">
        <v>115</v>
      </c>
      <c r="D169" s="173">
        <f>D168*$K$7</f>
        <v>-2.1811893390727599E-18</v>
      </c>
      <c r="E169" s="173">
        <f t="shared" ref="E169" si="16">E168*$K$7</f>
        <v>-2.1811893390727599E-18</v>
      </c>
      <c r="F169" s="229"/>
      <c r="G169" s="66"/>
      <c r="H169" s="66"/>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E169+L23</f>
        <v>-2.1811893390727599E-18</v>
      </c>
      <c r="F172" s="66"/>
      <c r="G172" s="66"/>
      <c r="H172" s="151" t="s">
        <v>83</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84</v>
      </c>
      <c r="M174" s="66"/>
      <c r="N174" s="66"/>
      <c r="O174" s="66"/>
    </row>
    <row r="175" spans="2:16" ht="20" thickBot="1">
      <c r="B175" s="66"/>
      <c r="C175" s="153">
        <v>298.14999999999998</v>
      </c>
      <c r="D175" s="155">
        <f>2</f>
        <v>2</v>
      </c>
      <c r="F175" s="66"/>
      <c r="G175" s="66"/>
      <c r="K175" s="159" t="s">
        <v>85</v>
      </c>
      <c r="L175" s="160">
        <f>2</f>
        <v>2</v>
      </c>
      <c r="M175" s="66"/>
      <c r="N175" s="66"/>
      <c r="O175" s="66"/>
    </row>
    <row r="176" spans="2:16" ht="20" thickBot="1">
      <c r="B176" s="66"/>
      <c r="C176" s="153">
        <v>300</v>
      </c>
      <c r="D176" s="155">
        <f>2</f>
        <v>2</v>
      </c>
      <c r="F176" s="66"/>
      <c r="G176" s="66"/>
      <c r="K176" s="161" t="s">
        <v>86</v>
      </c>
      <c r="L176" s="162">
        <f>P32</f>
        <v>2</v>
      </c>
      <c r="M176" s="66"/>
      <c r="N176" s="66"/>
      <c r="O176" s="66"/>
    </row>
    <row r="177" spans="2:15" ht="22">
      <c r="B177" s="66"/>
      <c r="C177" s="156">
        <f>C176+100</f>
        <v>400</v>
      </c>
      <c r="D177" s="158">
        <f>2</f>
        <v>2</v>
      </c>
      <c r="F177" s="66"/>
      <c r="G177" s="66"/>
      <c r="H177" s="66"/>
      <c r="I177" s="66"/>
      <c r="K177" s="163" t="s">
        <v>87</v>
      </c>
      <c r="L177" s="164">
        <f>ABS(L175-L176)/L175</f>
        <v>0</v>
      </c>
      <c r="M177" s="66"/>
      <c r="N177" s="66"/>
      <c r="O177" s="66"/>
    </row>
    <row r="178" spans="2:15" ht="19">
      <c r="B178" s="66"/>
      <c r="C178" s="156">
        <f t="shared" ref="C178:C193" si="17">C177+100</f>
        <v>500</v>
      </c>
      <c r="D178" s="158">
        <f>2</f>
        <v>2</v>
      </c>
      <c r="F178" s="66"/>
      <c r="G178" s="66"/>
    </row>
    <row r="179" spans="2:15" ht="19">
      <c r="B179" s="66"/>
      <c r="C179" s="156">
        <f t="shared" si="17"/>
        <v>600</v>
      </c>
      <c r="D179" s="158">
        <f>2</f>
        <v>2</v>
      </c>
      <c r="F179" s="66"/>
      <c r="G179" s="66"/>
    </row>
    <row r="180" spans="2:15" ht="19">
      <c r="B180" s="66"/>
      <c r="C180" s="156">
        <f t="shared" si="17"/>
        <v>700</v>
      </c>
      <c r="D180" s="158">
        <f>2</f>
        <v>2</v>
      </c>
      <c r="F180" s="66"/>
      <c r="G180" s="66"/>
    </row>
    <row r="181" spans="2:15" ht="19">
      <c r="C181" s="156">
        <f t="shared" si="17"/>
        <v>800</v>
      </c>
      <c r="D181" s="158">
        <f>2</f>
        <v>2</v>
      </c>
    </row>
    <row r="182" spans="2:15" ht="19">
      <c r="C182" s="156">
        <f t="shared" si="17"/>
        <v>900</v>
      </c>
      <c r="D182" s="158">
        <f>2</f>
        <v>2</v>
      </c>
    </row>
    <row r="183" spans="2:15" ht="19">
      <c r="C183" s="156">
        <f t="shared" si="17"/>
        <v>1000</v>
      </c>
      <c r="D183" s="158">
        <f>2</f>
        <v>2</v>
      </c>
    </row>
    <row r="184" spans="2:15" ht="19">
      <c r="C184" s="156">
        <f t="shared" si="17"/>
        <v>1100</v>
      </c>
      <c r="D184" s="158">
        <f>2</f>
        <v>2</v>
      </c>
    </row>
    <row r="185" spans="2:15" ht="19">
      <c r="C185" s="156">
        <f t="shared" si="17"/>
        <v>1200</v>
      </c>
      <c r="D185" s="158">
        <f>2</f>
        <v>2</v>
      </c>
    </row>
    <row r="186" spans="2:15" ht="19">
      <c r="C186" s="156">
        <f t="shared" si="17"/>
        <v>1300</v>
      </c>
      <c r="D186" s="158">
        <f>2</f>
        <v>2</v>
      </c>
    </row>
    <row r="187" spans="2:15" ht="19">
      <c r="C187" s="156">
        <f t="shared" si="17"/>
        <v>1400</v>
      </c>
      <c r="D187" s="158">
        <f>2</f>
        <v>2</v>
      </c>
    </row>
    <row r="188" spans="2:15" ht="19">
      <c r="C188" s="156">
        <f t="shared" si="17"/>
        <v>1500</v>
      </c>
      <c r="D188" s="158">
        <f>2</f>
        <v>2</v>
      </c>
    </row>
    <row r="189" spans="2:15" ht="19">
      <c r="C189" s="156">
        <f t="shared" si="17"/>
        <v>1600</v>
      </c>
      <c r="D189" s="158">
        <f>2</f>
        <v>2</v>
      </c>
    </row>
    <row r="190" spans="2:15" ht="19">
      <c r="C190" s="156">
        <f t="shared" si="17"/>
        <v>1700</v>
      </c>
      <c r="D190" s="158">
        <f>2</f>
        <v>2</v>
      </c>
    </row>
    <row r="191" spans="2:15" ht="19">
      <c r="C191" s="156">
        <f t="shared" si="17"/>
        <v>1800</v>
      </c>
      <c r="D191" s="158">
        <f>2</f>
        <v>2</v>
      </c>
    </row>
    <row r="192" spans="2:15" ht="19">
      <c r="C192" s="156">
        <f t="shared" si="17"/>
        <v>1900</v>
      </c>
      <c r="D192" s="158">
        <f>2</f>
        <v>2</v>
      </c>
    </row>
    <row r="193" spans="3:11" ht="20" thickBot="1">
      <c r="C193" s="165">
        <f t="shared" si="17"/>
        <v>2000</v>
      </c>
      <c r="D193" s="167">
        <f>2</f>
        <v>2</v>
      </c>
    </row>
    <row r="197" spans="3:11" ht="17" thickBot="1"/>
    <row r="198" spans="3:11" ht="20" thickBot="1">
      <c r="E198" s="66"/>
      <c r="F198" s="66" t="s">
        <v>78</v>
      </c>
      <c r="G198" s="66"/>
      <c r="H198" s="477" t="s">
        <v>118</v>
      </c>
      <c r="I198" s="478"/>
      <c r="J198" s="478"/>
      <c r="K198" s="479"/>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65" t="s">
        <v>124</v>
      </c>
      <c r="E203" s="466"/>
    </row>
    <row r="204" spans="3:11" ht="20" thickBot="1">
      <c r="D204" s="172" t="s">
        <v>125</v>
      </c>
      <c r="E204" s="232" t="s">
        <v>126</v>
      </c>
    </row>
    <row r="205" spans="3:11" ht="19">
      <c r="C205" s="92" t="s">
        <v>45</v>
      </c>
      <c r="D205" s="233">
        <f>$Q23</f>
        <v>2.9809999999999999</v>
      </c>
      <c r="E205" s="160">
        <f>D205*4.184</f>
        <v>12.472504000000001</v>
      </c>
    </row>
    <row r="206" spans="3:11" ht="19">
      <c r="C206" s="100" t="s">
        <v>48</v>
      </c>
      <c r="D206" s="234">
        <f t="shared" ref="D206:D209" si="18">$Q24</f>
        <v>0</v>
      </c>
      <c r="E206" s="235">
        <f t="shared" ref="E206:E209" si="19">D206*4.184</f>
        <v>0</v>
      </c>
    </row>
    <row r="207" spans="3:11" ht="19">
      <c r="C207" s="100" t="s">
        <v>50</v>
      </c>
      <c r="D207" s="234">
        <f t="shared" si="18"/>
        <v>2.9809999999999999</v>
      </c>
      <c r="E207" s="235">
        <f t="shared" si="19"/>
        <v>12.472504000000001</v>
      </c>
    </row>
    <row r="208" spans="3:11" ht="19">
      <c r="C208" s="100" t="s">
        <v>52</v>
      </c>
      <c r="D208" s="234">
        <f t="shared" si="18"/>
        <v>0</v>
      </c>
      <c r="E208" s="235">
        <f t="shared" si="19"/>
        <v>0</v>
      </c>
    </row>
    <row r="209" spans="3:16" ht="20" thickBot="1">
      <c r="C209" s="105" t="s">
        <v>55</v>
      </c>
      <c r="D209" s="102">
        <f t="shared" si="18"/>
        <v>0</v>
      </c>
      <c r="E209" s="162">
        <f t="shared" si="19"/>
        <v>0</v>
      </c>
      <c r="K209">
        <f>COLUMN(E205)</f>
        <v>5</v>
      </c>
    </row>
    <row r="210" spans="3:16" ht="24" customHeight="1"/>
    <row r="211" spans="3:16" ht="17" thickBot="1"/>
    <row r="212" spans="3:16" ht="23" thickBot="1">
      <c r="D212" s="467" t="s">
        <v>126</v>
      </c>
      <c r="E212" s="468"/>
      <c r="F212" s="468"/>
      <c r="G212" s="468"/>
      <c r="H212" s="469"/>
      <c r="J212" s="151" t="s">
        <v>83</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239">
        <f>3*$B$7/2</f>
        <v>12.471599999999999</v>
      </c>
      <c r="E214" s="240">
        <v>0</v>
      </c>
      <c r="F214" s="240">
        <v>0</v>
      </c>
      <c r="G214" s="240">
        <v>0</v>
      </c>
      <c r="H214" s="241">
        <f t="shared" ref="H214:H232" si="20">SUM(D214:G214)</f>
        <v>12.471599999999999</v>
      </c>
      <c r="K214" s="236" t="s">
        <v>127</v>
      </c>
      <c r="L214" s="237" t="s">
        <v>128</v>
      </c>
      <c r="M214" s="237" t="s">
        <v>129</v>
      </c>
      <c r="N214" s="238" t="s">
        <v>130</v>
      </c>
      <c r="O214" s="203" t="s">
        <v>131</v>
      </c>
      <c r="P214" s="66"/>
    </row>
    <row r="215" spans="3:16" ht="19">
      <c r="C215" s="153">
        <v>300</v>
      </c>
      <c r="D215" s="239">
        <f>3*$B$7/2</f>
        <v>12.471599999999999</v>
      </c>
      <c r="E215" s="240">
        <v>0</v>
      </c>
      <c r="F215" s="240">
        <v>0</v>
      </c>
      <c r="G215" s="242">
        <v>0</v>
      </c>
      <c r="H215" s="241">
        <f t="shared" si="20"/>
        <v>12.471599999999999</v>
      </c>
      <c r="J215" s="159" t="s">
        <v>85</v>
      </c>
      <c r="K215" s="160">
        <f>D$214</f>
        <v>12.471599999999999</v>
      </c>
      <c r="L215" s="160">
        <f t="shared" ref="L215:O215" si="21">E$214</f>
        <v>0</v>
      </c>
      <c r="M215" s="160">
        <f t="shared" si="21"/>
        <v>0</v>
      </c>
      <c r="N215" s="160">
        <f t="shared" si="21"/>
        <v>0</v>
      </c>
      <c r="O215" s="160">
        <f t="shared" si="21"/>
        <v>12.471599999999999</v>
      </c>
      <c r="P215" s="66"/>
    </row>
    <row r="216" spans="3:16" ht="20" thickBot="1">
      <c r="C216" s="156">
        <f>C215+100</f>
        <v>400</v>
      </c>
      <c r="D216" s="229">
        <f t="shared" ref="D216:D232" si="22">3*$B$7/2</f>
        <v>12.471599999999999</v>
      </c>
      <c r="E216" s="243">
        <v>0</v>
      </c>
      <c r="F216" s="243">
        <v>0</v>
      </c>
      <c r="G216" s="244">
        <v>0</v>
      </c>
      <c r="H216" s="245">
        <f t="shared" si="20"/>
        <v>12.471599999999999</v>
      </c>
      <c r="J216" s="161" t="s">
        <v>86</v>
      </c>
      <c r="K216" s="162">
        <f>E207</f>
        <v>12.472504000000001</v>
      </c>
      <c r="L216" s="162">
        <f>E209</f>
        <v>0</v>
      </c>
      <c r="M216" s="162">
        <f>E208</f>
        <v>0</v>
      </c>
      <c r="N216" s="162">
        <f>E206</f>
        <v>0</v>
      </c>
      <c r="O216" s="162">
        <f>E205</f>
        <v>12.472504000000001</v>
      </c>
      <c r="P216" s="66"/>
    </row>
    <row r="217" spans="3:16" ht="22">
      <c r="C217" s="156">
        <f t="shared" ref="C217:C232" si="23">C216+100</f>
        <v>500</v>
      </c>
      <c r="D217" s="229">
        <f t="shared" si="22"/>
        <v>12.471599999999999</v>
      </c>
      <c r="E217" s="243">
        <v>0</v>
      </c>
      <c r="F217" s="243">
        <v>0</v>
      </c>
      <c r="G217" s="244">
        <v>0</v>
      </c>
      <c r="H217" s="245">
        <f t="shared" si="20"/>
        <v>12.471599999999999</v>
      </c>
      <c r="J217" s="163" t="s">
        <v>87</v>
      </c>
      <c r="K217" s="164">
        <f>IFERROR(ABS(K215-K216)/K215,0)</f>
        <v>7.2484685204946797E-5</v>
      </c>
      <c r="L217" s="164">
        <f t="shared" ref="L217:O217" si="24">IFERROR(ABS(L215-L216)/L215,0)</f>
        <v>0</v>
      </c>
      <c r="M217" s="164">
        <f t="shared" si="24"/>
        <v>0</v>
      </c>
      <c r="N217" s="164">
        <f t="shared" si="24"/>
        <v>0</v>
      </c>
      <c r="O217" s="164">
        <f t="shared" si="24"/>
        <v>7.2484685204946797E-5</v>
      </c>
      <c r="P217" s="66"/>
    </row>
    <row r="218" spans="3:16" ht="19">
      <c r="C218" s="156">
        <f t="shared" si="23"/>
        <v>600</v>
      </c>
      <c r="D218" s="229">
        <f t="shared" si="22"/>
        <v>12.471599999999999</v>
      </c>
      <c r="E218" s="243">
        <v>0</v>
      </c>
      <c r="F218" s="243">
        <v>0</v>
      </c>
      <c r="G218" s="244">
        <v>0</v>
      </c>
      <c r="H218" s="245">
        <f t="shared" si="20"/>
        <v>12.471599999999999</v>
      </c>
    </row>
    <row r="219" spans="3:16" ht="19">
      <c r="C219" s="156">
        <f t="shared" si="23"/>
        <v>700</v>
      </c>
      <c r="D219" s="229">
        <f t="shared" si="22"/>
        <v>12.471599999999999</v>
      </c>
      <c r="E219" s="243">
        <v>0</v>
      </c>
      <c r="F219" s="243">
        <v>0</v>
      </c>
      <c r="G219" s="244">
        <v>0</v>
      </c>
      <c r="H219" s="245">
        <f t="shared" si="20"/>
        <v>12.471599999999999</v>
      </c>
    </row>
    <row r="220" spans="3:16" ht="19">
      <c r="C220" s="156">
        <f t="shared" si="23"/>
        <v>800</v>
      </c>
      <c r="D220" s="229">
        <f t="shared" si="22"/>
        <v>12.471599999999999</v>
      </c>
      <c r="E220" s="243">
        <v>0</v>
      </c>
      <c r="F220" s="243">
        <v>0</v>
      </c>
      <c r="G220" s="244">
        <v>0</v>
      </c>
      <c r="H220" s="245">
        <f t="shared" si="20"/>
        <v>12.471599999999999</v>
      </c>
    </row>
    <row r="221" spans="3:16" ht="19">
      <c r="C221" s="156">
        <f t="shared" si="23"/>
        <v>900</v>
      </c>
      <c r="D221" s="229">
        <f t="shared" si="22"/>
        <v>12.471599999999999</v>
      </c>
      <c r="E221" s="243">
        <v>0</v>
      </c>
      <c r="F221" s="243">
        <v>0</v>
      </c>
      <c r="G221" s="244">
        <v>0</v>
      </c>
      <c r="H221" s="245">
        <f t="shared" si="20"/>
        <v>12.471599999999999</v>
      </c>
    </row>
    <row r="222" spans="3:16" ht="19">
      <c r="C222" s="156">
        <f t="shared" si="23"/>
        <v>1000</v>
      </c>
      <c r="D222" s="229">
        <f t="shared" si="22"/>
        <v>12.471599999999999</v>
      </c>
      <c r="E222" s="243">
        <v>0</v>
      </c>
      <c r="F222" s="243">
        <v>0</v>
      </c>
      <c r="G222" s="244">
        <v>0</v>
      </c>
      <c r="H222" s="245">
        <f t="shared" si="20"/>
        <v>12.471599999999999</v>
      </c>
    </row>
    <row r="223" spans="3:16" ht="19">
      <c r="C223" s="156">
        <f t="shared" si="23"/>
        <v>1100</v>
      </c>
      <c r="D223" s="229">
        <f t="shared" si="22"/>
        <v>12.471599999999999</v>
      </c>
      <c r="E223" s="243">
        <v>0</v>
      </c>
      <c r="F223" s="243">
        <v>0</v>
      </c>
      <c r="G223" s="244">
        <v>0</v>
      </c>
      <c r="H223" s="245">
        <f t="shared" si="20"/>
        <v>12.471599999999999</v>
      </c>
    </row>
    <row r="224" spans="3:16" ht="19">
      <c r="C224" s="156">
        <f t="shared" si="23"/>
        <v>1200</v>
      </c>
      <c r="D224" s="229">
        <f t="shared" si="22"/>
        <v>12.471599999999999</v>
      </c>
      <c r="E224" s="243">
        <v>0</v>
      </c>
      <c r="F224" s="243">
        <v>0</v>
      </c>
      <c r="G224" s="244">
        <v>0</v>
      </c>
      <c r="H224" s="245">
        <f t="shared" si="20"/>
        <v>12.471599999999999</v>
      </c>
    </row>
    <row r="225" spans="3:11" ht="19">
      <c r="C225" s="156">
        <f t="shared" si="23"/>
        <v>1300</v>
      </c>
      <c r="D225" s="229">
        <f t="shared" si="22"/>
        <v>12.471599999999999</v>
      </c>
      <c r="E225" s="243">
        <v>0</v>
      </c>
      <c r="F225" s="243">
        <v>0</v>
      </c>
      <c r="G225" s="244">
        <v>0</v>
      </c>
      <c r="H225" s="245">
        <f t="shared" si="20"/>
        <v>12.471599999999999</v>
      </c>
    </row>
    <row r="226" spans="3:11" ht="19">
      <c r="C226" s="156">
        <f t="shared" si="23"/>
        <v>1400</v>
      </c>
      <c r="D226" s="229">
        <f t="shared" si="22"/>
        <v>12.471599999999999</v>
      </c>
      <c r="E226" s="243">
        <v>0</v>
      </c>
      <c r="F226" s="243">
        <v>0</v>
      </c>
      <c r="G226" s="244">
        <v>0</v>
      </c>
      <c r="H226" s="245">
        <f t="shared" si="20"/>
        <v>12.471599999999999</v>
      </c>
    </row>
    <row r="227" spans="3:11" ht="19">
      <c r="C227" s="156">
        <f t="shared" si="23"/>
        <v>1500</v>
      </c>
      <c r="D227" s="229">
        <f t="shared" si="22"/>
        <v>12.471599999999999</v>
      </c>
      <c r="E227" s="243">
        <v>0</v>
      </c>
      <c r="F227" s="243">
        <v>0</v>
      </c>
      <c r="G227" s="244">
        <v>0</v>
      </c>
      <c r="H227" s="245">
        <f t="shared" si="20"/>
        <v>12.471599999999999</v>
      </c>
    </row>
    <row r="228" spans="3:11" ht="19">
      <c r="C228" s="156">
        <f t="shared" si="23"/>
        <v>1600</v>
      </c>
      <c r="D228" s="229">
        <f t="shared" si="22"/>
        <v>12.471599999999999</v>
      </c>
      <c r="E228" s="243">
        <v>0</v>
      </c>
      <c r="F228" s="243">
        <v>0</v>
      </c>
      <c r="G228" s="244">
        <v>0</v>
      </c>
      <c r="H228" s="245">
        <f t="shared" si="20"/>
        <v>12.471599999999999</v>
      </c>
    </row>
    <row r="229" spans="3:11" ht="19">
      <c r="C229" s="156">
        <f t="shared" si="23"/>
        <v>1700</v>
      </c>
      <c r="D229" s="229">
        <f t="shared" si="22"/>
        <v>12.471599999999999</v>
      </c>
      <c r="E229" s="243">
        <v>0</v>
      </c>
      <c r="F229" s="243">
        <v>0</v>
      </c>
      <c r="G229" s="244">
        <v>0</v>
      </c>
      <c r="H229" s="245">
        <f t="shared" si="20"/>
        <v>12.471599999999999</v>
      </c>
    </row>
    <row r="230" spans="3:11" ht="19">
      <c r="C230" s="156">
        <f t="shared" si="23"/>
        <v>1800</v>
      </c>
      <c r="D230" s="229">
        <f t="shared" si="22"/>
        <v>12.471599999999999</v>
      </c>
      <c r="E230" s="243">
        <v>0</v>
      </c>
      <c r="F230" s="243">
        <v>0</v>
      </c>
      <c r="G230" s="244">
        <v>0</v>
      </c>
      <c r="H230" s="245">
        <f t="shared" si="20"/>
        <v>12.471599999999999</v>
      </c>
    </row>
    <row r="231" spans="3:11" ht="19">
      <c r="C231" s="156">
        <f t="shared" si="23"/>
        <v>1900</v>
      </c>
      <c r="D231" s="229">
        <f t="shared" si="22"/>
        <v>12.471599999999999</v>
      </c>
      <c r="E231" s="243">
        <v>0</v>
      </c>
      <c r="F231" s="243">
        <v>0</v>
      </c>
      <c r="G231" s="244">
        <v>0</v>
      </c>
      <c r="H231" s="245">
        <f t="shared" si="20"/>
        <v>12.471599999999999</v>
      </c>
    </row>
    <row r="232" spans="3:11" ht="20" thickBot="1">
      <c r="C232" s="165">
        <f t="shared" si="23"/>
        <v>2000</v>
      </c>
      <c r="D232" s="246">
        <f t="shared" si="22"/>
        <v>12.471599999999999</v>
      </c>
      <c r="E232" s="247">
        <v>0</v>
      </c>
      <c r="F232" s="247">
        <v>0</v>
      </c>
      <c r="G232" s="248">
        <v>0</v>
      </c>
      <c r="H232" s="249">
        <f t="shared" si="20"/>
        <v>12.471599999999999</v>
      </c>
    </row>
    <row r="238" spans="3:11" ht="17" thickBot="1"/>
    <row r="239" spans="3:11" ht="20" thickBot="1">
      <c r="E239" s="66"/>
      <c r="F239" s="66" t="s">
        <v>78</v>
      </c>
      <c r="G239" s="66"/>
      <c r="H239" s="477" t="s">
        <v>118</v>
      </c>
      <c r="I239" s="478"/>
      <c r="J239" s="478"/>
      <c r="K239" s="479"/>
    </row>
    <row r="240" spans="3:11" ht="28" thickBot="1">
      <c r="C240" s="147" t="s">
        <v>132</v>
      </c>
      <c r="D240" s="148"/>
      <c r="E240" s="66"/>
      <c r="F240" s="66"/>
      <c r="G240" s="66"/>
      <c r="H240" s="137" t="s">
        <v>120</v>
      </c>
      <c r="I240" s="137" t="s">
        <v>121</v>
      </c>
      <c r="J240" s="137" t="s">
        <v>122</v>
      </c>
      <c r="K240" s="137" t="s">
        <v>123</v>
      </c>
    </row>
    <row r="244" spans="3:10" ht="20" thickBot="1">
      <c r="D244" s="480"/>
      <c r="E244" s="480"/>
    </row>
    <row r="245" spans="3:10" ht="20" thickBot="1">
      <c r="D245" s="465" t="s">
        <v>133</v>
      </c>
      <c r="E245" s="466"/>
    </row>
    <row r="246" spans="3:10" ht="20" thickBot="1">
      <c r="D246" s="172" t="s">
        <v>125</v>
      </c>
      <c r="E246" s="232" t="s">
        <v>126</v>
      </c>
    </row>
    <row r="247" spans="3:10" ht="19">
      <c r="C247" s="92" t="s">
        <v>45</v>
      </c>
      <c r="D247" s="204">
        <f>$R23</f>
        <v>27.391999999999999</v>
      </c>
      <c r="E247" s="160">
        <f>D247*4.184</f>
        <v>114.60812800000001</v>
      </c>
    </row>
    <row r="248" spans="3:10" ht="19">
      <c r="C248" s="100" t="s">
        <v>48</v>
      </c>
      <c r="D248" s="250">
        <f t="shared" ref="D248:D251" si="25">$R24</f>
        <v>1.377</v>
      </c>
      <c r="E248" s="235">
        <f t="shared" ref="E248:E251" si="26">D248*4.184</f>
        <v>5.761368</v>
      </c>
    </row>
    <row r="249" spans="3:10" ht="19">
      <c r="C249" s="100" t="s">
        <v>50</v>
      </c>
      <c r="D249" s="250">
        <f t="shared" si="25"/>
        <v>26.013999999999999</v>
      </c>
      <c r="E249" s="235">
        <f t="shared" si="26"/>
        <v>108.84257600000001</v>
      </c>
    </row>
    <row r="250" spans="3:10" ht="19">
      <c r="C250" s="100" t="s">
        <v>52</v>
      </c>
      <c r="D250" s="250">
        <f t="shared" si="25"/>
        <v>0</v>
      </c>
      <c r="E250" s="235">
        <f t="shared" si="26"/>
        <v>0</v>
      </c>
    </row>
    <row r="251" spans="3:10" ht="20" thickBot="1">
      <c r="C251" s="105" t="s">
        <v>55</v>
      </c>
      <c r="D251" s="251">
        <f t="shared" si="25"/>
        <v>0</v>
      </c>
      <c r="E251" s="162">
        <f t="shared" si="26"/>
        <v>0</v>
      </c>
    </row>
    <row r="253" spans="3:10" ht="17" thickBot="1"/>
    <row r="254" spans="3:10" ht="20" thickBot="1">
      <c r="C254" s="67" t="s">
        <v>34</v>
      </c>
      <c r="D254" s="252"/>
      <c r="E254" s="252"/>
      <c r="F254" s="252"/>
      <c r="G254" s="253"/>
      <c r="I254" s="76" t="s">
        <v>134</v>
      </c>
      <c r="J254" s="254">
        <f>($B$14^2)/(8*PI()*PI()*$G$258*$B$8)</f>
        <v>9.4413881949532694</v>
      </c>
    </row>
    <row r="255" spans="3:10" ht="20" thickBot="1">
      <c r="C255" s="255"/>
      <c r="D255" s="73" t="s">
        <v>37</v>
      </c>
      <c r="E255" s="74" t="s">
        <v>38</v>
      </c>
      <c r="F255" s="75" t="s">
        <v>39</v>
      </c>
      <c r="G255" s="203" t="s">
        <v>131</v>
      </c>
      <c r="I255" s="123"/>
      <c r="J255" s="123"/>
    </row>
    <row r="256" spans="3:10" ht="22" thickBot="1">
      <c r="C256" s="84" t="s">
        <v>44</v>
      </c>
      <c r="D256" s="256">
        <f>D$23</f>
        <v>6.7290000000000003E-2</v>
      </c>
      <c r="E256" s="86">
        <f t="shared" ref="E256:F256" si="27">E$23</f>
        <v>1.0772900000000001</v>
      </c>
      <c r="F256" s="257">
        <f t="shared" si="27"/>
        <v>2.33209</v>
      </c>
      <c r="G256" s="193">
        <f>SQRT(F256^2 + E256^2 + D256^2)</f>
        <v>2.569771479392672</v>
      </c>
      <c r="J256" s="123"/>
    </row>
    <row r="257" spans="1:18" ht="22" thickBot="1">
      <c r="C257" s="96" t="s">
        <v>47</v>
      </c>
      <c r="D257" s="97">
        <f>D256*$U$9</f>
        <v>1.117014E-28</v>
      </c>
      <c r="E257" s="98">
        <f t="shared" ref="E257:F257" si="28">E256*$U$9</f>
        <v>1.7883014E-27</v>
      </c>
      <c r="F257" s="258">
        <f t="shared" si="28"/>
        <v>3.8712694000000001E-27</v>
      </c>
      <c r="G257" s="193">
        <f t="shared" ref="G257:G258" si="29">SQRT(F257^2 + E257^2 + D257^2)</f>
        <v>4.2658206557918347E-27</v>
      </c>
    </row>
    <row r="258" spans="1:18" ht="22" thickBot="1">
      <c r="C258" s="101" t="s">
        <v>49</v>
      </c>
      <c r="D258" s="102">
        <f>D257*($Q$8)^2</f>
        <v>1.1170140000000001E-48</v>
      </c>
      <c r="E258" s="103">
        <f>E257*($Q$8)^2</f>
        <v>1.7883014000000001E-47</v>
      </c>
      <c r="F258" s="259">
        <f t="shared" ref="F258" si="30">F257*($Q$8)^2</f>
        <v>3.8712694000000007E-47</v>
      </c>
      <c r="G258" s="193">
        <f t="shared" si="29"/>
        <v>4.2658206557918358E-47</v>
      </c>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83</v>
      </c>
      <c r="M261" s="152"/>
      <c r="N261" s="152"/>
      <c r="O261" s="152"/>
      <c r="P261" s="152"/>
      <c r="Q261" s="152"/>
    </row>
    <row r="262" spans="1:18" ht="20" thickBot="1">
      <c r="C262" s="174">
        <v>298.14999999999998</v>
      </c>
      <c r="D262" s="267">
        <f>$B$7*C262/$B$16</f>
        <v>2.4465219442388352E-2</v>
      </c>
      <c r="E262" s="268">
        <f>((2*PI()*$A$28*$U$9*$B$8*$C262)/($B$14*$B$14))^(3/2)</f>
        <v>9.7841433754858247E+29</v>
      </c>
      <c r="F262" s="269">
        <f t="shared" ref="F262:F280" si="31">$B$7*LN(($D262/$B$6)*EXP(5/2)*E262)</f>
        <v>108.83822435209699</v>
      </c>
      <c r="G262" s="270">
        <f>0</f>
        <v>0</v>
      </c>
      <c r="H262" s="270">
        <f>0</f>
        <v>0</v>
      </c>
      <c r="I262" s="271">
        <f xml:space="preserve"> $B$7*LN(2)</f>
        <v>5.7631029180476085</v>
      </c>
      <c r="J262" s="272">
        <f t="shared" ref="J262:J280" si="32">SUM(F262:I262)</f>
        <v>114.60132727014459</v>
      </c>
      <c r="L262" s="66"/>
      <c r="M262" s="66"/>
      <c r="N262" s="66"/>
      <c r="O262" s="66"/>
      <c r="P262" s="66"/>
      <c r="Q262" s="66"/>
    </row>
    <row r="263" spans="1:18" ht="20" thickBot="1">
      <c r="C263" s="153">
        <v>300</v>
      </c>
      <c r="D263" s="267">
        <f>$B$7*C263/$B$16</f>
        <v>2.4617024426350848E-2</v>
      </c>
      <c r="E263" s="268">
        <f>((2*PI()*$A$28*$U$9*$B$8*$C263)/($B$14*$B$14))^(3/2)</f>
        <v>9.8753493856317975E+29</v>
      </c>
      <c r="F263" s="229">
        <f t="shared" si="31"/>
        <v>108.9668015404812</v>
      </c>
      <c r="G263" s="243">
        <f>0</f>
        <v>0</v>
      </c>
      <c r="H263" s="243">
        <f>0</f>
        <v>0</v>
      </c>
      <c r="I263" s="242">
        <f t="shared" ref="I263:I280" si="33" xml:space="preserve"> $B$7*LN(2)</f>
        <v>5.7631029180476085</v>
      </c>
      <c r="J263" s="272">
        <f t="shared" si="32"/>
        <v>114.72990445852881</v>
      </c>
      <c r="N263" s="236" t="s">
        <v>127</v>
      </c>
      <c r="O263" s="237" t="s">
        <v>128</v>
      </c>
      <c r="P263" s="237" t="s">
        <v>129</v>
      </c>
      <c r="Q263" s="238" t="s">
        <v>130</v>
      </c>
      <c r="R263" s="203" t="s">
        <v>131</v>
      </c>
    </row>
    <row r="264" spans="1:18" ht="20" thickBot="1">
      <c r="C264" s="156">
        <f>C263+100</f>
        <v>400</v>
      </c>
      <c r="D264" s="273">
        <f t="shared" ref="D264:D280" si="34">$B$7*C264/$B$16</f>
        <v>3.2822699235134464E-2</v>
      </c>
      <c r="E264" s="274">
        <f t="shared" ref="E264:E280" si="35">(2*PI()*$A$28*$U$9*$B$8*$C264/($B$14)^2)^(3/2)</f>
        <v>1.5204095003029802E+30</v>
      </c>
      <c r="F264" s="229">
        <f t="shared" si="31"/>
        <v>114.94656109846397</v>
      </c>
      <c r="G264" s="243">
        <f>0</f>
        <v>0</v>
      </c>
      <c r="H264" s="243">
        <f>0</f>
        <v>0</v>
      </c>
      <c r="I264" s="244">
        <f t="shared" si="33"/>
        <v>5.7631029180476085</v>
      </c>
      <c r="J264" s="275">
        <f t="shared" si="32"/>
        <v>120.70966401651158</v>
      </c>
      <c r="M264" s="159" t="s">
        <v>85</v>
      </c>
      <c r="N264" s="276">
        <f>F$262</f>
        <v>108.83822435209699</v>
      </c>
      <c r="O264" s="276">
        <f>G$262</f>
        <v>0</v>
      </c>
      <c r="P264" s="276">
        <f>H$262</f>
        <v>0</v>
      </c>
      <c r="Q264" s="276">
        <f>I$262</f>
        <v>5.7631029180476085</v>
      </c>
      <c r="R264" s="276">
        <f>J$262</f>
        <v>114.60132727014459</v>
      </c>
    </row>
    <row r="265" spans="1:18" ht="20" thickBot="1">
      <c r="C265" s="156">
        <f t="shared" ref="C265:C280" si="36">C264+100</f>
        <v>500</v>
      </c>
      <c r="D265" s="273">
        <f t="shared" si="34"/>
        <v>4.1028374043918084E-2</v>
      </c>
      <c r="E265" s="274">
        <f t="shared" si="35"/>
        <v>2.124836872696201E+30</v>
      </c>
      <c r="F265" s="229">
        <f t="shared" si="31"/>
        <v>119.58482295608108</v>
      </c>
      <c r="G265" s="243">
        <f>0</f>
        <v>0</v>
      </c>
      <c r="H265" s="243">
        <f>0</f>
        <v>0</v>
      </c>
      <c r="I265" s="244">
        <f t="shared" si="33"/>
        <v>5.7631029180476085</v>
      </c>
      <c r="J265" s="275">
        <f t="shared" si="32"/>
        <v>125.34792587412869</v>
      </c>
      <c r="M265" s="161" t="s">
        <v>86</v>
      </c>
      <c r="N265" s="276">
        <f>E249</f>
        <v>108.84257600000001</v>
      </c>
      <c r="O265" s="276">
        <f>E251</f>
        <v>0</v>
      </c>
      <c r="P265" s="276">
        <f>E250</f>
        <v>0</v>
      </c>
      <c r="Q265" s="276">
        <f>E248</f>
        <v>5.761368</v>
      </c>
      <c r="R265" s="276">
        <f>E247</f>
        <v>114.60812800000001</v>
      </c>
    </row>
    <row r="266" spans="1:18" ht="22">
      <c r="C266" s="156">
        <f t="shared" si="36"/>
        <v>600</v>
      </c>
      <c r="D266" s="273">
        <f t="shared" si="34"/>
        <v>4.9234048852701696E-2</v>
      </c>
      <c r="E266" s="274">
        <f t="shared" si="35"/>
        <v>2.7931706068666675E+30</v>
      </c>
      <c r="F266" s="229">
        <f t="shared" si="31"/>
        <v>123.37455883560023</v>
      </c>
      <c r="G266" s="243">
        <f>0</f>
        <v>0</v>
      </c>
      <c r="H266" s="243">
        <f>0</f>
        <v>0</v>
      </c>
      <c r="I266" s="244">
        <f t="shared" si="33"/>
        <v>5.7631029180476085</v>
      </c>
      <c r="J266" s="275">
        <f t="shared" si="32"/>
        <v>129.13766175364785</v>
      </c>
      <c r="L266" s="66"/>
      <c r="M266" s="163" t="s">
        <v>87</v>
      </c>
      <c r="N266" s="164">
        <f>IFERROR(ABS(N264-N265)/N264,0)</f>
        <v>3.9982716815958679E-5</v>
      </c>
      <c r="O266" s="164">
        <f t="shared" ref="O266:R266" si="37">IFERROR(ABS(O264-O265)/O264,0)</f>
        <v>0</v>
      </c>
      <c r="P266" s="164">
        <f t="shared" si="37"/>
        <v>0</v>
      </c>
      <c r="Q266" s="164">
        <f t="shared" si="37"/>
        <v>3.0103887997132075E-4</v>
      </c>
      <c r="R266" s="164">
        <f t="shared" si="37"/>
        <v>5.9342505164730958E-5</v>
      </c>
    </row>
    <row r="267" spans="1:18" ht="19">
      <c r="A267" s="188"/>
      <c r="C267" s="156">
        <f t="shared" si="36"/>
        <v>700</v>
      </c>
      <c r="D267" s="273">
        <f t="shared" si="34"/>
        <v>5.7439723661485309E-2</v>
      </c>
      <c r="E267" s="274">
        <f t="shared" si="35"/>
        <v>3.5197972501839381E+30</v>
      </c>
      <c r="F267" s="229">
        <f t="shared" si="31"/>
        <v>126.57873486648963</v>
      </c>
      <c r="G267" s="243">
        <f>0</f>
        <v>0</v>
      </c>
      <c r="H267" s="243">
        <f>0</f>
        <v>0</v>
      </c>
      <c r="I267" s="244">
        <f t="shared" si="33"/>
        <v>5.7631029180476085</v>
      </c>
      <c r="J267" s="275">
        <f t="shared" si="32"/>
        <v>132.34183778453723</v>
      </c>
    </row>
    <row r="268" spans="1:18" ht="19">
      <c r="A268" s="188"/>
      <c r="C268" s="156">
        <f t="shared" si="36"/>
        <v>800</v>
      </c>
      <c r="D268" s="273">
        <f t="shared" si="34"/>
        <v>6.5645398470268929E-2</v>
      </c>
      <c r="E268" s="274">
        <f t="shared" si="35"/>
        <v>4.3003674713787616E+30</v>
      </c>
      <c r="F268" s="229">
        <f t="shared" si="31"/>
        <v>129.35431839358301</v>
      </c>
      <c r="G268" s="243">
        <f>0</f>
        <v>0</v>
      </c>
      <c r="H268" s="243">
        <f>0</f>
        <v>0</v>
      </c>
      <c r="I268" s="244">
        <f t="shared" si="33"/>
        <v>5.7631029180476085</v>
      </c>
      <c r="J268" s="275">
        <f t="shared" si="32"/>
        <v>135.11742131163064</v>
      </c>
    </row>
    <row r="269" spans="1:18" ht="19">
      <c r="C269" s="156">
        <f t="shared" si="36"/>
        <v>900</v>
      </c>
      <c r="D269" s="273">
        <f t="shared" si="34"/>
        <v>7.3851073279052548E-2</v>
      </c>
      <c r="E269" s="274">
        <f t="shared" si="35"/>
        <v>5.1313820635224936E+30</v>
      </c>
      <c r="F269" s="229">
        <f t="shared" si="31"/>
        <v>131.80255657273648</v>
      </c>
      <c r="G269" s="243">
        <f>0</f>
        <v>0</v>
      </c>
      <c r="H269" s="243">
        <f>0</f>
        <v>0</v>
      </c>
      <c r="I269" s="244">
        <f t="shared" si="33"/>
        <v>5.7631029180476085</v>
      </c>
      <c r="J269" s="275">
        <f t="shared" si="32"/>
        <v>137.5656594907841</v>
      </c>
    </row>
    <row r="270" spans="1:18" ht="19">
      <c r="C270" s="156">
        <f t="shared" si="36"/>
        <v>1000</v>
      </c>
      <c r="D270" s="273">
        <f t="shared" si="34"/>
        <v>8.2056748087836168E-2</v>
      </c>
      <c r="E270" s="274">
        <f t="shared" si="35"/>
        <v>6.0099462463948192E+30</v>
      </c>
      <c r="F270" s="229">
        <f t="shared" si="31"/>
        <v>133.99258025120014</v>
      </c>
      <c r="G270" s="243">
        <f>0</f>
        <v>0</v>
      </c>
      <c r="H270" s="243">
        <f>0</f>
        <v>0</v>
      </c>
      <c r="I270" s="244">
        <f t="shared" si="33"/>
        <v>5.7631029180476085</v>
      </c>
      <c r="J270" s="275">
        <f t="shared" si="32"/>
        <v>139.75568316924776</v>
      </c>
    </row>
    <row r="271" spans="1:18" ht="19">
      <c r="C271" s="156">
        <f t="shared" si="36"/>
        <v>1100</v>
      </c>
      <c r="D271" s="273">
        <f t="shared" si="34"/>
        <v>9.0262422896619773E-2</v>
      </c>
      <c r="E271" s="274">
        <f t="shared" si="35"/>
        <v>6.9336132802704108E+30</v>
      </c>
      <c r="F271" s="229">
        <f t="shared" si="31"/>
        <v>135.97369764861276</v>
      </c>
      <c r="G271" s="243">
        <f>0</f>
        <v>0</v>
      </c>
      <c r="H271" s="243">
        <f>0</f>
        <v>0</v>
      </c>
      <c r="I271" s="244">
        <f t="shared" si="33"/>
        <v>5.7631029180476085</v>
      </c>
      <c r="J271" s="275">
        <f t="shared" si="32"/>
        <v>141.73680056666038</v>
      </c>
    </row>
    <row r="272" spans="1:18" ht="19">
      <c r="C272" s="156">
        <f t="shared" si="36"/>
        <v>1200</v>
      </c>
      <c r="D272" s="273">
        <f t="shared" si="34"/>
        <v>9.8468097705403393E-2</v>
      </c>
      <c r="E272" s="274">
        <f t="shared" si="35"/>
        <v>7.9002795085054819E+30</v>
      </c>
      <c r="F272" s="229">
        <f t="shared" si="31"/>
        <v>137.78231613071929</v>
      </c>
      <c r="G272" s="243">
        <f>0</f>
        <v>0</v>
      </c>
      <c r="H272" s="243">
        <f>0</f>
        <v>0</v>
      </c>
      <c r="I272" s="244">
        <f t="shared" si="33"/>
        <v>5.7631029180476085</v>
      </c>
      <c r="J272" s="275">
        <f t="shared" si="32"/>
        <v>143.54541904876692</v>
      </c>
    </row>
    <row r="273" spans="3:10" ht="19">
      <c r="C273" s="156">
        <f t="shared" si="36"/>
        <v>1300</v>
      </c>
      <c r="D273" s="273">
        <f t="shared" si="34"/>
        <v>0.10667377251418701</v>
      </c>
      <c r="E273" s="274">
        <f t="shared" si="35"/>
        <v>8.9081109211980625E+30</v>
      </c>
      <c r="F273" s="229">
        <f t="shared" si="31"/>
        <v>139.4460838524214</v>
      </c>
      <c r="G273" s="243">
        <f>0</f>
        <v>0</v>
      </c>
      <c r="H273" s="243">
        <f>0</f>
        <v>0</v>
      </c>
      <c r="I273" s="244">
        <f t="shared" si="33"/>
        <v>5.7631029180476085</v>
      </c>
      <c r="J273" s="275">
        <f t="shared" si="32"/>
        <v>145.20918677046902</v>
      </c>
    </row>
    <row r="274" spans="3:10" ht="19">
      <c r="C274" s="156">
        <f t="shared" si="36"/>
        <v>1400</v>
      </c>
      <c r="D274" s="273">
        <f t="shared" si="34"/>
        <v>0.11487944732297062</v>
      </c>
      <c r="E274" s="274">
        <f t="shared" si="35"/>
        <v>9.9554900160273307E+30</v>
      </c>
      <c r="F274" s="229">
        <f t="shared" si="31"/>
        <v>140.98649216160868</v>
      </c>
      <c r="G274" s="243">
        <f>0</f>
        <v>0</v>
      </c>
      <c r="H274" s="243">
        <f>0</f>
        <v>0</v>
      </c>
      <c r="I274" s="244">
        <f t="shared" si="33"/>
        <v>5.7631029180476085</v>
      </c>
      <c r="J274" s="275">
        <f t="shared" si="32"/>
        <v>146.7495950796563</v>
      </c>
    </row>
    <row r="275" spans="3:10" ht="19">
      <c r="C275" s="156">
        <f t="shared" si="36"/>
        <v>1500</v>
      </c>
      <c r="D275" s="273">
        <f t="shared" si="34"/>
        <v>0.12308512213175424</v>
      </c>
      <c r="E275" s="274">
        <f t="shared" si="35"/>
        <v>1.104097626391671E+31</v>
      </c>
      <c r="F275" s="229">
        <f t="shared" si="31"/>
        <v>142.42057798833636</v>
      </c>
      <c r="G275" s="243">
        <f>0</f>
        <v>0</v>
      </c>
      <c r="H275" s="243">
        <f>0</f>
        <v>0</v>
      </c>
      <c r="I275" s="244">
        <f t="shared" si="33"/>
        <v>5.7631029180476085</v>
      </c>
      <c r="J275" s="275">
        <f t="shared" si="32"/>
        <v>148.18368090638398</v>
      </c>
    </row>
    <row r="276" spans="3:10" ht="19">
      <c r="C276" s="156">
        <f t="shared" si="36"/>
        <v>1600</v>
      </c>
      <c r="D276" s="273">
        <f t="shared" si="34"/>
        <v>0.13129079694053786</v>
      </c>
      <c r="E276" s="274">
        <f t="shared" si="35"/>
        <v>1.2163276002423735E+31</v>
      </c>
      <c r="F276" s="229">
        <f t="shared" si="31"/>
        <v>143.76207568870194</v>
      </c>
      <c r="G276" s="243">
        <f>0</f>
        <v>0</v>
      </c>
      <c r="H276" s="243">
        <f>0</f>
        <v>0</v>
      </c>
      <c r="I276" s="244">
        <f t="shared" si="33"/>
        <v>5.7631029180476085</v>
      </c>
      <c r="J276" s="275">
        <f t="shared" si="32"/>
        <v>149.52517860674956</v>
      </c>
    </row>
    <row r="277" spans="3:10" ht="19">
      <c r="C277" s="156">
        <f t="shared" si="36"/>
        <v>1700</v>
      </c>
      <c r="D277" s="273">
        <f t="shared" si="34"/>
        <v>0.13949647174932148</v>
      </c>
      <c r="E277" s="274">
        <f t="shared" si="35"/>
        <v>1.3321219048376207E+31</v>
      </c>
      <c r="F277" s="229">
        <f t="shared" si="31"/>
        <v>145.02221907777843</v>
      </c>
      <c r="G277" s="243">
        <f>0</f>
        <v>0</v>
      </c>
      <c r="H277" s="243">
        <f>0</f>
        <v>0</v>
      </c>
      <c r="I277" s="244">
        <f t="shared" si="33"/>
        <v>5.7631029180476085</v>
      </c>
      <c r="J277" s="275">
        <f t="shared" si="32"/>
        <v>150.78532199582605</v>
      </c>
    </row>
    <row r="278" spans="3:10" ht="19">
      <c r="C278" s="156">
        <f t="shared" si="36"/>
        <v>1800</v>
      </c>
      <c r="D278" s="273">
        <f t="shared" si="34"/>
        <v>0.1477021465581051</v>
      </c>
      <c r="E278" s="274">
        <f t="shared" si="35"/>
        <v>1.4513740215903139E+31</v>
      </c>
      <c r="F278" s="229">
        <f t="shared" si="31"/>
        <v>146.21031386785552</v>
      </c>
      <c r="G278" s="243">
        <f>0</f>
        <v>0</v>
      </c>
      <c r="H278" s="243">
        <f>0</f>
        <v>0</v>
      </c>
      <c r="I278" s="244">
        <f t="shared" si="33"/>
        <v>5.7631029180476085</v>
      </c>
      <c r="J278" s="275">
        <f t="shared" si="32"/>
        <v>151.97341678590314</v>
      </c>
    </row>
    <row r="279" spans="3:10" ht="19">
      <c r="C279" s="156">
        <f t="shared" si="36"/>
        <v>1900</v>
      </c>
      <c r="D279" s="273">
        <f t="shared" si="34"/>
        <v>0.15590782136688872</v>
      </c>
      <c r="E279" s="274">
        <f t="shared" si="35"/>
        <v>1.5739864490972069E+31</v>
      </c>
      <c r="F279" s="229">
        <f t="shared" si="31"/>
        <v>147.33415512917952</v>
      </c>
      <c r="G279" s="243">
        <f>0</f>
        <v>0</v>
      </c>
      <c r="H279" s="243">
        <f>0</f>
        <v>0</v>
      </c>
      <c r="I279" s="244">
        <f t="shared" si="33"/>
        <v>5.7631029180476085</v>
      </c>
      <c r="J279" s="275">
        <f t="shared" si="32"/>
        <v>153.09725804722714</v>
      </c>
    </row>
    <row r="280" spans="3:10" ht="20" thickBot="1">
      <c r="C280" s="165">
        <f t="shared" si="36"/>
        <v>2000</v>
      </c>
      <c r="D280" s="277">
        <f t="shared" si="34"/>
        <v>0.16411349617567234</v>
      </c>
      <c r="E280" s="278">
        <f t="shared" si="35"/>
        <v>1.6998694981569705E+31</v>
      </c>
      <c r="F280" s="246">
        <f t="shared" si="31"/>
        <v>148.40033754631915</v>
      </c>
      <c r="G280" s="247">
        <f>0</f>
        <v>0</v>
      </c>
      <c r="H280" s="247">
        <f>0</f>
        <v>0</v>
      </c>
      <c r="I280" s="248">
        <f t="shared" si="33"/>
        <v>5.7631029180476085</v>
      </c>
      <c r="J280" s="279">
        <f t="shared" si="32"/>
        <v>154.16344046436677</v>
      </c>
    </row>
  </sheetData>
  <mergeCells count="11">
    <mergeCell ref="H198:K198"/>
    <mergeCell ref="A18:V18"/>
    <mergeCell ref="A53:V53"/>
    <mergeCell ref="U93:W93"/>
    <mergeCell ref="C100:D100"/>
    <mergeCell ref="AB101:AH101"/>
    <mergeCell ref="D203:E203"/>
    <mergeCell ref="D212:H212"/>
    <mergeCell ref="H239:K239"/>
    <mergeCell ref="D244:E244"/>
    <mergeCell ref="D245:E24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44262-FF0D-3844-9577-B6B0807D87D9}">
  <dimension ref="A3:AH280"/>
  <sheetViews>
    <sheetView topLeftCell="A95" zoomScale="108" workbookViewId="0">
      <selection activeCell="D97" sqref="D97"/>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7.83203125" customWidth="1"/>
    <col min="9" max="9" width="13.66406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20.33203125" customWidth="1"/>
    <col min="33" max="33" width="15.16406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474" t="s">
        <v>155</v>
      </c>
      <c r="B18" s="474"/>
      <c r="C18" s="474"/>
      <c r="D18" s="474"/>
      <c r="E18" s="474"/>
      <c r="F18" s="474"/>
      <c r="G18" s="474"/>
      <c r="H18" s="474"/>
      <c r="I18" s="474"/>
      <c r="J18" s="474"/>
      <c r="K18" s="474"/>
      <c r="L18" s="474"/>
      <c r="M18" s="474"/>
      <c r="N18" s="474"/>
      <c r="O18" s="474"/>
      <c r="P18" s="474"/>
      <c r="Q18" s="474"/>
      <c r="R18" s="474"/>
      <c r="S18" s="474"/>
      <c r="T18" s="474"/>
      <c r="U18" s="474"/>
      <c r="V18" s="474"/>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2.5695100000000002</v>
      </c>
      <c r="E23" s="86">
        <v>4.71312</v>
      </c>
      <c r="F23" s="87">
        <v>7.2826300000000002</v>
      </c>
      <c r="G23" s="66"/>
      <c r="H23" s="88">
        <v>1.8983E-2</v>
      </c>
      <c r="I23" s="89">
        <f>H23*$H$7</f>
        <v>11.911889449</v>
      </c>
      <c r="J23" s="89">
        <f>H23*$I$7</f>
        <v>49.839866499999999</v>
      </c>
      <c r="K23" s="90">
        <f>H23*$F$7</f>
        <v>0.51654071810000002</v>
      </c>
      <c r="L23" s="91">
        <f>H23*$K$7</f>
        <v>8.2765879999999996E-20</v>
      </c>
      <c r="M23" s="66"/>
      <c r="N23" s="66"/>
      <c r="O23" s="92" t="s">
        <v>45</v>
      </c>
      <c r="P23" s="93">
        <v>13.693</v>
      </c>
      <c r="Q23" s="94">
        <v>6.032</v>
      </c>
      <c r="R23" s="95">
        <v>46.524000000000001</v>
      </c>
      <c r="S23" s="66"/>
      <c r="T23" s="66"/>
      <c r="U23" s="66"/>
      <c r="V23" s="66"/>
      <c r="W23" s="66"/>
      <c r="X23" s="66"/>
      <c r="Y23" s="66"/>
      <c r="Z23" s="66"/>
      <c r="AA23" s="66"/>
    </row>
    <row r="24" spans="1:27" ht="22" thickBot="1">
      <c r="A24" s="65" t="s">
        <v>46</v>
      </c>
      <c r="B24" s="66"/>
      <c r="C24" s="96" t="s">
        <v>47</v>
      </c>
      <c r="D24" s="97">
        <f>D23*$U$9</f>
        <v>4.2653866000000002E-27</v>
      </c>
      <c r="E24" s="98">
        <f t="shared" ref="E24:F24" si="0">E23*$U$9</f>
        <v>7.8237791999999993E-27</v>
      </c>
      <c r="F24" s="99">
        <f t="shared" si="0"/>
        <v>1.2089165799999999E-26</v>
      </c>
      <c r="G24" s="66"/>
      <c r="M24" s="66"/>
      <c r="N24" s="66"/>
      <c r="O24" s="100" t="s">
        <v>48</v>
      </c>
      <c r="P24" s="93">
        <v>0</v>
      </c>
      <c r="Q24" s="94">
        <v>0</v>
      </c>
      <c r="R24" s="95">
        <v>1.377</v>
      </c>
      <c r="S24" s="66"/>
      <c r="T24" s="66"/>
      <c r="U24" s="66"/>
      <c r="V24" s="66"/>
      <c r="W24" s="66"/>
      <c r="X24" s="66"/>
      <c r="Y24" s="66"/>
      <c r="Z24" s="66"/>
      <c r="AA24" s="66"/>
    </row>
    <row r="25" spans="1:27" ht="22" thickBot="1">
      <c r="A25" s="71">
        <v>1</v>
      </c>
      <c r="B25" s="66"/>
      <c r="C25" s="101" t="s">
        <v>49</v>
      </c>
      <c r="D25" s="102">
        <f>D24*($Q$8)^2</f>
        <v>4.2653866000000004E-47</v>
      </c>
      <c r="E25" s="103">
        <f>E24*($Q$8)^2</f>
        <v>7.8237791999999998E-47</v>
      </c>
      <c r="F25" s="104">
        <f t="shared" ref="F25" si="1">F24*($Q$8)^2</f>
        <v>1.20891658E-46</v>
      </c>
      <c r="G25" s="66"/>
      <c r="M25" s="66"/>
      <c r="N25" s="66"/>
      <c r="O25" s="100" t="s">
        <v>50</v>
      </c>
      <c r="P25" s="93">
        <v>0.88900000000000001</v>
      </c>
      <c r="Q25" s="94">
        <v>2.9809999999999999</v>
      </c>
      <c r="R25" s="95">
        <v>34.259</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0.88900000000000001</v>
      </c>
      <c r="Q26" s="94">
        <v>2.9809999999999999</v>
      </c>
      <c r="R26" s="95">
        <v>10.875999999999999</v>
      </c>
      <c r="S26" s="66"/>
      <c r="T26" s="66"/>
      <c r="U26" s="66"/>
      <c r="V26" s="66"/>
      <c r="W26" s="66"/>
      <c r="X26" s="66"/>
      <c r="Y26" s="66"/>
      <c r="Z26" s="66"/>
      <c r="AA26" s="66"/>
    </row>
    <row r="27" spans="1:27" ht="20" thickBot="1">
      <c r="A27" s="65" t="s">
        <v>53</v>
      </c>
      <c r="B27" s="66"/>
      <c r="C27" s="65" t="s">
        <v>54</v>
      </c>
      <c r="D27" s="66"/>
      <c r="E27" s="66"/>
      <c r="F27" s="66"/>
      <c r="G27" s="66"/>
      <c r="H27" s="76" t="s">
        <v>40</v>
      </c>
      <c r="I27" s="77" t="s">
        <v>9</v>
      </c>
      <c r="J27" s="77" t="s">
        <v>10</v>
      </c>
      <c r="K27" s="78" t="s">
        <v>7</v>
      </c>
      <c r="L27" s="79" t="s">
        <v>12</v>
      </c>
      <c r="M27" s="66"/>
      <c r="N27" s="66"/>
      <c r="O27" s="105" t="s">
        <v>55</v>
      </c>
      <c r="P27" s="106">
        <v>11.914999999999999</v>
      </c>
      <c r="Q27" s="107">
        <v>7.0000000000000007E-2</v>
      </c>
      <c r="R27" s="108">
        <v>1.0999999999999999E-2</v>
      </c>
      <c r="S27" s="66"/>
      <c r="T27" s="66"/>
      <c r="U27" s="66"/>
      <c r="V27" s="66"/>
      <c r="W27" s="66"/>
      <c r="X27" s="66"/>
      <c r="Y27" s="66"/>
      <c r="Z27" s="66"/>
      <c r="AA27" s="66"/>
    </row>
    <row r="28" spans="1:27" ht="20" thickBot="1">
      <c r="A28" s="71">
        <v>16.018719999999998</v>
      </c>
      <c r="B28" s="66"/>
      <c r="C28" s="109" t="s">
        <v>37</v>
      </c>
      <c r="D28" s="110" t="s">
        <v>38</v>
      </c>
      <c r="E28" s="111" t="s">
        <v>39</v>
      </c>
      <c r="F28" s="66"/>
      <c r="G28" s="66"/>
      <c r="H28" s="112">
        <v>2.1821E-2</v>
      </c>
      <c r="I28" s="89">
        <f>H28*$H$7</f>
        <v>13.692742963000001</v>
      </c>
      <c r="J28" s="89">
        <f>H28*$I$7</f>
        <v>57.2910355</v>
      </c>
      <c r="K28" s="113">
        <f>H28*$F$7</f>
        <v>0.59376468469999999</v>
      </c>
      <c r="L28" s="91">
        <f>H28*$K$7</f>
        <v>9.5139560000000001E-20</v>
      </c>
      <c r="M28" s="66"/>
      <c r="N28" s="66"/>
      <c r="O28" s="66"/>
      <c r="P28" s="66"/>
      <c r="Q28" s="66"/>
      <c r="R28" s="66"/>
      <c r="S28" s="66"/>
      <c r="T28" s="66"/>
      <c r="U28" s="66"/>
      <c r="V28" s="66"/>
      <c r="W28" s="66"/>
      <c r="X28" s="66"/>
      <c r="Y28" s="66"/>
      <c r="Z28" s="66"/>
      <c r="AA28" s="66"/>
    </row>
    <row r="29" spans="1:27" ht="20" thickBot="1">
      <c r="A29" s="66"/>
      <c r="B29" s="66"/>
      <c r="C29" s="112">
        <v>33.708240000000004</v>
      </c>
      <c r="D29" s="323">
        <v>18.377179999999999</v>
      </c>
      <c r="E29" s="310">
        <v>11.8932</v>
      </c>
      <c r="F29" s="66"/>
      <c r="G29" s="66"/>
      <c r="L29" s="66"/>
      <c r="M29" s="66"/>
      <c r="N29" s="66"/>
      <c r="O29" s="66"/>
      <c r="P29" s="66"/>
      <c r="Q29" s="66"/>
      <c r="R29" s="66"/>
      <c r="S29" s="66"/>
      <c r="T29" s="66"/>
      <c r="U29" s="66"/>
      <c r="V29" s="66"/>
      <c r="W29" s="66"/>
      <c r="X29" s="66"/>
      <c r="Y29" s="66"/>
      <c r="Z29" s="66"/>
      <c r="AA29" s="66"/>
    </row>
    <row r="30" spans="1:27" ht="20" thickBot="1">
      <c r="A30" s="65" t="s">
        <v>57</v>
      </c>
      <c r="B30" s="66"/>
      <c r="F30" s="66"/>
      <c r="G30" s="66"/>
      <c r="M30" s="66"/>
      <c r="O30" s="116" t="s">
        <v>58</v>
      </c>
      <c r="P30" s="117"/>
      <c r="Q30" s="117"/>
      <c r="R30" s="118"/>
      <c r="S30" s="66"/>
      <c r="T30" s="66"/>
      <c r="U30" s="66"/>
      <c r="V30" s="66"/>
      <c r="W30" s="66"/>
      <c r="X30" s="66"/>
      <c r="Y30" s="66"/>
      <c r="Z30" s="66"/>
      <c r="AA30" s="66"/>
    </row>
    <row r="31" spans="1:27" ht="20" thickBot="1">
      <c r="A31" s="71">
        <v>2</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2</v>
      </c>
      <c r="Q32" s="125">
        <v>0.30103000000000002</v>
      </c>
      <c r="R32" s="125">
        <v>0.69314699999999996</v>
      </c>
      <c r="S32" s="66"/>
      <c r="T32" s="66"/>
      <c r="U32" s="66"/>
      <c r="V32" s="66"/>
      <c r="W32" s="66"/>
      <c r="X32" s="66"/>
      <c r="Y32" s="66"/>
      <c r="Z32" s="66"/>
      <c r="AA32" s="66"/>
    </row>
    <row r="33" spans="1:27" ht="20" thickBot="1">
      <c r="A33" s="66"/>
      <c r="B33" s="66"/>
      <c r="C33" s="282">
        <v>702.36667</v>
      </c>
      <c r="D33" s="283">
        <v>382.91883000000001</v>
      </c>
      <c r="E33" s="284">
        <v>247.81444999999999</v>
      </c>
      <c r="F33" s="66"/>
      <c r="G33" s="66"/>
      <c r="H33" s="112">
        <v>2.2765000000000001E-2</v>
      </c>
      <c r="I33" s="89">
        <f>H33*$H$7</f>
        <v>14.285105795000002</v>
      </c>
      <c r="J33" s="89">
        <f>H33*$I$7</f>
        <v>59.769507500000003</v>
      </c>
      <c r="K33" s="113">
        <f>H33*$F$7</f>
        <v>0.61945158550000001</v>
      </c>
      <c r="L33" s="91">
        <f>H33*$K$7</f>
        <v>9.9255400000000004E-20</v>
      </c>
      <c r="M33" s="66"/>
      <c r="N33" s="66"/>
      <c r="O33" s="100" t="s">
        <v>50</v>
      </c>
      <c r="P33" s="93">
        <v>2519980</v>
      </c>
      <c r="Q33" s="94">
        <v>6.4013970000000002</v>
      </c>
      <c r="R33" s="94">
        <v>14.739762000000001</v>
      </c>
      <c r="S33" s="66"/>
      <c r="T33" s="66"/>
      <c r="U33" s="66"/>
      <c r="V33" s="66"/>
      <c r="W33" s="66"/>
      <c r="X33" s="66"/>
      <c r="Y33" s="66"/>
      <c r="Z33" s="66"/>
      <c r="AA33" s="66"/>
    </row>
    <row r="34" spans="1:27" ht="19">
      <c r="A34" s="66"/>
      <c r="B34" s="66"/>
      <c r="E34" s="66"/>
      <c r="F34" s="66"/>
      <c r="G34" s="66"/>
      <c r="M34" s="66"/>
      <c r="N34" s="66"/>
      <c r="O34" s="100" t="s">
        <v>52</v>
      </c>
      <c r="P34" s="93">
        <v>53.154499999999999</v>
      </c>
      <c r="Q34" s="94">
        <v>1.7255400000000001</v>
      </c>
      <c r="R34" s="94">
        <v>3.9732029999999998</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0.49716500000000002</v>
      </c>
      <c r="Q35" s="94">
        <v>-0.30349900000000002</v>
      </c>
      <c r="R35" s="94">
        <v>-0.69883300000000004</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268073000</v>
      </c>
      <c r="Q36" s="94">
        <v>8.4282529999999998</v>
      </c>
      <c r="R36" s="94">
        <v>19.406769000000001</v>
      </c>
      <c r="S36" s="66"/>
      <c r="T36" s="66"/>
      <c r="U36" s="66"/>
      <c r="V36" s="66"/>
      <c r="W36" s="66"/>
      <c r="X36" s="66"/>
      <c r="Y36" s="66"/>
      <c r="Z36" s="66"/>
      <c r="AA36" s="66"/>
    </row>
    <row r="37" spans="1:27" ht="20" thickBot="1">
      <c r="A37" s="66"/>
      <c r="B37" s="66"/>
      <c r="C37" s="128" t="s">
        <v>68</v>
      </c>
      <c r="D37" s="129">
        <v>49841</v>
      </c>
      <c r="E37" s="66"/>
      <c r="F37" s="66"/>
      <c r="H37" s="76" t="s">
        <v>40</v>
      </c>
      <c r="I37" s="77" t="s">
        <v>9</v>
      </c>
      <c r="J37" s="77" t="s">
        <v>10</v>
      </c>
      <c r="K37" s="79" t="s">
        <v>7</v>
      </c>
      <c r="L37" s="79" t="s">
        <v>12</v>
      </c>
      <c r="M37" s="66"/>
      <c r="N37" s="66"/>
      <c r="O37" s="100" t="s">
        <v>69</v>
      </c>
      <c r="P37" s="93">
        <v>1.85581E-9</v>
      </c>
      <c r="Q37" s="94">
        <v>-8.7314670000000003</v>
      </c>
      <c r="R37" s="94">
        <v>-20.104945000000001</v>
      </c>
      <c r="S37" s="66"/>
      <c r="T37" s="66"/>
      <c r="U37" s="66"/>
      <c r="V37" s="66"/>
      <c r="W37" s="66"/>
      <c r="X37" s="66"/>
      <c r="Y37" s="66"/>
      <c r="Z37" s="66"/>
      <c r="AA37" s="66"/>
    </row>
    <row r="38" spans="1:27" ht="20" thickBot="1">
      <c r="A38" s="66"/>
      <c r="B38" s="66"/>
      <c r="C38" s="130" t="s">
        <v>70</v>
      </c>
      <c r="D38" s="131">
        <v>11.912280000000001</v>
      </c>
      <c r="E38" s="66"/>
      <c r="F38" s="66"/>
      <c r="H38" s="112">
        <v>6.6E-4</v>
      </c>
      <c r="I38" s="89">
        <f>H38*$H$7</f>
        <v>0.41415198000000003</v>
      </c>
      <c r="J38" s="89">
        <f>H38*$I$7</f>
        <v>1.7328300000000001</v>
      </c>
      <c r="K38" s="113">
        <f>H38*$F$7</f>
        <v>1.7959061999999998E-2</v>
      </c>
      <c r="L38" s="91">
        <f>H38*$K$7</f>
        <v>2.8776000000000001E-21</v>
      </c>
      <c r="M38" s="66"/>
      <c r="N38" s="66"/>
      <c r="O38" s="105" t="s">
        <v>71</v>
      </c>
      <c r="P38" s="93">
        <v>1.0006600000000001</v>
      </c>
      <c r="Q38" s="94">
        <v>2.8499999999999999E-4</v>
      </c>
      <c r="R38" s="94">
        <v>6.5700000000000003E-4</v>
      </c>
      <c r="S38" s="66"/>
      <c r="T38" s="66"/>
      <c r="U38" s="66"/>
      <c r="V38" s="66"/>
      <c r="W38" s="66"/>
      <c r="X38" s="66"/>
      <c r="Y38" s="66"/>
      <c r="Z38" s="66"/>
      <c r="AA38" s="66"/>
    </row>
    <row r="39" spans="1:27" ht="19">
      <c r="A39" s="66"/>
      <c r="B39" s="66"/>
      <c r="C39" s="66"/>
      <c r="D39" s="66"/>
      <c r="E39" s="66"/>
      <c r="F39" s="66"/>
      <c r="J39" s="66"/>
      <c r="K39" s="66"/>
      <c r="L39" s="66"/>
      <c r="M39" s="66"/>
      <c r="N39" s="66"/>
      <c r="O39" s="132"/>
      <c r="P39" s="66"/>
      <c r="Q39" s="66"/>
      <c r="R39" s="66"/>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133" t="s">
        <v>72</v>
      </c>
      <c r="E41" s="134" t="s">
        <v>73</v>
      </c>
      <c r="F41" s="135" t="s">
        <v>74</v>
      </c>
      <c r="G41" s="136" t="s">
        <v>75</v>
      </c>
      <c r="I41" s="66"/>
      <c r="J41" s="66"/>
      <c r="K41" s="66"/>
      <c r="L41" s="66"/>
      <c r="M41" s="66"/>
      <c r="N41" s="66"/>
      <c r="O41" s="66"/>
      <c r="P41" s="66"/>
      <c r="Q41" s="66"/>
      <c r="R41" s="66"/>
      <c r="S41" s="66"/>
      <c r="T41" s="66"/>
      <c r="U41" s="66"/>
      <c r="V41" s="66"/>
      <c r="W41" s="66"/>
      <c r="X41" s="66"/>
      <c r="Y41" s="66"/>
      <c r="Z41" s="66"/>
      <c r="AA41" s="66"/>
    </row>
    <row r="42" spans="1:27" ht="19">
      <c r="A42" s="66"/>
      <c r="B42" s="66"/>
      <c r="C42" s="324">
        <v>1</v>
      </c>
      <c r="D42" s="347">
        <v>2184.7800000000002</v>
      </c>
      <c r="E42" s="348">
        <v>1518.5029999999999</v>
      </c>
      <c r="F42" s="160">
        <f>E42*$L$9</f>
        <v>45523656987900</v>
      </c>
      <c r="G42" s="325">
        <v>1.0916999999999999</v>
      </c>
      <c r="H42" s="139"/>
      <c r="K42" s="66"/>
      <c r="L42" s="66"/>
      <c r="M42" s="66"/>
      <c r="N42" s="66"/>
      <c r="O42" s="66"/>
      <c r="P42" s="66"/>
      <c r="Q42" s="66"/>
      <c r="R42" s="66"/>
      <c r="S42" s="66"/>
      <c r="T42" s="66"/>
      <c r="U42" s="66"/>
      <c r="V42" s="66"/>
      <c r="W42" s="66"/>
      <c r="X42" s="66"/>
      <c r="Y42" s="66"/>
      <c r="Z42" s="66"/>
      <c r="AA42" s="66"/>
    </row>
    <row r="43" spans="1:27" ht="19">
      <c r="B43" s="66"/>
      <c r="C43" s="326">
        <f>C42+1</f>
        <v>2</v>
      </c>
      <c r="D43" s="327">
        <v>4828.3999999999996</v>
      </c>
      <c r="E43" s="328">
        <v>3355.9092999999998</v>
      </c>
      <c r="F43" s="235">
        <f t="shared" ref="F43:F44" si="2">E43*$L$9</f>
        <v>100607811677490</v>
      </c>
      <c r="G43" s="329">
        <v>1.0498000000000001</v>
      </c>
      <c r="H43" s="139"/>
      <c r="K43" s="66"/>
      <c r="L43" s="66"/>
      <c r="M43" s="66"/>
      <c r="N43" s="66"/>
      <c r="O43" s="66"/>
      <c r="P43" s="66"/>
      <c r="Q43" s="66"/>
      <c r="R43" s="66"/>
      <c r="S43" s="66"/>
      <c r="T43" s="66"/>
      <c r="U43" s="66"/>
      <c r="V43" s="66"/>
      <c r="W43" s="66"/>
      <c r="X43" s="66"/>
      <c r="Y43" s="66"/>
      <c r="Z43" s="66"/>
      <c r="AA43" s="66"/>
    </row>
    <row r="44" spans="1:27" ht="20" thickBot="1">
      <c r="B44" s="66"/>
      <c r="C44" s="354">
        <f t="shared" ref="C44" si="3">C43+1</f>
        <v>3</v>
      </c>
      <c r="D44" s="355">
        <v>4975.79</v>
      </c>
      <c r="E44" s="356">
        <v>3458.3494999999998</v>
      </c>
      <c r="F44" s="357">
        <f t="shared" si="2"/>
        <v>103678897165350</v>
      </c>
      <c r="G44" s="358">
        <v>1.0902000000000001</v>
      </c>
      <c r="H44" s="139"/>
      <c r="J44" s="141" t="s">
        <v>76</v>
      </c>
      <c r="M44" s="66"/>
      <c r="N44" s="66"/>
      <c r="O44" s="66"/>
      <c r="P44" s="66"/>
      <c r="Q44" s="66"/>
      <c r="R44" s="66"/>
      <c r="S44" s="66"/>
      <c r="T44" s="66"/>
      <c r="U44" s="66"/>
      <c r="V44" s="66"/>
      <c r="W44" s="66"/>
      <c r="X44" s="66"/>
      <c r="Y44" s="66"/>
      <c r="Z44" s="66"/>
      <c r="AA44" s="66"/>
    </row>
    <row r="45" spans="1:27" ht="20" thickBot="1">
      <c r="B45" s="66"/>
      <c r="C45" s="359"/>
      <c r="D45" s="360"/>
      <c r="E45" s="360"/>
      <c r="F45" s="361"/>
      <c r="G45" s="360"/>
      <c r="H45" s="139"/>
      <c r="J45" s="142">
        <v>1</v>
      </c>
      <c r="K45" s="291">
        <f>J45+1</f>
        <v>2</v>
      </c>
      <c r="L45" s="143">
        <f>K45+1</f>
        <v>3</v>
      </c>
      <c r="M45" s="143">
        <f>L45+1</f>
        <v>4</v>
      </c>
      <c r="N45" s="66"/>
      <c r="O45" s="66"/>
      <c r="P45" s="66"/>
      <c r="Q45" s="66"/>
      <c r="R45" s="66"/>
      <c r="S45" s="66"/>
      <c r="T45" s="66"/>
      <c r="U45" s="66"/>
      <c r="V45" s="66"/>
      <c r="W45" s="66"/>
      <c r="X45" s="66"/>
      <c r="Y45" s="66"/>
      <c r="Z45" s="66"/>
      <c r="AA45" s="66"/>
    </row>
    <row r="46" spans="1:27" ht="20" thickBot="1">
      <c r="C46" s="362"/>
      <c r="D46" s="363"/>
      <c r="E46" s="363"/>
      <c r="F46" s="364"/>
      <c r="G46" s="363"/>
      <c r="H46" s="139"/>
      <c r="J46" s="144">
        <v>-55.8846012853</v>
      </c>
      <c r="K46" s="292">
        <v>-55.885424010100003</v>
      </c>
      <c r="L46" s="365">
        <v>-55.885446884499999</v>
      </c>
      <c r="M46" s="366">
        <v>-55.885446884499999</v>
      </c>
      <c r="N46" s="66"/>
      <c r="O46" s="66"/>
      <c r="P46" s="66"/>
      <c r="Q46" s="66"/>
      <c r="R46" s="66"/>
      <c r="S46" s="66"/>
      <c r="T46" s="66"/>
      <c r="U46" s="66"/>
      <c r="V46" s="66"/>
      <c r="W46" s="66"/>
      <c r="X46" s="66"/>
      <c r="Y46" s="66"/>
      <c r="Z46" s="66"/>
      <c r="AA46" s="66"/>
    </row>
    <row r="47" spans="1:27" ht="19">
      <c r="A47" s="66"/>
      <c r="D47" s="363"/>
      <c r="E47" s="363"/>
      <c r="F47" s="364"/>
      <c r="G47" s="363"/>
      <c r="H47" s="139"/>
      <c r="K47" s="66"/>
      <c r="L47" s="66"/>
      <c r="M47" s="66"/>
      <c r="N47" s="66"/>
      <c r="O47" s="66"/>
      <c r="P47" s="66"/>
      <c r="Q47" s="66"/>
      <c r="R47" s="66"/>
      <c r="S47" s="66"/>
      <c r="T47" s="66"/>
      <c r="U47" s="66"/>
      <c r="V47" s="66"/>
      <c r="W47" s="66"/>
      <c r="X47" s="66"/>
      <c r="Y47" s="66"/>
      <c r="Z47" s="66"/>
      <c r="AA47" s="66"/>
    </row>
    <row r="48" spans="1:27" ht="19">
      <c r="A48" s="66"/>
      <c r="D48" s="66"/>
      <c r="E48" s="66"/>
      <c r="F48" s="140"/>
      <c r="G48" s="66"/>
      <c r="H48" s="139"/>
      <c r="K48" s="66"/>
      <c r="L48" s="66"/>
      <c r="M48" s="66"/>
      <c r="N48" s="66"/>
      <c r="O48" s="66"/>
      <c r="P48" s="66"/>
      <c r="Q48" s="66"/>
      <c r="R48" s="66"/>
      <c r="S48" s="66"/>
      <c r="T48" s="66"/>
      <c r="U48" s="66"/>
      <c r="V48" s="66"/>
      <c r="W48" s="66"/>
      <c r="X48" s="66"/>
      <c r="Y48" s="66"/>
      <c r="Z48" s="66"/>
      <c r="AA48" s="66"/>
    </row>
    <row r="49" spans="1:27" ht="19">
      <c r="A49" s="66"/>
      <c r="B49" s="66"/>
      <c r="D49" s="66"/>
      <c r="E49" s="66"/>
      <c r="F49" s="140"/>
      <c r="G49" s="66"/>
      <c r="H49" s="139"/>
      <c r="N49" s="66"/>
      <c r="O49" s="66"/>
      <c r="P49" s="66"/>
      <c r="Q49" s="66"/>
      <c r="R49" s="66"/>
      <c r="S49" s="66"/>
      <c r="T49" s="66"/>
      <c r="U49" s="66"/>
      <c r="V49" s="66"/>
      <c r="W49" s="66"/>
      <c r="X49" s="66"/>
      <c r="Y49" s="66"/>
      <c r="Z49" s="66"/>
      <c r="AA49" s="66"/>
    </row>
    <row r="50" spans="1:27" ht="19">
      <c r="A50" s="66"/>
      <c r="B50" s="66"/>
      <c r="C50" s="139"/>
      <c r="D50" s="66"/>
      <c r="E50" s="66"/>
      <c r="F50" s="140"/>
      <c r="G50" s="66"/>
      <c r="H50" s="139"/>
      <c r="K50" s="66"/>
      <c r="L50" s="66"/>
      <c r="M50" s="66"/>
      <c r="N50" s="66"/>
      <c r="O50" s="66"/>
      <c r="P50" s="66"/>
      <c r="Q50" s="66"/>
      <c r="R50" s="66"/>
      <c r="S50" s="66"/>
      <c r="T50" s="66"/>
      <c r="U50" s="66"/>
      <c r="V50" s="66"/>
      <c r="W50" s="66"/>
      <c r="X50" s="66"/>
      <c r="Y50" s="66"/>
      <c r="Z50" s="66"/>
      <c r="AA50" s="66"/>
    </row>
    <row r="51" spans="1:27" ht="19">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27" ht="1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ht="34" thickBot="1">
      <c r="A53" s="474" t="s">
        <v>154</v>
      </c>
      <c r="B53" s="474"/>
      <c r="C53" s="474"/>
      <c r="D53" s="474"/>
      <c r="E53" s="474"/>
      <c r="F53" s="474"/>
      <c r="G53" s="474"/>
      <c r="H53" s="474"/>
      <c r="I53" s="474"/>
      <c r="J53" s="474"/>
      <c r="K53" s="474"/>
      <c r="L53" s="474"/>
      <c r="M53" s="474"/>
      <c r="N53" s="474"/>
      <c r="O53" s="474"/>
      <c r="P53" s="474"/>
      <c r="Q53" s="474"/>
      <c r="R53" s="474"/>
      <c r="S53" s="474"/>
      <c r="T53" s="474"/>
      <c r="U53" s="474"/>
      <c r="V53" s="474"/>
      <c r="W53" s="66"/>
      <c r="X53" s="66"/>
      <c r="Y53" s="66"/>
      <c r="Z53" s="66"/>
      <c r="AA53" s="66"/>
    </row>
    <row r="54" spans="1:27" ht="20" thickTop="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ht="19">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row>
    <row r="56" spans="1:27"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row>
    <row r="57" spans="1:27"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c r="B64" s="66"/>
      <c r="C64" s="181" t="s">
        <v>80</v>
      </c>
      <c r="D64" s="293" t="s">
        <v>81</v>
      </c>
      <c r="E64" s="181" t="s">
        <v>82</v>
      </c>
      <c r="F64" s="66"/>
      <c r="G64" s="66"/>
      <c r="H64" s="151" t="s">
        <v>83</v>
      </c>
      <c r="I64" s="152"/>
      <c r="J64" s="152"/>
      <c r="K64" s="152"/>
      <c r="L64" s="152"/>
      <c r="M64" s="152"/>
      <c r="N64" s="152"/>
      <c r="O64" s="66"/>
      <c r="Q64" s="66"/>
      <c r="R64" s="66"/>
      <c r="S64" s="66"/>
      <c r="T64" s="66"/>
      <c r="U64" s="66"/>
      <c r="V64" s="66"/>
      <c r="W64" s="66"/>
      <c r="X64" s="66"/>
      <c r="Y64" s="66"/>
      <c r="Z64" s="66"/>
      <c r="AA64" s="66"/>
    </row>
    <row r="65" spans="2:27" ht="20" thickBot="1">
      <c r="B65" s="66"/>
      <c r="C65" s="109">
        <v>298.14999999999998</v>
      </c>
      <c r="D65" s="294">
        <f t="shared" ref="D65:D83" si="4">C65*$B$8/$B$16</f>
        <v>4.0625788058228471E-26</v>
      </c>
      <c r="E65" s="295">
        <f xml:space="preserve"> (2*PI()*$A$28*$U$9*$B$8*C65/($B$14^2))^(3/2)*D65</f>
        <v>2518751.9470435334</v>
      </c>
      <c r="F65" s="140"/>
      <c r="G65" s="66"/>
      <c r="H65" s="66"/>
      <c r="I65" s="66"/>
      <c r="J65" s="66"/>
      <c r="K65" s="66"/>
      <c r="L65" s="66"/>
      <c r="M65" s="66"/>
      <c r="N65" s="66"/>
      <c r="O65" s="66"/>
      <c r="Q65" s="66"/>
      <c r="R65" s="66"/>
      <c r="S65" s="66"/>
      <c r="T65" s="66"/>
      <c r="U65" s="66"/>
      <c r="V65" s="66"/>
      <c r="W65" s="66"/>
      <c r="X65" s="66"/>
      <c r="Y65" s="66"/>
      <c r="Z65" s="66"/>
      <c r="AA65" s="66"/>
    </row>
    <row r="66" spans="2:27" ht="20" thickBot="1">
      <c r="B66" s="66"/>
      <c r="C66" s="153">
        <v>300</v>
      </c>
      <c r="D66" s="154">
        <f t="shared" si="4"/>
        <v>4.0877868245743891E-26</v>
      </c>
      <c r="E66" s="155">
        <f xml:space="preserve"> (2*PI()*$A$28*$U$9*$B$8*C66/($B$14^2))^(3/2)*D66</f>
        <v>2558005.664168728</v>
      </c>
      <c r="F66" s="66"/>
      <c r="G66" s="66"/>
      <c r="L66" s="149" t="s">
        <v>84</v>
      </c>
      <c r="M66" s="66"/>
      <c r="N66" s="66"/>
      <c r="O66" s="66"/>
      <c r="Q66" s="66"/>
      <c r="R66" s="66"/>
      <c r="S66" s="66"/>
      <c r="T66" s="66"/>
      <c r="U66" s="66"/>
      <c r="V66" s="66"/>
      <c r="W66" s="66"/>
      <c r="X66" s="66"/>
      <c r="Y66" s="66"/>
      <c r="Z66" s="66"/>
      <c r="AA66" s="66"/>
    </row>
    <row r="67" spans="2:27" ht="19">
      <c r="B67" s="66"/>
      <c r="C67" s="156">
        <f>C66+100</f>
        <v>400</v>
      </c>
      <c r="D67" s="157">
        <f t="shared" si="4"/>
        <v>5.4503824327658529E-26</v>
      </c>
      <c r="E67" s="158">
        <f t="shared" ref="E67:E83" si="5" xml:space="preserve"> (2*PI()*$A$28*$U$9*$B$8*C67/($B$14^2))^(3/2)*D67</f>
        <v>5251076.4757205164</v>
      </c>
      <c r="F67" s="66"/>
      <c r="G67" s="66"/>
      <c r="K67" s="159" t="s">
        <v>85</v>
      </c>
      <c r="L67" s="160">
        <f>$E$65</f>
        <v>2518751.9470435334</v>
      </c>
      <c r="M67" s="66"/>
      <c r="N67" s="66"/>
      <c r="O67" s="66"/>
      <c r="Q67" s="66"/>
      <c r="R67" s="66"/>
      <c r="S67" s="66"/>
      <c r="T67" s="66"/>
      <c r="U67" s="66"/>
      <c r="V67" s="66"/>
      <c r="W67" s="66"/>
      <c r="X67" s="66"/>
      <c r="Y67" s="66"/>
      <c r="Z67" s="66"/>
      <c r="AA67" s="66"/>
    </row>
    <row r="68" spans="2:27" ht="20" thickBot="1">
      <c r="B68" s="66"/>
      <c r="C68" s="156">
        <f t="shared" ref="C68:C83" si="6">C67+100</f>
        <v>500</v>
      </c>
      <c r="D68" s="157">
        <f t="shared" si="4"/>
        <v>6.812978040957315E-26</v>
      </c>
      <c r="E68" s="158">
        <f t="shared" si="5"/>
        <v>9173253.0896571595</v>
      </c>
      <c r="F68" s="66"/>
      <c r="G68" s="66"/>
      <c r="K68" s="161" t="s">
        <v>86</v>
      </c>
      <c r="L68" s="162">
        <f>P33</f>
        <v>2519980</v>
      </c>
      <c r="M68" s="66"/>
      <c r="N68" s="66"/>
      <c r="O68" s="66"/>
      <c r="Q68" s="66"/>
      <c r="R68" s="66"/>
      <c r="S68" s="66"/>
      <c r="T68" s="66"/>
      <c r="U68" s="66"/>
      <c r="V68" s="66"/>
      <c r="W68" s="66"/>
      <c r="X68" s="66"/>
      <c r="Y68" s="66"/>
      <c r="Z68" s="66"/>
      <c r="AA68" s="66"/>
    </row>
    <row r="69" spans="2:27" ht="22">
      <c r="B69" s="66"/>
      <c r="C69" s="156">
        <f t="shared" si="6"/>
        <v>600</v>
      </c>
      <c r="D69" s="157">
        <f t="shared" si="4"/>
        <v>8.1755736491487783E-26</v>
      </c>
      <c r="E69" s="158">
        <f t="shared" si="5"/>
        <v>14470265.211578485</v>
      </c>
      <c r="F69" s="66"/>
      <c r="G69" s="66"/>
      <c r="H69" s="66"/>
      <c r="I69" s="66"/>
      <c r="K69" s="163" t="s">
        <v>87</v>
      </c>
      <c r="L69" s="164">
        <f>ABS(L67-L68)/L67</f>
        <v>4.8756407232082935E-4</v>
      </c>
      <c r="M69" s="66"/>
      <c r="N69" s="66"/>
      <c r="O69" s="66"/>
      <c r="Q69" s="66"/>
      <c r="R69" s="66"/>
      <c r="S69" s="66"/>
      <c r="T69" s="66"/>
      <c r="U69" s="66"/>
      <c r="V69" s="66"/>
      <c r="W69" s="66"/>
      <c r="X69" s="66"/>
      <c r="Y69" s="66"/>
      <c r="Z69" s="66"/>
      <c r="AA69" s="66"/>
    </row>
    <row r="70" spans="2:27" ht="19">
      <c r="B70" s="66"/>
      <c r="C70" s="156">
        <f t="shared" si="6"/>
        <v>700</v>
      </c>
      <c r="D70" s="157">
        <f t="shared" si="4"/>
        <v>9.5381692573402415E-26</v>
      </c>
      <c r="E70" s="158">
        <f t="shared" si="5"/>
        <v>21273721.282398958</v>
      </c>
      <c r="F70" s="66"/>
      <c r="G70" s="66"/>
      <c r="Q70" s="66"/>
      <c r="R70" s="66"/>
      <c r="S70" s="66"/>
      <c r="T70" s="66"/>
      <c r="U70" s="66"/>
      <c r="V70" s="66"/>
      <c r="W70" s="66"/>
      <c r="X70" s="66"/>
      <c r="Y70" s="66"/>
      <c r="Z70" s="66"/>
      <c r="AA70" s="66"/>
    </row>
    <row r="71" spans="2:27" ht="19">
      <c r="B71" s="66"/>
      <c r="C71" s="156">
        <f t="shared" si="6"/>
        <v>800</v>
      </c>
      <c r="D71" s="157">
        <f t="shared" si="4"/>
        <v>1.0900764865531706E-25</v>
      </c>
      <c r="E71" s="158">
        <f t="shared" si="5"/>
        <v>29704574.276089154</v>
      </c>
      <c r="F71" s="66"/>
      <c r="G71" s="66"/>
      <c r="Q71" s="66"/>
      <c r="R71" s="66"/>
      <c r="S71" s="66"/>
      <c r="T71" s="66"/>
      <c r="U71" s="66"/>
      <c r="V71" s="66"/>
      <c r="W71" s="66"/>
      <c r="X71" s="66"/>
      <c r="Y71" s="66"/>
      <c r="Z71" s="66"/>
      <c r="AA71" s="66"/>
    </row>
    <row r="72" spans="2:27" ht="19">
      <c r="B72" s="66"/>
      <c r="C72" s="156">
        <f t="shared" si="6"/>
        <v>900</v>
      </c>
      <c r="D72" s="157">
        <f t="shared" si="4"/>
        <v>1.2263360473723168E-25</v>
      </c>
      <c r="E72" s="158">
        <f t="shared" si="5"/>
        <v>39875361.987503298</v>
      </c>
      <c r="F72" s="66"/>
      <c r="G72" s="66"/>
      <c r="Q72" s="66"/>
      <c r="R72" s="66"/>
      <c r="S72" s="66"/>
      <c r="T72" s="66"/>
      <c r="U72" s="66"/>
      <c r="V72" s="66"/>
      <c r="W72" s="66"/>
      <c r="X72" s="66"/>
      <c r="Y72" s="66"/>
      <c r="Z72" s="66"/>
      <c r="AA72" s="66"/>
    </row>
    <row r="73" spans="2:27" ht="19">
      <c r="C73" s="156">
        <f t="shared" si="6"/>
        <v>1000</v>
      </c>
      <c r="D73" s="157">
        <f t="shared" si="4"/>
        <v>1.362595608191463E-25</v>
      </c>
      <c r="E73" s="158">
        <f t="shared" si="5"/>
        <v>51891755.72189635</v>
      </c>
    </row>
    <row r="74" spans="2:27" ht="19">
      <c r="C74" s="156">
        <f t="shared" si="6"/>
        <v>1100</v>
      </c>
      <c r="D74" s="157">
        <f t="shared" si="4"/>
        <v>1.4988551690106094E-25</v>
      </c>
      <c r="E74" s="158">
        <f t="shared" si="5"/>
        <v>65853684.383333303</v>
      </c>
    </row>
    <row r="75" spans="2:27" ht="19">
      <c r="C75" s="156">
        <f t="shared" si="6"/>
        <v>1200</v>
      </c>
      <c r="D75" s="157">
        <f t="shared" si="4"/>
        <v>1.6351147298297557E-25</v>
      </c>
      <c r="E75" s="158">
        <f t="shared" si="5"/>
        <v>81856181.253399745</v>
      </c>
    </row>
    <row r="76" spans="2:27" ht="19">
      <c r="C76" s="156">
        <f t="shared" si="6"/>
        <v>1300</v>
      </c>
      <c r="D76" s="157">
        <f t="shared" si="4"/>
        <v>1.7713742906489019E-25</v>
      </c>
      <c r="E76" s="158">
        <f t="shared" si="5"/>
        <v>99990040.840508208</v>
      </c>
    </row>
    <row r="77" spans="2:27" ht="19">
      <c r="C77" s="156">
        <f t="shared" si="6"/>
        <v>1400</v>
      </c>
      <c r="D77" s="157">
        <f t="shared" si="4"/>
        <v>1.9076338514680483E-25</v>
      </c>
      <c r="E77" s="158">
        <f t="shared" si="5"/>
        <v>120342340.63885535</v>
      </c>
    </row>
    <row r="78" spans="2:27" ht="19">
      <c r="C78" s="156">
        <f t="shared" si="6"/>
        <v>1500</v>
      </c>
      <c r="D78" s="157">
        <f t="shared" si="4"/>
        <v>2.043893412287195E-25</v>
      </c>
      <c r="E78" s="158">
        <f t="shared" si="5"/>
        <v>142996863.79777098</v>
      </c>
    </row>
    <row r="79" spans="2:27" ht="19">
      <c r="C79" s="156">
        <f t="shared" si="6"/>
        <v>1600</v>
      </c>
      <c r="D79" s="157">
        <f t="shared" si="4"/>
        <v>2.1801529731063412E-25</v>
      </c>
      <c r="E79" s="158">
        <f t="shared" si="5"/>
        <v>168034447.22305748</v>
      </c>
    </row>
    <row r="80" spans="2:27" ht="19">
      <c r="C80" s="156">
        <f t="shared" si="6"/>
        <v>1700</v>
      </c>
      <c r="D80" s="157">
        <f t="shared" si="4"/>
        <v>2.3164125339254876E-25</v>
      </c>
      <c r="E80" s="158">
        <f t="shared" si="5"/>
        <v>195533272.33575085</v>
      </c>
    </row>
    <row r="81" spans="3:26" ht="19">
      <c r="C81" s="156">
        <f t="shared" si="6"/>
        <v>1800</v>
      </c>
      <c r="D81" s="157">
        <f t="shared" si="4"/>
        <v>2.4526720947446336E-25</v>
      </c>
      <c r="E81" s="158">
        <f t="shared" si="5"/>
        <v>225569110.90905237</v>
      </c>
    </row>
    <row r="82" spans="3:26" ht="19">
      <c r="C82" s="156">
        <f t="shared" si="6"/>
        <v>1900</v>
      </c>
      <c r="D82" s="157">
        <f t="shared" si="4"/>
        <v>2.58893165556378E-25</v>
      </c>
      <c r="E82" s="158">
        <f t="shared" si="5"/>
        <v>258215535.14348531</v>
      </c>
    </row>
    <row r="83" spans="3:26" ht="20" thickBot="1">
      <c r="C83" s="165">
        <f t="shared" si="6"/>
        <v>2000</v>
      </c>
      <c r="D83" s="166">
        <f t="shared" si="4"/>
        <v>2.725191216382926E-25</v>
      </c>
      <c r="E83" s="167">
        <f t="shared" si="5"/>
        <v>293544098.86903071</v>
      </c>
    </row>
    <row r="92" spans="3:26" ht="22" customHeight="1">
      <c r="F92" s="66" t="s">
        <v>78</v>
      </c>
      <c r="Y92" s="66" t="s">
        <v>78</v>
      </c>
    </row>
    <row r="93" spans="3:26" ht="27">
      <c r="C93" s="147" t="s">
        <v>88</v>
      </c>
      <c r="D93" s="168"/>
      <c r="E93" s="66"/>
      <c r="F93" s="66"/>
      <c r="G93" s="66"/>
      <c r="U93" s="475" t="s">
        <v>89</v>
      </c>
      <c r="V93" s="475"/>
      <c r="W93" s="475"/>
      <c r="X93" s="66"/>
      <c r="Y93" s="66"/>
      <c r="Z93" s="66"/>
    </row>
    <row r="94" spans="3:26" ht="19">
      <c r="E94" s="66"/>
      <c r="G94" s="66"/>
      <c r="X94" s="66"/>
      <c r="Z94" s="66"/>
    </row>
    <row r="95" spans="3:26" ht="20" thickBot="1">
      <c r="E95" s="66"/>
      <c r="F95" s="66"/>
      <c r="G95" s="66"/>
    </row>
    <row r="96" spans="3:26" ht="20" thickBot="1">
      <c r="C96" s="169" t="s">
        <v>90</v>
      </c>
      <c r="E96" s="66"/>
      <c r="F96" s="66"/>
      <c r="G96" s="66"/>
    </row>
    <row r="97" spans="3:34" ht="22" thickBot="1">
      <c r="C97" s="170" t="s">
        <v>91</v>
      </c>
      <c r="D97" s="334" cm="1">
        <f t="array" ref="D97">INDEX($E:$E,(COLUMN(D97)-4)*1+42)</f>
        <v>1518.5029999999999</v>
      </c>
      <c r="E97" s="334" cm="1">
        <f t="array" ref="E97">INDEX($E:$E,(COLUMN(E97)-4)*1+42)</f>
        <v>3355.9092999999998</v>
      </c>
      <c r="F97" s="334" cm="1">
        <f t="array" ref="F97">INDEX($E:$E,(COLUMN(F97)-4)*1+42)</f>
        <v>3458.3494999999998</v>
      </c>
      <c r="G97" s="367"/>
      <c r="H97" s="66"/>
      <c r="I97" s="66"/>
      <c r="J97" s="66"/>
      <c r="K97" s="66"/>
      <c r="L97" s="66"/>
      <c r="M97" s="174" t="s">
        <v>93</v>
      </c>
      <c r="N97" s="175" cm="1">
        <f t="array" ref="N97">SUM(($B$14*$D$98:$I$98)/2)*$H$13</f>
        <v>11.917875391915389</v>
      </c>
    </row>
    <row r="98" spans="3:34" ht="20" thickBot="1">
      <c r="C98" s="172" t="s">
        <v>92</v>
      </c>
      <c r="D98" s="276">
        <f>D97*$L$9</f>
        <v>45523656987900</v>
      </c>
      <c r="E98" s="276">
        <f t="shared" ref="E98:F98" si="7">E97*$L$9</f>
        <v>100607811677490</v>
      </c>
      <c r="F98" s="276">
        <f t="shared" si="7"/>
        <v>103678897165350</v>
      </c>
      <c r="G98" s="197"/>
      <c r="H98" s="140"/>
      <c r="I98" s="140"/>
      <c r="J98" s="140"/>
      <c r="K98" s="140"/>
      <c r="L98" s="140"/>
    </row>
    <row r="99" spans="3:34" ht="17" thickBot="1"/>
    <row r="100" spans="3:34" ht="30" customHeight="1" thickBot="1">
      <c r="C100" s="368" t="s">
        <v>149</v>
      </c>
      <c r="D100" s="369"/>
      <c r="E100" s="369"/>
      <c r="F100" s="369"/>
      <c r="G100" s="176" t="s">
        <v>95</v>
      </c>
      <c r="H100" s="297"/>
      <c r="I100" s="297"/>
    </row>
    <row r="101" spans="3:34" ht="38" customHeight="1" thickBot="1">
      <c r="C101" s="177" t="s">
        <v>96</v>
      </c>
      <c r="D101" s="216">
        <v>1</v>
      </c>
      <c r="E101" s="336">
        <f t="shared" ref="E101:F101" si="8">D101+1</f>
        <v>2</v>
      </c>
      <c r="F101" s="349">
        <f t="shared" si="8"/>
        <v>3</v>
      </c>
      <c r="G101" s="179"/>
      <c r="H101" s="180"/>
      <c r="I101" s="180"/>
      <c r="L101" s="151" t="s">
        <v>83</v>
      </c>
      <c r="M101" s="152"/>
      <c r="N101" s="152"/>
      <c r="O101" s="152"/>
      <c r="P101" s="152"/>
      <c r="Q101" s="66"/>
      <c r="U101" s="181" t="s">
        <v>80</v>
      </c>
      <c r="V101" s="182" t="s">
        <v>97</v>
      </c>
      <c r="W101" s="183" t="s">
        <v>98</v>
      </c>
      <c r="X101" s="183" t="s">
        <v>147</v>
      </c>
      <c r="Y101" s="184" t="s">
        <v>100</v>
      </c>
      <c r="Z101" s="185" t="s">
        <v>101</v>
      </c>
      <c r="AB101" s="476" t="s">
        <v>83</v>
      </c>
      <c r="AC101" s="476"/>
      <c r="AD101" s="476"/>
      <c r="AE101" s="476"/>
      <c r="AF101" s="476"/>
      <c r="AG101" s="476"/>
      <c r="AH101" s="476"/>
    </row>
    <row r="102" spans="3:34" ht="20" thickBot="1">
      <c r="C102" s="174">
        <v>298.14999999999998</v>
      </c>
      <c r="D102" s="337">
        <f>1/(1-EXP(-($B$14*D$98)/($B$8*$C102)))</f>
        <v>1.0006574381536888</v>
      </c>
      <c r="E102" s="350">
        <f t="shared" ref="E102:F103" si="9">1/(1-EXP(-($B$14*E$98)/($B$8*$C102)))</f>
        <v>1.0000000926385078</v>
      </c>
      <c r="F102" s="370">
        <f t="shared" si="9"/>
        <v>1.0000000565067859</v>
      </c>
      <c r="G102" s="300">
        <f xml:space="preserve"> PRODUCT(D102:F102)</f>
        <v>1.0006575873970416</v>
      </c>
      <c r="H102" s="188"/>
      <c r="I102" s="188"/>
      <c r="U102" s="174">
        <v>298.14999999999998</v>
      </c>
      <c r="V102" s="189">
        <f>$E65</f>
        <v>2518751.9470435334</v>
      </c>
      <c r="W102" s="190" cm="1">
        <f t="array" ref="W102">PRODUCT(EXP(-($B$14*$D$98:$F$98)/(2*$B$8*$U102))/(1-EXP(-($B$14*$D$98:$F$98)/($B$8*$U102))))</f>
        <v>1.8557363594966411E-9</v>
      </c>
      <c r="X102" s="191">
        <f>$E137</f>
        <v>53.154535436986535</v>
      </c>
      <c r="Y102" s="192">
        <f>$D175</f>
        <v>2</v>
      </c>
      <c r="Z102" s="193">
        <f>PRODUCT(V102:Y102)</f>
        <v>0.49690343468181875</v>
      </c>
    </row>
    <row r="103" spans="3:34" ht="22" thickBot="1">
      <c r="C103" s="194">
        <v>300</v>
      </c>
      <c r="D103" s="340">
        <f>1/(1-EXP(-($B$14*D$98)/($B$8*$C103)))</f>
        <v>1.0006878489693338</v>
      </c>
      <c r="E103" s="340">
        <f t="shared" si="9"/>
        <v>1.0000001023677145</v>
      </c>
      <c r="F103" s="301">
        <f t="shared" si="9"/>
        <v>1.0000000626319581</v>
      </c>
      <c r="G103" s="302">
        <f t="shared" ref="G103:G120" si="10" xml:space="preserve"> PRODUCT(D103:F103)</f>
        <v>1.0006880140825076</v>
      </c>
      <c r="H103" s="188"/>
      <c r="I103" s="188"/>
      <c r="N103" s="149" t="s">
        <v>102</v>
      </c>
      <c r="O103" s="221" t="s">
        <v>103</v>
      </c>
      <c r="P103" s="341" t="s">
        <v>104</v>
      </c>
      <c r="U103" s="194">
        <v>300</v>
      </c>
      <c r="V103" s="197">
        <f t="shared" ref="V103:V120" si="11">$E66</f>
        <v>2558005.664168728</v>
      </c>
      <c r="W103" s="66" cm="1">
        <f t="array" ref="W103">PRODUCT(EXP(-($B$14*$D$98:$F$98)/(2*$B$8*$U103))/(1-EXP(-($B$14*$D$98:$F$98)/($B$8*$U103))))</f>
        <v>2.100754934778878E-9</v>
      </c>
      <c r="X103" s="140">
        <f t="shared" ref="X103:X120" si="12">$E138</f>
        <v>53.650032376505536</v>
      </c>
      <c r="Y103" s="198">
        <f t="shared" ref="Y103:Y120" si="13">$D176</f>
        <v>2</v>
      </c>
      <c r="Z103" s="303">
        <f t="shared" ref="Z103:Z120" si="14">PRODUCT(V103:Y103)</f>
        <v>0.57660297424754092</v>
      </c>
    </row>
    <row r="104" spans="3:34" ht="20" thickBot="1">
      <c r="C104" s="199">
        <f>C103+100</f>
        <v>400</v>
      </c>
      <c r="D104" s="340">
        <f t="shared" ref="D104:F120" si="15">1/(1-EXP(-($B$14*D$98)/($B$8*$C104)))</f>
        <v>1.0042632758102239</v>
      </c>
      <c r="E104" s="340">
        <f t="shared" si="15"/>
        <v>1.0000057230126724</v>
      </c>
      <c r="F104" s="301">
        <f t="shared" si="15"/>
        <v>1.0000039591202299</v>
      </c>
      <c r="G104" s="302">
        <f t="shared" si="10"/>
        <v>1.0042729992434838</v>
      </c>
      <c r="H104" s="188"/>
      <c r="I104" s="188"/>
      <c r="M104" s="159" t="s">
        <v>85</v>
      </c>
      <c r="N104" s="160">
        <f>G102</f>
        <v>1.0006575873970416</v>
      </c>
      <c r="O104" s="342">
        <f>G124</f>
        <v>1.8557363594966411E-9</v>
      </c>
      <c r="P104" s="201">
        <f>N97</f>
        <v>11.917875391915389</v>
      </c>
      <c r="U104" s="199">
        <f>U103+100</f>
        <v>400</v>
      </c>
      <c r="V104" s="197">
        <f t="shared" si="11"/>
        <v>5251076.4757205164</v>
      </c>
      <c r="W104" s="66" cm="1">
        <f t="array" ref="W104">PRODUCT(EXP(-($B$14*$D$98:$F$98)/(2*$B$8*$U104))/(1-EXP(-($B$14*$D$98:$F$98)/($B$8*$U104))))</f>
        <v>3.1146504027405823E-7</v>
      </c>
      <c r="X104" s="140">
        <f t="shared" si="12"/>
        <v>82.599628358953638</v>
      </c>
      <c r="Y104" s="198">
        <f t="shared" si="13"/>
        <v>2</v>
      </c>
      <c r="Z104" s="303">
        <f t="shared" si="14"/>
        <v>270.18780278021035</v>
      </c>
    </row>
    <row r="105" spans="3:34" ht="23" thickBot="1">
      <c r="C105" s="199">
        <f t="shared" ref="C105:C120" si="16">C104+100</f>
        <v>500</v>
      </c>
      <c r="D105" s="340">
        <f t="shared" si="15"/>
        <v>1.0128188317240119</v>
      </c>
      <c r="E105" s="340">
        <f t="shared" si="15"/>
        <v>1.0000639919829635</v>
      </c>
      <c r="F105" s="301">
        <f t="shared" si="15"/>
        <v>1.0000476538805869</v>
      </c>
      <c r="G105" s="302">
        <f t="shared" si="10"/>
        <v>1.0129319118456568</v>
      </c>
      <c r="H105" s="188"/>
      <c r="I105" s="188"/>
      <c r="M105" s="161" t="s">
        <v>86</v>
      </c>
      <c r="N105" s="162">
        <f>P38</f>
        <v>1.0006600000000001</v>
      </c>
      <c r="O105" s="343">
        <f>P37</f>
        <v>1.85581E-9</v>
      </c>
      <c r="P105" s="304">
        <f>D38</f>
        <v>11.912280000000001</v>
      </c>
      <c r="U105" s="199">
        <f t="shared" ref="U105:U120" si="17">U104+100</f>
        <v>500</v>
      </c>
      <c r="V105" s="197">
        <f t="shared" si="11"/>
        <v>9173253.0896571595</v>
      </c>
      <c r="W105" s="66" cm="1">
        <f t="array" ref="W105">PRODUCT(EXP(-($B$14*$D$98:$F$98)/(2*$B$8*$U105))/(1-EXP(-($B$14*$D$98:$F$98)/($B$8*$U105))))</f>
        <v>6.2925441334278704E-6</v>
      </c>
      <c r="X105" s="140">
        <f t="shared" si="12"/>
        <v>115.43648995427488</v>
      </c>
      <c r="Y105" s="198">
        <f t="shared" si="13"/>
        <v>2</v>
      </c>
      <c r="Z105" s="303">
        <f t="shared" si="14"/>
        <v>13326.704086651318</v>
      </c>
      <c r="AE105" s="149" t="s">
        <v>84</v>
      </c>
      <c r="AF105" s="351" t="s">
        <v>150</v>
      </c>
      <c r="AG105" s="352" t="s">
        <v>106</v>
      </c>
    </row>
    <row r="106" spans="3:34" ht="23" thickBot="1">
      <c r="C106" s="199">
        <f t="shared" si="16"/>
        <v>600</v>
      </c>
      <c r="D106" s="340">
        <f t="shared" si="15"/>
        <v>1.0269237424273128</v>
      </c>
      <c r="E106" s="340">
        <f t="shared" si="15"/>
        <v>1.0003200519340527</v>
      </c>
      <c r="F106" s="301">
        <f t="shared" si="15"/>
        <v>1.0002503264165969</v>
      </c>
      <c r="G106" s="302">
        <f t="shared" si="10"/>
        <v>1.0275095597722768</v>
      </c>
      <c r="H106" s="188"/>
      <c r="I106" s="188"/>
      <c r="M106" s="163" t="s">
        <v>87</v>
      </c>
      <c r="N106" s="164">
        <f>ABS(N104-N105)/N104</f>
        <v>2.4110175037990904E-6</v>
      </c>
      <c r="O106" s="164">
        <f t="shared" ref="O106:P106" si="18">ABS(O104-O105)/O104</f>
        <v>3.9682632170272934E-5</v>
      </c>
      <c r="P106" s="164">
        <f t="shared" si="18"/>
        <v>4.69495755861342E-4</v>
      </c>
      <c r="U106" s="199">
        <f t="shared" si="17"/>
        <v>600</v>
      </c>
      <c r="V106" s="197">
        <f t="shared" si="11"/>
        <v>14470265.211578485</v>
      </c>
      <c r="W106" s="66" cm="1">
        <f t="array" ref="W106">PRODUCT(EXP(-($B$14*$D$98:$F$98)/(2*$B$8*$U106))/(1-EXP(-($B$14*$D$98:$F$98)/($B$8*$U106))))</f>
        <v>4.707867358881414E-5</v>
      </c>
      <c r="X106" s="140">
        <f t="shared" si="12"/>
        <v>151.74520681721944</v>
      </c>
      <c r="Y106" s="198">
        <f t="shared" si="13"/>
        <v>2</v>
      </c>
      <c r="Z106" s="303">
        <f t="shared" si="14"/>
        <v>206750.08029184898</v>
      </c>
      <c r="AD106" s="159" t="s">
        <v>85</v>
      </c>
      <c r="AE106" s="160">
        <f>Z102</f>
        <v>0.49690343468181875</v>
      </c>
      <c r="AF106" s="288">
        <f>D137*V102*W102*Y102</f>
        <v>3.3516358083628699</v>
      </c>
      <c r="AG106" s="205">
        <f>V103*X103*Y103*G103</f>
        <v>274663015.50046015</v>
      </c>
    </row>
    <row r="107" spans="3:34" ht="20" thickBot="1">
      <c r="C107" s="199">
        <f t="shared" si="16"/>
        <v>700</v>
      </c>
      <c r="D107" s="340">
        <f t="shared" si="15"/>
        <v>1.046142682101967</v>
      </c>
      <c r="E107" s="340">
        <f t="shared" si="15"/>
        <v>1.0010111007886506</v>
      </c>
      <c r="F107" s="301">
        <f t="shared" si="15"/>
        <v>1.00081897017035</v>
      </c>
      <c r="G107" s="302">
        <f t="shared" si="10"/>
        <v>1.0480580637138113</v>
      </c>
      <c r="H107" s="188"/>
      <c r="I107" s="188"/>
      <c r="U107" s="199">
        <f t="shared" si="17"/>
        <v>700</v>
      </c>
      <c r="V107" s="197">
        <f t="shared" si="11"/>
        <v>21273721.282398958</v>
      </c>
      <c r="W107" s="66" cm="1">
        <f t="array" ref="W107">PRODUCT(EXP(-($B$14*$D$98:$F$98)/(2*$B$8*$U107))/(1-EXP(-($B$14*$D$98:$F$98)/($B$8*$U107))))</f>
        <v>2.0011302437802369E-4</v>
      </c>
      <c r="X107" s="140">
        <f t="shared" si="12"/>
        <v>191.22081564613066</v>
      </c>
      <c r="Y107" s="198">
        <f t="shared" si="13"/>
        <v>2</v>
      </c>
      <c r="Z107" s="303">
        <f t="shared" si="14"/>
        <v>1628110.8956218669</v>
      </c>
      <c r="AD107" s="161" t="s">
        <v>86</v>
      </c>
      <c r="AE107" s="162">
        <f>$P35</f>
        <v>0.49716500000000002</v>
      </c>
      <c r="AF107" s="162">
        <f>$P35</f>
        <v>0.49716500000000002</v>
      </c>
    </row>
    <row r="108" spans="3:34" ht="22">
      <c r="C108" s="199">
        <f t="shared" si="16"/>
        <v>800</v>
      </c>
      <c r="D108" s="340">
        <f t="shared" si="15"/>
        <v>1.0696960759249814</v>
      </c>
      <c r="E108" s="340">
        <f t="shared" si="15"/>
        <v>1.0023980117547255</v>
      </c>
      <c r="F108" s="301">
        <f t="shared" si="15"/>
        <v>1.0019937168704331</v>
      </c>
      <c r="G108" s="302">
        <f t="shared" si="10"/>
        <v>1.0743990049722385</v>
      </c>
      <c r="H108" s="188"/>
      <c r="I108" s="188"/>
      <c r="U108" s="199">
        <f t="shared" si="17"/>
        <v>800</v>
      </c>
      <c r="V108" s="197">
        <f t="shared" si="11"/>
        <v>29704574.276089154</v>
      </c>
      <c r="W108" s="66" cm="1">
        <f t="array" ref="W108">PRODUCT(EXP(-($B$14*$D$98:$F$98)/(2*$B$8*$U108))/(1-EXP(-($B$14*$D$98:$F$98)/($B$8*$U108))))</f>
        <v>5.983349310177791E-4</v>
      </c>
      <c r="X108" s="140">
        <f t="shared" si="12"/>
        <v>233.62702934441893</v>
      </c>
      <c r="Y108" s="198">
        <f t="shared" si="13"/>
        <v>2</v>
      </c>
      <c r="Z108" s="303">
        <f t="shared" si="14"/>
        <v>8304639.2723161792</v>
      </c>
      <c r="AD108" s="163" t="s">
        <v>87</v>
      </c>
      <c r="AE108" s="164">
        <f>ABS(AE106-AE107)/AE106</f>
        <v>5.2639064237655327E-4</v>
      </c>
      <c r="AF108" s="164">
        <f>ABS(AF106-AF107)/AF106</f>
        <v>0.85166496945775161</v>
      </c>
    </row>
    <row r="109" spans="3:34" ht="19">
      <c r="C109" s="199">
        <f t="shared" si="16"/>
        <v>900</v>
      </c>
      <c r="D109" s="340">
        <f t="shared" si="15"/>
        <v>1.0967959841638368</v>
      </c>
      <c r="E109" s="340">
        <f t="shared" si="15"/>
        <v>1.0046999224244983</v>
      </c>
      <c r="F109" s="301">
        <f t="shared" si="15"/>
        <v>1.0039871275740733</v>
      </c>
      <c r="G109" s="302">
        <f t="shared" si="10"/>
        <v>1.1063444587851623</v>
      </c>
      <c r="H109" s="188"/>
      <c r="I109" s="188"/>
      <c r="U109" s="199">
        <f t="shared" si="17"/>
        <v>900</v>
      </c>
      <c r="V109" s="197">
        <f t="shared" si="11"/>
        <v>39875361.987503298</v>
      </c>
      <c r="W109" s="66" cm="1">
        <f t="array" ref="W109">PRODUCT(EXP(-($B$14*$D$98:$F$98)/(2*$B$8*$U109))/(1-EXP(-($B$14*$D$98:$F$98)/($B$8*$U109))))</f>
        <v>1.4166066074436431E-3</v>
      </c>
      <c r="X109" s="140">
        <f t="shared" si="12"/>
        <v>278.77374571146851</v>
      </c>
      <c r="Y109" s="198">
        <f t="shared" si="13"/>
        <v>2</v>
      </c>
      <c r="Z109" s="303">
        <f t="shared" si="14"/>
        <v>31494576.136941668</v>
      </c>
    </row>
    <row r="110" spans="3:34" ht="19">
      <c r="C110" s="199">
        <f t="shared" si="16"/>
        <v>1000</v>
      </c>
      <c r="D110" s="340">
        <f t="shared" si="15"/>
        <v>1.1267624764383193</v>
      </c>
      <c r="E110" s="340">
        <f t="shared" si="15"/>
        <v>1.0080637468502893</v>
      </c>
      <c r="F110" s="301">
        <f t="shared" si="15"/>
        <v>1.0069509973806077</v>
      </c>
      <c r="G110" s="302">
        <f t="shared" si="10"/>
        <v>1.1437436830883647</v>
      </c>
      <c r="H110" s="188"/>
      <c r="I110" s="188"/>
      <c r="U110" s="199">
        <f t="shared" si="17"/>
        <v>1000</v>
      </c>
      <c r="V110" s="197">
        <f t="shared" si="11"/>
        <v>51891755.72189635</v>
      </c>
      <c r="W110" s="66" cm="1">
        <f t="array" ref="W110">PRODUCT(EXP(-($B$14*$D$98:$F$98)/(2*$B$8*$U110))/(1-EXP(-($B$14*$D$98:$F$98)/($B$8*$U110))))</f>
        <v>2.8507013197638167E-3</v>
      </c>
      <c r="X110" s="140">
        <f t="shared" si="12"/>
        <v>326.50369937216192</v>
      </c>
      <c r="Y110" s="198">
        <f t="shared" si="13"/>
        <v>2</v>
      </c>
      <c r="Z110" s="303">
        <f t="shared" si="14"/>
        <v>96598010.909075037</v>
      </c>
    </row>
    <row r="111" spans="3:34" ht="19">
      <c r="C111" s="199">
        <f t="shared" si="16"/>
        <v>1100</v>
      </c>
      <c r="D111" s="340">
        <f t="shared" si="15"/>
        <v>1.1590437051894944</v>
      </c>
      <c r="E111" s="340">
        <f t="shared" si="15"/>
        <v>1.0125632783265075</v>
      </c>
      <c r="F111" s="301">
        <f t="shared" si="15"/>
        <v>1.0109705477305249</v>
      </c>
      <c r="G111" s="302">
        <f t="shared" si="10"/>
        <v>1.1864801845492492</v>
      </c>
      <c r="H111" s="188"/>
      <c r="I111" s="188"/>
      <c r="U111" s="199">
        <f t="shared" si="17"/>
        <v>1100</v>
      </c>
      <c r="V111" s="197">
        <f t="shared" si="11"/>
        <v>65853684.383333303</v>
      </c>
      <c r="W111" s="66" cm="1">
        <f t="array" ref="W111">PRODUCT(EXP(-($B$14*$D$98:$F$98)/(2*$B$8*$U111))/(1-EXP(-($B$14*$D$98:$F$98)/($B$8*$U111))))</f>
        <v>5.099811610864145E-3</v>
      </c>
      <c r="X111" s="140">
        <f t="shared" si="12"/>
        <v>376.68396574799135</v>
      </c>
      <c r="Y111" s="198">
        <f t="shared" si="13"/>
        <v>2</v>
      </c>
      <c r="Z111" s="303">
        <f t="shared" si="14"/>
        <v>253012128.95285338</v>
      </c>
    </row>
    <row r="112" spans="3:34" ht="19">
      <c r="C112" s="199">
        <f t="shared" si="16"/>
        <v>1200</v>
      </c>
      <c r="D112" s="340">
        <f t="shared" si="15"/>
        <v>1.1932025153768542</v>
      </c>
      <c r="E112" s="340">
        <f t="shared" si="15"/>
        <v>1.0182129099308377</v>
      </c>
      <c r="F112" s="301">
        <f t="shared" si="15"/>
        <v>1.0160740137211322</v>
      </c>
      <c r="G112" s="302">
        <f t="shared" si="10"/>
        <v>1.2344630744052267</v>
      </c>
      <c r="H112" s="188"/>
      <c r="I112" s="188"/>
      <c r="U112" s="199">
        <f t="shared" si="17"/>
        <v>1200</v>
      </c>
      <c r="V112" s="197">
        <f t="shared" si="11"/>
        <v>81856181.253399745</v>
      </c>
      <c r="W112" s="66" cm="1">
        <f t="array" ref="W112">PRODUCT(EXP(-($B$14*$D$98:$F$98)/(2*$B$8*$U112))/(1-EXP(-($B$14*$D$98:$F$98)/($B$8*$U112))))</f>
        <v>8.3559777970723739E-3</v>
      </c>
      <c r="X112" s="140">
        <f t="shared" si="12"/>
        <v>429.2002590120444</v>
      </c>
      <c r="Y112" s="198">
        <f t="shared" si="13"/>
        <v>2</v>
      </c>
      <c r="Z112" s="303">
        <f t="shared" si="14"/>
        <v>587136025.30113888</v>
      </c>
    </row>
    <row r="113" spans="2:26" ht="19">
      <c r="C113" s="199">
        <f t="shared" si="16"/>
        <v>1300</v>
      </c>
      <c r="D113" s="340">
        <f t="shared" si="15"/>
        <v>1.2288951753378514</v>
      </c>
      <c r="E113" s="340">
        <f t="shared" si="15"/>
        <v>1.0249849315837667</v>
      </c>
      <c r="F113" s="301">
        <f t="shared" si="15"/>
        <v>1.0222473422014053</v>
      </c>
      <c r="G113" s="302">
        <f t="shared" si="10"/>
        <v>1.2876217680348223</v>
      </c>
      <c r="H113" s="188"/>
      <c r="I113" s="188"/>
      <c r="U113" s="199">
        <f t="shared" si="17"/>
        <v>1300</v>
      </c>
      <c r="V113" s="197">
        <f t="shared" si="11"/>
        <v>99990040.840508208</v>
      </c>
      <c r="W113" s="66" cm="1">
        <f t="array" ref="W113">PRODUCT(EXP(-($B$14*$D$98:$F$98)/(2*$B$8*$U113))/(1-EXP(-($B$14*$D$98:$F$98)/($B$8*$U113))))</f>
        <v>1.2799429842193266E-2</v>
      </c>
      <c r="X113" s="140">
        <f t="shared" si="12"/>
        <v>483.95294249652432</v>
      </c>
      <c r="Y113" s="198">
        <f t="shared" si="13"/>
        <v>2</v>
      </c>
      <c r="Z113" s="303">
        <f t="shared" si="14"/>
        <v>1238740966.4052579</v>
      </c>
    </row>
    <row r="114" spans="2:26" ht="19">
      <c r="C114" s="199">
        <f t="shared" si="16"/>
        <v>1400</v>
      </c>
      <c r="D114" s="340">
        <f t="shared" si="15"/>
        <v>1.2658511917540287</v>
      </c>
      <c r="E114" s="340">
        <f t="shared" si="15"/>
        <v>1.0328249831901333</v>
      </c>
      <c r="F114" s="301">
        <f t="shared" si="15"/>
        <v>1.0294483411464996</v>
      </c>
      <c r="G114" s="302">
        <f t="shared" si="10"/>
        <v>1.3459035776255825</v>
      </c>
      <c r="H114" s="188"/>
      <c r="I114" s="188"/>
      <c r="U114" s="199">
        <f t="shared" si="17"/>
        <v>1400</v>
      </c>
      <c r="V114" s="197">
        <f t="shared" si="11"/>
        <v>120342340.63885535</v>
      </c>
      <c r="W114" s="66" cm="1">
        <f t="array" ref="W114">PRODUCT(EXP(-($B$14*$D$98:$F$98)/(2*$B$8*$U114))/(1-EXP(-($B$14*$D$98:$F$98)/($B$8*$U114))))</f>
        <v>1.8597687824716443E-2</v>
      </c>
      <c r="X114" s="140">
        <f t="shared" si="12"/>
        <v>540.85414178960718</v>
      </c>
      <c r="Y114" s="198">
        <f t="shared" si="13"/>
        <v>2</v>
      </c>
      <c r="Z114" s="303">
        <f t="shared" si="14"/>
        <v>2420959717.1323605</v>
      </c>
    </row>
    <row r="115" spans="2:26" ht="19">
      <c r="C115" s="199">
        <f t="shared" si="16"/>
        <v>1500</v>
      </c>
      <c r="D115" s="340">
        <f t="shared" si="15"/>
        <v>1.3038566443464932</v>
      </c>
      <c r="E115" s="340">
        <f t="shared" si="15"/>
        <v>1.0416639285661013</v>
      </c>
      <c r="F115" s="301">
        <f t="shared" si="15"/>
        <v>1.0376180887282438</v>
      </c>
      <c r="G115" s="302">
        <f t="shared" si="10"/>
        <v>1.4092725865285971</v>
      </c>
      <c r="H115" s="188"/>
      <c r="I115" s="188"/>
      <c r="U115" s="199">
        <f t="shared" si="17"/>
        <v>1500</v>
      </c>
      <c r="V115" s="197">
        <f t="shared" si="11"/>
        <v>142996863.79777098</v>
      </c>
      <c r="W115" s="66" cm="1">
        <f t="array" ref="W115">PRODUCT(EXP(-($B$14*$D$98:$F$98)/(2*$B$8*$U115))/(1-EXP(-($B$14*$D$98:$F$98)/($B$8*$U115))))</f>
        <v>2.5906595423861287E-2</v>
      </c>
      <c r="X115" s="140">
        <f t="shared" si="12"/>
        <v>599.82559694465522</v>
      </c>
      <c r="Y115" s="198">
        <f t="shared" si="13"/>
        <v>2</v>
      </c>
      <c r="Z115" s="303">
        <f t="shared" si="14"/>
        <v>4444182102.9206171</v>
      </c>
    </row>
    <row r="116" spans="2:26" ht="19">
      <c r="C116" s="199">
        <f t="shared" si="16"/>
        <v>1600</v>
      </c>
      <c r="D116" s="340">
        <f t="shared" si="15"/>
        <v>1.3427411618070062</v>
      </c>
      <c r="E116" s="340">
        <f t="shared" si="15"/>
        <v>1.0514261895212027</v>
      </c>
      <c r="F116" s="301">
        <f t="shared" si="15"/>
        <v>1.0466892622568884</v>
      </c>
      <c r="G116" s="302">
        <f t="shared" si="10"/>
        <v>1.477708807325858</v>
      </c>
      <c r="H116" s="188"/>
      <c r="I116" s="188"/>
      <c r="U116" s="199">
        <f t="shared" si="17"/>
        <v>1600</v>
      </c>
      <c r="V116" s="197">
        <f t="shared" si="11"/>
        <v>168034447.22305748</v>
      </c>
      <c r="W116" s="66" cm="1">
        <f t="array" ref="W116">PRODUCT(EXP(-($B$14*$D$98:$F$98)/(2*$B$8*$U116))/(1-EXP(-($B$14*$D$98:$F$98)/($B$8*$U116))))</f>
        <v>3.4872111287832491E-2</v>
      </c>
      <c r="X116" s="140">
        <f t="shared" si="12"/>
        <v>660.79702687162933</v>
      </c>
      <c r="Y116" s="198">
        <f t="shared" si="13"/>
        <v>2</v>
      </c>
      <c r="Z116" s="303">
        <f t="shared" si="14"/>
        <v>7744165747.8870459</v>
      </c>
    </row>
    <row r="117" spans="2:26" ht="19">
      <c r="C117" s="199">
        <f t="shared" si="16"/>
        <v>1700</v>
      </c>
      <c r="D117" s="340">
        <f t="shared" si="15"/>
        <v>1.3823679746148108</v>
      </c>
      <c r="E117" s="340">
        <f t="shared" si="15"/>
        <v>1.0620352107492721</v>
      </c>
      <c r="F117" s="301">
        <f t="shared" si="15"/>
        <v>1.0565918102424654</v>
      </c>
      <c r="G117" s="302">
        <f t="shared" si="10"/>
        <v>1.5512072276980149</v>
      </c>
      <c r="H117" s="188"/>
      <c r="I117" s="188"/>
      <c r="U117" s="199">
        <f t="shared" si="17"/>
        <v>1700</v>
      </c>
      <c r="V117" s="197">
        <f t="shared" si="11"/>
        <v>195533272.33575085</v>
      </c>
      <c r="W117" s="66" cm="1">
        <f t="array" ref="W117">PRODUCT(EXP(-($B$14*$D$98:$F$98)/(2*$B$8*$U117))/(1-EXP(-($B$14*$D$98:$F$98)/($B$8*$U117))))</f>
        <v>4.5632219116292685E-2</v>
      </c>
      <c r="X117" s="140">
        <f t="shared" si="12"/>
        <v>723.70485876655107</v>
      </c>
      <c r="Y117" s="198">
        <f t="shared" si="13"/>
        <v>2</v>
      </c>
      <c r="Z117" s="303">
        <f t="shared" si="14"/>
        <v>12914682736.53368</v>
      </c>
    </row>
    <row r="118" spans="2:26" ht="19">
      <c r="C118" s="199">
        <f t="shared" si="16"/>
        <v>1800</v>
      </c>
      <c r="D118" s="340">
        <f t="shared" si="15"/>
        <v>1.4226263797902772</v>
      </c>
      <c r="E118" s="340">
        <f t="shared" si="15"/>
        <v>1.0734168176926533</v>
      </c>
      <c r="F118" s="301">
        <f t="shared" si="15"/>
        <v>1.0672565890888135</v>
      </c>
      <c r="G118" s="302">
        <f t="shared" si="10"/>
        <v>1.6297766735885457</v>
      </c>
      <c r="H118" s="188"/>
      <c r="I118" s="188"/>
      <c r="U118" s="199">
        <f t="shared" si="17"/>
        <v>1800</v>
      </c>
      <c r="V118" s="197">
        <f t="shared" si="11"/>
        <v>225569110.90905237</v>
      </c>
      <c r="W118" s="66" cm="1">
        <f t="array" ref="W118">PRODUCT(EXP(-($B$14*$D$98:$F$98)/(2*$B$8*$U118))/(1-EXP(-($B$14*$D$98:$F$98)/($B$8*$U118))))</f>
        <v>5.8318661360392751E-2</v>
      </c>
      <c r="X118" s="140">
        <f t="shared" si="12"/>
        <v>788.49122403741512</v>
      </c>
      <c r="Y118" s="198">
        <f t="shared" si="13"/>
        <v>2</v>
      </c>
      <c r="Z118" s="303">
        <f t="shared" si="14"/>
        <v>20745028416.704838</v>
      </c>
    </row>
    <row r="119" spans="2:26" ht="19">
      <c r="C119" s="199">
        <f t="shared" si="16"/>
        <v>1900</v>
      </c>
      <c r="D119" s="340">
        <f t="shared" si="15"/>
        <v>1.4634260362652141</v>
      </c>
      <c r="E119" s="340">
        <f t="shared" si="15"/>
        <v>1.0855011184262162</v>
      </c>
      <c r="F119" s="301">
        <f t="shared" si="15"/>
        <v>1.0786175442809918</v>
      </c>
      <c r="G119" s="302">
        <f t="shared" si="10"/>
        <v>1.7134385461672694</v>
      </c>
      <c r="H119" s="188"/>
      <c r="I119" s="188"/>
      <c r="U119" s="199">
        <f t="shared" si="17"/>
        <v>1900</v>
      </c>
      <c r="V119" s="197">
        <f t="shared" si="11"/>
        <v>258215535.14348531</v>
      </c>
      <c r="W119" s="66" cm="1">
        <f t="array" ref="W119">PRODUCT(EXP(-($B$14*$D$98:$F$98)/(2*$B$8*$U119))/(1-EXP(-($B$14*$D$98:$F$98)/($B$8*$U119))))</f>
        <v>7.3058393145338921E-2</v>
      </c>
      <c r="X119" s="140">
        <f t="shared" si="12"/>
        <v>855.10315287790161</v>
      </c>
      <c r="Y119" s="198">
        <f t="shared" si="13"/>
        <v>2</v>
      </c>
      <c r="Z119" s="303">
        <f t="shared" si="14"/>
        <v>32262720580.811897</v>
      </c>
    </row>
    <row r="120" spans="2:26" ht="20" thickBot="1">
      <c r="C120" s="208">
        <f t="shared" si="16"/>
        <v>2000</v>
      </c>
      <c r="D120" s="340">
        <f t="shared" si="15"/>
        <v>1.5046926311906157</v>
      </c>
      <c r="E120" s="340">
        <f t="shared" si="15"/>
        <v>1.0982234432980644</v>
      </c>
      <c r="F120" s="301">
        <f t="shared" si="15"/>
        <v>1.0906128987766004</v>
      </c>
      <c r="G120" s="305">
        <f t="shared" si="10"/>
        <v>1.8022255158755922</v>
      </c>
      <c r="H120" s="188"/>
      <c r="I120" s="188"/>
      <c r="U120" s="208">
        <f t="shared" si="17"/>
        <v>2000</v>
      </c>
      <c r="V120" s="211">
        <f t="shared" si="11"/>
        <v>293544098.86903071</v>
      </c>
      <c r="W120" s="212" cm="1">
        <f t="array" ref="W120">PRODUCT(EXP(-($B$14*$D$98:$F$98)/(2*$B$8*$U120))/(1-EXP(-($B$14*$D$98:$F$98)/($B$8*$U120))))</f>
        <v>8.9974747861712917E-2</v>
      </c>
      <c r="X120" s="213">
        <f t="shared" si="12"/>
        <v>923.49191963419764</v>
      </c>
      <c r="Y120" s="214">
        <f t="shared" si="13"/>
        <v>2</v>
      </c>
      <c r="Z120" s="306">
        <f t="shared" si="14"/>
        <v>48781717622.845879</v>
      </c>
    </row>
    <row r="122" spans="2:26" ht="17" thickBot="1"/>
    <row r="123" spans="2:26" ht="32" thickBot="1">
      <c r="C123" s="215" t="s">
        <v>107</v>
      </c>
      <c r="D123" s="216">
        <v>1</v>
      </c>
      <c r="E123" s="336">
        <f t="shared" ref="E123:F123" si="19">D123+1</f>
        <v>2</v>
      </c>
      <c r="F123" s="349">
        <f t="shared" si="19"/>
        <v>3</v>
      </c>
      <c r="G123" s="176" t="s">
        <v>95</v>
      </c>
      <c r="H123" s="180"/>
      <c r="I123" s="180"/>
      <c r="K123" s="180"/>
      <c r="L123" s="180"/>
    </row>
    <row r="124" spans="2:26" ht="20" thickBot="1">
      <c r="C124" s="174">
        <v>298.14999999999998</v>
      </c>
      <c r="D124" s="344">
        <f>EXP(-($B$14*D$98)/(2*$B$8*$C124))/(1-EXP(-($B$14*D$98)/($B$8*$C124)))</f>
        <v>2.5648983968468937E-2</v>
      </c>
      <c r="E124" s="345">
        <f t="shared" ref="E124:F124" si="20">EXP(-($B$14*E$98)/(2*$B$8*$C124))/(1-EXP(-($B$14*E$98)/($B$8*$C124)))</f>
        <v>3.0436576077301134E-4</v>
      </c>
      <c r="F124" s="353">
        <f t="shared" si="20"/>
        <v>2.3771156726133577E-4</v>
      </c>
      <c r="G124" s="300">
        <f xml:space="preserve"> PRODUCT(D124:F124)</f>
        <v>1.8557363594966411E-9</v>
      </c>
      <c r="H124" s="188"/>
      <c r="I124" s="188"/>
      <c r="K124" s="188"/>
      <c r="L124" s="188"/>
    </row>
    <row r="127" spans="2:26" ht="19">
      <c r="B127" s="66"/>
      <c r="C127" s="66"/>
      <c r="D127" s="66"/>
      <c r="E127" s="66"/>
      <c r="F127" s="66" t="s">
        <v>78</v>
      </c>
      <c r="G127" s="66"/>
      <c r="H127" s="66"/>
      <c r="I127" s="66"/>
      <c r="J127" s="66"/>
      <c r="K127" s="66"/>
      <c r="L127" s="66"/>
      <c r="M127" s="66"/>
      <c r="N127" s="66"/>
      <c r="O127" s="66"/>
    </row>
    <row r="128" spans="2:26"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0" thickBot="1">
      <c r="B130" s="66"/>
      <c r="C130" s="67" t="s">
        <v>34</v>
      </c>
      <c r="D130" s="68"/>
      <c r="E130" s="68"/>
      <c r="F130" s="69"/>
      <c r="G130" s="66"/>
      <c r="H130" s="66"/>
      <c r="I130" s="66"/>
      <c r="J130" s="66"/>
      <c r="K130" s="66"/>
      <c r="L130" s="66"/>
      <c r="M130" s="66"/>
      <c r="N130" s="66"/>
      <c r="O130" s="66"/>
    </row>
    <row r="131" spans="2:15" ht="20" thickBot="1">
      <c r="B131" s="66"/>
      <c r="C131" s="72"/>
      <c r="D131" s="73" t="s">
        <v>37</v>
      </c>
      <c r="E131" s="74" t="s">
        <v>38</v>
      </c>
      <c r="F131" s="75" t="s">
        <v>39</v>
      </c>
      <c r="G131" s="66"/>
      <c r="H131" s="66"/>
      <c r="I131" s="66"/>
      <c r="J131" s="66"/>
      <c r="K131" s="66"/>
      <c r="L131" s="66"/>
      <c r="M131" s="66"/>
      <c r="N131" s="66"/>
      <c r="O131" s="66"/>
    </row>
    <row r="132" spans="2:15" ht="22" thickBot="1">
      <c r="B132" s="66"/>
      <c r="C132" s="220" t="s">
        <v>109</v>
      </c>
      <c r="D132" s="102">
        <f>D24*($Q$8)^2</f>
        <v>4.2653866000000004E-47</v>
      </c>
      <c r="E132" s="102">
        <f t="shared" ref="E132:F132" si="21">E24*($Q$8)^2</f>
        <v>7.8237791999999998E-47</v>
      </c>
      <c r="F132" s="102">
        <f t="shared" si="21"/>
        <v>1.20891658E-46</v>
      </c>
      <c r="G132" s="66"/>
      <c r="H132" s="66"/>
      <c r="I132" s="66"/>
      <c r="J132" s="66"/>
      <c r="K132" s="66"/>
      <c r="L132" s="66"/>
      <c r="M132" s="66"/>
      <c r="N132" s="66"/>
      <c r="O132" s="66"/>
    </row>
    <row r="133" spans="2:15" ht="19">
      <c r="B133" s="66"/>
      <c r="C133" s="66"/>
      <c r="D133" s="66"/>
      <c r="E133" s="66"/>
      <c r="F133" s="66"/>
      <c r="G133" s="66"/>
      <c r="H133" s="66"/>
      <c r="I133" s="66"/>
      <c r="J133" s="66"/>
      <c r="K133" s="66"/>
      <c r="L133" s="66"/>
      <c r="M133" s="66"/>
      <c r="N133" s="66"/>
      <c r="O133" s="66"/>
    </row>
    <row r="134" spans="2:15" ht="19">
      <c r="B134" s="66"/>
      <c r="C134" s="66"/>
      <c r="D134" s="66"/>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151</v>
      </c>
      <c r="E136" s="149" t="s">
        <v>152</v>
      </c>
      <c r="F136" s="66"/>
      <c r="G136" s="66"/>
      <c r="H136" s="151" t="s">
        <v>83</v>
      </c>
      <c r="I136" s="152"/>
      <c r="J136" s="152"/>
      <c r="K136" s="152"/>
      <c r="L136" s="152"/>
      <c r="M136" s="152"/>
      <c r="N136" s="152"/>
      <c r="O136" s="66"/>
    </row>
    <row r="137" spans="2:15" ht="20" thickBot="1">
      <c r="B137" s="66"/>
      <c r="C137" s="153">
        <v>298.14999999999998</v>
      </c>
      <c r="D137" s="155">
        <f t="shared" ref="D137:D155" si="22">(8*PI()^2*(2*PI()*$B$8*C137)^(3/2)*SQRT($D$132*$E$132*$F$132))/($I$139*$B$14^3)</f>
        <v>358.52971002620382</v>
      </c>
      <c r="E137" s="155">
        <f>(SQRT(PI())/$A$31)*((C137^1.5)/SQRT($C$29*$D$29*$E$29))</f>
        <v>53.154535436986535</v>
      </c>
      <c r="F137" s="140"/>
      <c r="G137" s="66"/>
      <c r="H137" s="66"/>
      <c r="I137" s="66"/>
      <c r="J137" s="66"/>
      <c r="K137" s="66"/>
      <c r="L137" s="66"/>
      <c r="M137" s="66"/>
      <c r="N137" s="66"/>
      <c r="O137" s="66"/>
    </row>
    <row r="138" spans="2:15" ht="20" thickBot="1">
      <c r="B138" s="66"/>
      <c r="C138" s="153">
        <v>300</v>
      </c>
      <c r="D138" s="155">
        <f t="shared" si="22"/>
        <v>361.87185896202305</v>
      </c>
      <c r="E138" s="155">
        <f>(SQRT(PI())/$A$31)*((C138^1.5)/SQRT($C$29*$D$29*$E$29))</f>
        <v>53.650032376505536</v>
      </c>
      <c r="F138" s="66"/>
      <c r="G138" s="66"/>
      <c r="L138" s="149" t="s">
        <v>145</v>
      </c>
      <c r="M138" s="149" t="s">
        <v>153</v>
      </c>
      <c r="N138" s="66"/>
      <c r="O138" s="66"/>
    </row>
    <row r="139" spans="2:15" ht="20" thickBot="1">
      <c r="B139" s="66"/>
      <c r="C139" s="156">
        <f>C138+100</f>
        <v>400</v>
      </c>
      <c r="D139" s="158">
        <f t="shared" si="22"/>
        <v>557.13817382366983</v>
      </c>
      <c r="E139" s="158">
        <f t="shared" ref="E139:E155" si="23">(SQRT(PI())/$A$31)*((C139^1.5)/SQRT($C$29*$D$29*$E$29))</f>
        <v>82.599628358953638</v>
      </c>
      <c r="F139" s="66"/>
      <c r="H139" s="109" t="s">
        <v>146</v>
      </c>
      <c r="I139" s="310">
        <v>2</v>
      </c>
      <c r="K139" s="159" t="s">
        <v>85</v>
      </c>
      <c r="L139" s="160">
        <f>$D$137</f>
        <v>358.52971002620382</v>
      </c>
      <c r="M139" s="288">
        <f>$E$137</f>
        <v>53.154535436986535</v>
      </c>
      <c r="N139" s="66"/>
      <c r="O139" s="66"/>
    </row>
    <row r="140" spans="2:15" ht="20" thickBot="1">
      <c r="B140" s="66"/>
      <c r="C140" s="156">
        <f t="shared" ref="C140:C155" si="24">C139+100</f>
        <v>500</v>
      </c>
      <c r="D140" s="158">
        <f t="shared" si="22"/>
        <v>778.62426845613061</v>
      </c>
      <c r="E140" s="158">
        <f t="shared" si="23"/>
        <v>115.43648995427488</v>
      </c>
      <c r="F140" s="66"/>
      <c r="G140" s="66"/>
      <c r="K140" s="161" t="s">
        <v>86</v>
      </c>
      <c r="L140" s="162">
        <f>P34</f>
        <v>53.154499999999999</v>
      </c>
      <c r="M140" s="162">
        <f>L140</f>
        <v>53.154499999999999</v>
      </c>
      <c r="N140" s="66"/>
      <c r="O140" s="66"/>
    </row>
    <row r="141" spans="2:15" ht="22">
      <c r="B141" s="66"/>
      <c r="C141" s="156">
        <f t="shared" si="24"/>
        <v>600</v>
      </c>
      <c r="D141" s="158">
        <f t="shared" si="22"/>
        <v>1023.5281815705165</v>
      </c>
      <c r="E141" s="158">
        <f t="shared" si="23"/>
        <v>151.74520681721944</v>
      </c>
      <c r="F141" s="66"/>
      <c r="G141" s="66"/>
      <c r="H141" s="66"/>
      <c r="I141" s="66"/>
      <c r="K141" s="163" t="s">
        <v>87</v>
      </c>
      <c r="L141" s="164">
        <f>ABS(L139-L140)/L139</f>
        <v>0.85174310938941411</v>
      </c>
      <c r="M141" s="164">
        <f>ABS(M139-M140)/M139</f>
        <v>6.6667851096745306E-7</v>
      </c>
      <c r="N141" s="66"/>
      <c r="O141" s="66"/>
    </row>
    <row r="142" spans="2:15" ht="19">
      <c r="B142" s="66"/>
      <c r="C142" s="156">
        <f t="shared" si="24"/>
        <v>700</v>
      </c>
      <c r="D142" s="158">
        <f t="shared" si="22"/>
        <v>1289.792922108335</v>
      </c>
      <c r="E142" s="158">
        <f t="shared" si="23"/>
        <v>191.22081564613066</v>
      </c>
      <c r="F142" s="66"/>
      <c r="G142" s="66"/>
    </row>
    <row r="143" spans="2:15" ht="19">
      <c r="B143" s="66"/>
      <c r="C143" s="156">
        <f t="shared" si="24"/>
        <v>800</v>
      </c>
      <c r="D143" s="158">
        <f t="shared" si="22"/>
        <v>1575.8247230744075</v>
      </c>
      <c r="E143" s="158">
        <f t="shared" si="23"/>
        <v>233.62702934441893</v>
      </c>
      <c r="F143" s="66"/>
      <c r="G143" s="66"/>
    </row>
    <row r="144" spans="2:15" ht="19">
      <c r="B144" s="66"/>
      <c r="C144" s="156">
        <f t="shared" si="24"/>
        <v>900</v>
      </c>
      <c r="D144" s="158">
        <f t="shared" si="22"/>
        <v>1880.3413366548616</v>
      </c>
      <c r="E144" s="158">
        <f t="shared" si="23"/>
        <v>278.77374571146851</v>
      </c>
      <c r="F144" s="66"/>
      <c r="G144" s="66"/>
    </row>
    <row r="145" spans="3:5" ht="19">
      <c r="C145" s="156">
        <f t="shared" si="24"/>
        <v>1000</v>
      </c>
      <c r="D145" s="158">
        <f t="shared" si="22"/>
        <v>2202.2820008869539</v>
      </c>
      <c r="E145" s="158">
        <f t="shared" si="23"/>
        <v>326.50369937216192</v>
      </c>
    </row>
    <row r="146" spans="3:5" ht="19">
      <c r="C146" s="156">
        <f t="shared" si="24"/>
        <v>1100</v>
      </c>
      <c r="D146" s="158">
        <f t="shared" si="22"/>
        <v>2540.7501335657303</v>
      </c>
      <c r="E146" s="158">
        <f t="shared" si="23"/>
        <v>376.68396574799135</v>
      </c>
    </row>
    <row r="147" spans="3:5" ht="19">
      <c r="C147" s="156">
        <f t="shared" si="24"/>
        <v>1200</v>
      </c>
      <c r="D147" s="158">
        <f t="shared" si="22"/>
        <v>2894.9748716962004</v>
      </c>
      <c r="E147" s="158">
        <f t="shared" si="23"/>
        <v>429.2002590120444</v>
      </c>
    </row>
    <row r="148" spans="3:5" ht="19">
      <c r="C148" s="156">
        <f t="shared" si="24"/>
        <v>1300</v>
      </c>
      <c r="D148" s="158">
        <f t="shared" si="22"/>
        <v>3264.284161514312</v>
      </c>
      <c r="E148" s="158">
        <f t="shared" si="23"/>
        <v>483.95294249652432</v>
      </c>
    </row>
    <row r="149" spans="3:5" ht="19">
      <c r="C149" s="156">
        <f t="shared" si="24"/>
        <v>1400</v>
      </c>
      <c r="D149" s="158">
        <f t="shared" si="22"/>
        <v>3648.0852861968751</v>
      </c>
      <c r="E149" s="158">
        <f t="shared" si="23"/>
        <v>540.85414178960718</v>
      </c>
    </row>
    <row r="150" spans="3:5" ht="19">
      <c r="C150" s="156">
        <f t="shared" si="24"/>
        <v>1500</v>
      </c>
      <c r="D150" s="158">
        <f t="shared" si="22"/>
        <v>4045.8503789164884</v>
      </c>
      <c r="E150" s="158">
        <f t="shared" si="23"/>
        <v>599.82559694465522</v>
      </c>
    </row>
    <row r="151" spans="3:5" ht="19">
      <c r="C151" s="156">
        <f t="shared" si="24"/>
        <v>1600</v>
      </c>
      <c r="D151" s="158">
        <f t="shared" si="22"/>
        <v>4457.1053905893214</v>
      </c>
      <c r="E151" s="158">
        <f t="shared" si="23"/>
        <v>660.79702687162933</v>
      </c>
    </row>
    <row r="152" spans="3:5" ht="19">
      <c r="C152" s="156">
        <f t="shared" si="24"/>
        <v>1700</v>
      </c>
      <c r="D152" s="158">
        <f t="shared" si="22"/>
        <v>4881.4215198197799</v>
      </c>
      <c r="E152" s="158">
        <f t="shared" si="23"/>
        <v>723.70485876655107</v>
      </c>
    </row>
    <row r="153" spans="3:5" ht="19">
      <c r="C153" s="156">
        <f t="shared" si="24"/>
        <v>1800</v>
      </c>
      <c r="D153" s="158">
        <f t="shared" si="22"/>
        <v>5318.4084403761335</v>
      </c>
      <c r="E153" s="158">
        <f t="shared" si="23"/>
        <v>788.49122403741512</v>
      </c>
    </row>
    <row r="154" spans="3:5" ht="19">
      <c r="C154" s="156">
        <f t="shared" si="24"/>
        <v>1900</v>
      </c>
      <c r="D154" s="158">
        <f t="shared" si="22"/>
        <v>5767.708868554626</v>
      </c>
      <c r="E154" s="158">
        <f t="shared" si="23"/>
        <v>855.10315287790161</v>
      </c>
    </row>
    <row r="155" spans="3:5" ht="20" thickBot="1">
      <c r="C155" s="165">
        <f t="shared" si="24"/>
        <v>2000</v>
      </c>
      <c r="D155" s="167">
        <f t="shared" si="22"/>
        <v>6228.9941476489912</v>
      </c>
      <c r="E155" s="167">
        <f t="shared" si="23"/>
        <v>923.49191963419764</v>
      </c>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291">
        <f>D167+1</f>
        <v>2</v>
      </c>
      <c r="F167" s="291">
        <f>E167+1</f>
        <v>3</v>
      </c>
      <c r="G167" s="143" t="s">
        <v>113</v>
      </c>
      <c r="H167" s="66"/>
      <c r="I167" s="66"/>
      <c r="J167" s="66"/>
      <c r="K167" s="66"/>
      <c r="L167" s="66"/>
      <c r="M167" s="66"/>
      <c r="N167" s="66"/>
      <c r="O167" s="66"/>
    </row>
    <row r="168" spans="2:16" ht="20" thickBot="1">
      <c r="B168" s="66"/>
      <c r="C168" s="225" t="s">
        <v>114</v>
      </c>
      <c r="D168" s="226">
        <f>J$46</f>
        <v>-55.8846012853</v>
      </c>
      <c r="E168" s="226">
        <f t="shared" ref="E168:G168" si="25">K$46</f>
        <v>-55.885424010100003</v>
      </c>
      <c r="F168" s="226">
        <f t="shared" si="25"/>
        <v>-55.885446884499999</v>
      </c>
      <c r="G168" s="226">
        <f t="shared" si="25"/>
        <v>-55.885446884499999</v>
      </c>
      <c r="H168" s="66"/>
      <c r="I168" s="66"/>
      <c r="J168" s="66"/>
      <c r="K168" s="66"/>
      <c r="L168" s="66"/>
      <c r="M168" s="66"/>
      <c r="N168" s="66"/>
      <c r="O168" s="66"/>
    </row>
    <row r="169" spans="2:16" ht="20" thickBot="1">
      <c r="B169" s="66"/>
      <c r="C169" s="228" t="s">
        <v>115</v>
      </c>
      <c r="D169" s="173">
        <f>D168*$K$7</f>
        <v>-2.4365686160390802E-16</v>
      </c>
      <c r="E169" s="173">
        <f t="shared" ref="E169:G169" si="26">E168*$K$7</f>
        <v>-2.4366044868403601E-16</v>
      </c>
      <c r="F169" s="173">
        <f t="shared" si="26"/>
        <v>-2.4366054841642001E-16</v>
      </c>
      <c r="G169" s="173">
        <f t="shared" si="26"/>
        <v>-2.4366054841642001E-16</v>
      </c>
      <c r="H169" s="66"/>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G169+L23</f>
        <v>-2.4357778253641999E-16</v>
      </c>
      <c r="F172" s="66"/>
      <c r="G172" s="66"/>
      <c r="H172" s="151" t="s">
        <v>83</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84</v>
      </c>
      <c r="M174" s="66"/>
      <c r="N174" s="66"/>
      <c r="O174" s="66"/>
    </row>
    <row r="175" spans="2:16" ht="20" thickBot="1">
      <c r="B175" s="66"/>
      <c r="C175" s="153">
        <v>298.14999999999998</v>
      </c>
      <c r="D175" s="155">
        <f>2</f>
        <v>2</v>
      </c>
      <c r="F175" s="66"/>
      <c r="G175" s="66"/>
      <c r="K175" s="159" t="s">
        <v>85</v>
      </c>
      <c r="L175" s="160">
        <f>2</f>
        <v>2</v>
      </c>
      <c r="M175" s="66"/>
      <c r="N175" s="66"/>
      <c r="O175" s="66"/>
    </row>
    <row r="176" spans="2:16" ht="20" thickBot="1">
      <c r="B176" s="66"/>
      <c r="C176" s="153">
        <v>300</v>
      </c>
      <c r="D176" s="155">
        <f>2</f>
        <v>2</v>
      </c>
      <c r="F176" s="66"/>
      <c r="G176" s="66"/>
      <c r="K176" s="161" t="s">
        <v>86</v>
      </c>
      <c r="L176" s="162">
        <f>P32</f>
        <v>2</v>
      </c>
      <c r="M176" s="66"/>
      <c r="N176" s="66"/>
      <c r="O176" s="66"/>
    </row>
    <row r="177" spans="2:15" ht="22">
      <c r="B177" s="66"/>
      <c r="C177" s="156">
        <f>C176+100</f>
        <v>400</v>
      </c>
      <c r="D177" s="158">
        <f>2</f>
        <v>2</v>
      </c>
      <c r="F177" s="66"/>
      <c r="G177" s="66"/>
      <c r="H177" s="66"/>
      <c r="I177" s="66"/>
      <c r="K177" s="163" t="s">
        <v>87</v>
      </c>
      <c r="L177" s="164">
        <f>ABS(L175-L176)/L175</f>
        <v>0</v>
      </c>
      <c r="M177" s="66"/>
      <c r="N177" s="66"/>
      <c r="O177" s="66"/>
    </row>
    <row r="178" spans="2:15" ht="19">
      <c r="B178" s="66"/>
      <c r="C178" s="156">
        <f t="shared" ref="C178:C193" si="27">C177+100</f>
        <v>500</v>
      </c>
      <c r="D178" s="158">
        <f>2</f>
        <v>2</v>
      </c>
      <c r="F178" s="66"/>
      <c r="G178" s="66"/>
    </row>
    <row r="179" spans="2:15" ht="19">
      <c r="B179" s="66"/>
      <c r="C179" s="156">
        <f t="shared" si="27"/>
        <v>600</v>
      </c>
      <c r="D179" s="158">
        <f>2</f>
        <v>2</v>
      </c>
      <c r="F179" s="66"/>
      <c r="G179" s="66"/>
    </row>
    <row r="180" spans="2:15" ht="19">
      <c r="B180" s="66"/>
      <c r="C180" s="156">
        <f t="shared" si="27"/>
        <v>700</v>
      </c>
      <c r="D180" s="158">
        <f>2</f>
        <v>2</v>
      </c>
      <c r="F180" s="66"/>
      <c r="G180" s="66"/>
    </row>
    <row r="181" spans="2:15" ht="19">
      <c r="C181" s="156">
        <f t="shared" si="27"/>
        <v>800</v>
      </c>
      <c r="D181" s="158">
        <f>2</f>
        <v>2</v>
      </c>
    </row>
    <row r="182" spans="2:15" ht="19">
      <c r="C182" s="156">
        <f t="shared" si="27"/>
        <v>900</v>
      </c>
      <c r="D182" s="158">
        <f>2</f>
        <v>2</v>
      </c>
    </row>
    <row r="183" spans="2:15" ht="19">
      <c r="C183" s="156">
        <f t="shared" si="27"/>
        <v>1000</v>
      </c>
      <c r="D183" s="158">
        <f>2</f>
        <v>2</v>
      </c>
    </row>
    <row r="184" spans="2:15" ht="19">
      <c r="C184" s="156">
        <f t="shared" si="27"/>
        <v>1100</v>
      </c>
      <c r="D184" s="158">
        <f>2</f>
        <v>2</v>
      </c>
    </row>
    <row r="185" spans="2:15" ht="19">
      <c r="C185" s="156">
        <f t="shared" si="27"/>
        <v>1200</v>
      </c>
      <c r="D185" s="158">
        <f>2</f>
        <v>2</v>
      </c>
    </row>
    <row r="186" spans="2:15" ht="19">
      <c r="C186" s="156">
        <f t="shared" si="27"/>
        <v>1300</v>
      </c>
      <c r="D186" s="158">
        <f>2</f>
        <v>2</v>
      </c>
    </row>
    <row r="187" spans="2:15" ht="19">
      <c r="C187" s="156">
        <f t="shared" si="27"/>
        <v>1400</v>
      </c>
      <c r="D187" s="158">
        <f>2</f>
        <v>2</v>
      </c>
    </row>
    <row r="188" spans="2:15" ht="19">
      <c r="C188" s="156">
        <f t="shared" si="27"/>
        <v>1500</v>
      </c>
      <c r="D188" s="158">
        <f>2</f>
        <v>2</v>
      </c>
    </row>
    <row r="189" spans="2:15" ht="19">
      <c r="C189" s="156">
        <f t="shared" si="27"/>
        <v>1600</v>
      </c>
      <c r="D189" s="158">
        <f>2</f>
        <v>2</v>
      </c>
    </row>
    <row r="190" spans="2:15" ht="19">
      <c r="C190" s="156">
        <f t="shared" si="27"/>
        <v>1700</v>
      </c>
      <c r="D190" s="158">
        <f>2</f>
        <v>2</v>
      </c>
    </row>
    <row r="191" spans="2:15" ht="19">
      <c r="C191" s="156">
        <f t="shared" si="27"/>
        <v>1800</v>
      </c>
      <c r="D191" s="158">
        <f>2</f>
        <v>2</v>
      </c>
    </row>
    <row r="192" spans="2:15" ht="19">
      <c r="C192" s="156">
        <f t="shared" si="27"/>
        <v>1900</v>
      </c>
      <c r="D192" s="158">
        <f>2</f>
        <v>2</v>
      </c>
    </row>
    <row r="193" spans="3:11" ht="20" thickBot="1">
      <c r="C193" s="165">
        <f t="shared" si="27"/>
        <v>2000</v>
      </c>
      <c r="D193" s="167">
        <f>2</f>
        <v>2</v>
      </c>
    </row>
    <row r="197" spans="3:11" ht="17" thickBot="1"/>
    <row r="198" spans="3:11" ht="20" thickBot="1">
      <c r="E198" s="66"/>
      <c r="F198" s="66" t="s">
        <v>78</v>
      </c>
      <c r="G198" s="66"/>
      <c r="H198" s="470" t="s">
        <v>118</v>
      </c>
      <c r="I198" s="471"/>
      <c r="J198" s="471"/>
      <c r="K198" s="472"/>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65" t="s">
        <v>124</v>
      </c>
      <c r="E203" s="466"/>
    </row>
    <row r="204" spans="3:11" ht="20" thickBot="1">
      <c r="D204" s="172" t="s">
        <v>125</v>
      </c>
      <c r="E204" s="232" t="s">
        <v>126</v>
      </c>
    </row>
    <row r="205" spans="3:11" ht="19">
      <c r="C205" s="92" t="s">
        <v>45</v>
      </c>
      <c r="D205" s="98">
        <f>$Q23</f>
        <v>6.032</v>
      </c>
      <c r="E205" s="160">
        <f>D205*4.184</f>
        <v>25.237888000000002</v>
      </c>
    </row>
    <row r="206" spans="3:11" ht="19">
      <c r="C206" s="100" t="s">
        <v>48</v>
      </c>
      <c r="D206" s="98">
        <f t="shared" ref="D206:D209" si="28">$Q24</f>
        <v>0</v>
      </c>
      <c r="E206" s="235">
        <f t="shared" ref="E206:E209" si="29">D206*4.184</f>
        <v>0</v>
      </c>
    </row>
    <row r="207" spans="3:11" ht="19">
      <c r="C207" s="100" t="s">
        <v>50</v>
      </c>
      <c r="D207" s="98">
        <f t="shared" si="28"/>
        <v>2.9809999999999999</v>
      </c>
      <c r="E207" s="235">
        <f t="shared" si="29"/>
        <v>12.472504000000001</v>
      </c>
    </row>
    <row r="208" spans="3:11" ht="19">
      <c r="C208" s="100" t="s">
        <v>52</v>
      </c>
      <c r="D208" s="98">
        <f t="shared" si="28"/>
        <v>2.9809999999999999</v>
      </c>
      <c r="E208" s="235">
        <f t="shared" si="29"/>
        <v>12.472504000000001</v>
      </c>
    </row>
    <row r="209" spans="3:16" ht="20" thickBot="1">
      <c r="C209" s="105" t="s">
        <v>55</v>
      </c>
      <c r="D209" s="98">
        <f t="shared" si="28"/>
        <v>7.0000000000000007E-2</v>
      </c>
      <c r="E209" s="235">
        <f t="shared" si="29"/>
        <v>0.29288000000000003</v>
      </c>
      <c r="K209">
        <f>COLUMN(E205)</f>
        <v>5</v>
      </c>
    </row>
    <row r="210" spans="3:16" ht="24" customHeight="1"/>
    <row r="211" spans="3:16" ht="17" thickBot="1"/>
    <row r="212" spans="3:16" ht="23" thickBot="1">
      <c r="D212" s="467" t="s">
        <v>126</v>
      </c>
      <c r="E212" s="468"/>
      <c r="F212" s="468"/>
      <c r="G212" s="468"/>
      <c r="H212" s="469"/>
      <c r="J212" s="151" t="s">
        <v>83</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311">
        <f>3*$B$7/2</f>
        <v>12.471599999999999</v>
      </c>
      <c r="E214" s="313" cm="1">
        <f t="array" ref="E214">$B$7*SUM(($D$42:$D$44*$D$42:$D$44)*EXP($D$42:$D$44/$C214)/($C214^2*(EXP($D$42:$D$44/$C214)-1)^2))</f>
        <v>0.29405026818752272</v>
      </c>
      <c r="F214" s="312">
        <f>3*$B$7/2</f>
        <v>12.471599999999999</v>
      </c>
      <c r="G214" s="312">
        <v>0</v>
      </c>
      <c r="H214" s="241">
        <f t="shared" ref="H214:H232" si="30">SUM(D214:G214)</f>
        <v>25.23725026818752</v>
      </c>
      <c r="K214" s="236" t="s">
        <v>127</v>
      </c>
      <c r="L214" s="237" t="s">
        <v>128</v>
      </c>
      <c r="M214" s="237" t="s">
        <v>129</v>
      </c>
      <c r="N214" s="238" t="s">
        <v>130</v>
      </c>
      <c r="O214" s="203" t="s">
        <v>131</v>
      </c>
      <c r="P214" s="66"/>
    </row>
    <row r="215" spans="3:16" ht="19">
      <c r="C215" s="153">
        <v>300</v>
      </c>
      <c r="D215" s="311">
        <f>3*$B$7/2</f>
        <v>12.471599999999999</v>
      </c>
      <c r="E215" s="313" cm="1">
        <f t="array" ref="E215">$B$7*SUM(($D$42:$D$44*$D$42:$D$44)*EXP($D$42:$D$44/$C215)/($C215^2*(EXP($D$42:$D$44/$C215)-1)^2))</f>
        <v>0.30389826867697428</v>
      </c>
      <c r="F215" s="312">
        <f>3*$B$7/2</f>
        <v>12.471599999999999</v>
      </c>
      <c r="G215" s="314">
        <v>0</v>
      </c>
      <c r="H215" s="241">
        <f t="shared" si="30"/>
        <v>25.247098268676972</v>
      </c>
      <c r="J215" s="159" t="s">
        <v>85</v>
      </c>
      <c r="K215" s="160">
        <f>D$214</f>
        <v>12.471599999999999</v>
      </c>
      <c r="L215" s="160">
        <f>E$214</f>
        <v>0.29405026818752272</v>
      </c>
      <c r="M215" s="160">
        <f t="shared" ref="M215:O215" si="31">F$214</f>
        <v>12.471599999999999</v>
      </c>
      <c r="N215" s="160">
        <f t="shared" si="31"/>
        <v>0</v>
      </c>
      <c r="O215" s="160">
        <f t="shared" si="31"/>
        <v>25.23725026818752</v>
      </c>
      <c r="P215" s="66"/>
    </row>
    <row r="216" spans="3:16" ht="20" thickBot="1">
      <c r="C216" s="156">
        <f>C215+100</f>
        <v>400</v>
      </c>
      <c r="D216" s="315">
        <f t="shared" ref="D216:D232" si="32">3*$B$7/2</f>
        <v>12.471599999999999</v>
      </c>
      <c r="E216" s="321" cm="1">
        <f t="array" ref="E216">$B$7*SUM(($D$42:$D$44*$D$42:$D$44)*EXP($D$42:$D$44/$C216)/($C216^2*(EXP($D$42:$D$44/$C216)-1)^2))</f>
        <v>1.0740330449474425</v>
      </c>
      <c r="F216" s="281">
        <f t="shared" ref="F216:F232" si="33">3*$B$7/2</f>
        <v>12.471599999999999</v>
      </c>
      <c r="G216" s="316">
        <v>0</v>
      </c>
      <c r="H216" s="245">
        <f t="shared" si="30"/>
        <v>26.017233044947439</v>
      </c>
      <c r="J216" s="161" t="s">
        <v>86</v>
      </c>
      <c r="K216" s="162">
        <f>E207</f>
        <v>12.472504000000001</v>
      </c>
      <c r="L216" s="162">
        <f>E209</f>
        <v>0.29288000000000003</v>
      </c>
      <c r="M216" s="162">
        <f>E208</f>
        <v>12.472504000000001</v>
      </c>
      <c r="N216" s="162">
        <f>E206</f>
        <v>0</v>
      </c>
      <c r="O216" s="162">
        <f>E205</f>
        <v>25.237888000000002</v>
      </c>
      <c r="P216" s="66"/>
    </row>
    <row r="217" spans="3:16" ht="22">
      <c r="C217" s="156">
        <f t="shared" ref="C217:C232" si="34">C216+100</f>
        <v>500</v>
      </c>
      <c r="D217" s="315">
        <f t="shared" si="32"/>
        <v>12.471599999999999</v>
      </c>
      <c r="E217" s="321" cm="1">
        <f t="array" ref="E217">$B$7*SUM(($D$42:$D$44*$D$42:$D$44)*EXP($D$42:$D$44/$C217)/($C217^2*(EXP($D$42:$D$44/$C217)-1)^2))</f>
        <v>2.1499383546715825</v>
      </c>
      <c r="F217" s="281">
        <f t="shared" si="33"/>
        <v>12.471599999999999</v>
      </c>
      <c r="G217" s="316">
        <v>0</v>
      </c>
      <c r="H217" s="245">
        <f t="shared" si="30"/>
        <v>27.093138354671581</v>
      </c>
      <c r="J217" s="163" t="s">
        <v>87</v>
      </c>
      <c r="K217" s="164">
        <f>IFERROR(ABS(K215-K216)/K215,0)</f>
        <v>7.2484685204946797E-5</v>
      </c>
      <c r="L217" s="164">
        <f t="shared" ref="L217:O217" si="35">IFERROR(ABS(L215-L216)/L215,0)</f>
        <v>3.9798235680451296E-3</v>
      </c>
      <c r="M217" s="164">
        <f t="shared" si="35"/>
        <v>7.2484685204946797E-5</v>
      </c>
      <c r="N217" s="164">
        <f t="shared" si="35"/>
        <v>0</v>
      </c>
      <c r="O217" s="164">
        <f t="shared" si="35"/>
        <v>2.5269465005299316E-5</v>
      </c>
      <c r="P217" s="66"/>
    </row>
    <row r="218" spans="3:16" ht="19">
      <c r="C218" s="156">
        <f t="shared" si="34"/>
        <v>600</v>
      </c>
      <c r="D218" s="315">
        <f t="shared" si="32"/>
        <v>12.471599999999999</v>
      </c>
      <c r="E218" s="321" cm="1">
        <f t="array" ref="E218">$B$7*SUM(($D$42:$D$44*$D$42:$D$44)*EXP($D$42:$D$44/$C218)/($C218^2*(EXP($D$42:$D$44/$C218)-1)^2))</f>
        <v>3.3636261767698721</v>
      </c>
      <c r="F218" s="281">
        <f t="shared" si="33"/>
        <v>12.471599999999999</v>
      </c>
      <c r="G218" s="316">
        <v>0</v>
      </c>
      <c r="H218" s="245">
        <f t="shared" si="30"/>
        <v>28.306826176769867</v>
      </c>
    </row>
    <row r="219" spans="3:16" ht="19">
      <c r="C219" s="156">
        <f t="shared" si="34"/>
        <v>700</v>
      </c>
      <c r="D219" s="315">
        <f t="shared" si="32"/>
        <v>12.471599999999999</v>
      </c>
      <c r="E219" s="321" cm="1">
        <f t="array" ref="E219">$B$7*SUM(($D$42:$D$44*$D$42:$D$44)*EXP($D$42:$D$44/$C219)/($C219^2*(EXP($D$42:$D$44/$C219)-1)^2))</f>
        <v>4.6544845366780594</v>
      </c>
      <c r="F219" s="281">
        <f t="shared" si="33"/>
        <v>12.471599999999999</v>
      </c>
      <c r="G219" s="316">
        <v>0</v>
      </c>
      <c r="H219" s="245">
        <f t="shared" si="30"/>
        <v>29.597684536678056</v>
      </c>
    </row>
    <row r="220" spans="3:16" ht="19">
      <c r="C220" s="156">
        <f t="shared" si="34"/>
        <v>800</v>
      </c>
      <c r="D220" s="315">
        <f t="shared" si="32"/>
        <v>12.471599999999999</v>
      </c>
      <c r="E220" s="321" cm="1">
        <f t="array" ref="E220">$B$7*SUM(($D$42:$D$44*$D$42:$D$44)*EXP($D$42:$D$44/$C220)/($C220^2*(EXP($D$42:$D$44/$C220)-1)^2))</f>
        <v>5.9937639729268088</v>
      </c>
      <c r="F220" s="281">
        <f t="shared" si="33"/>
        <v>12.471599999999999</v>
      </c>
      <c r="G220" s="316">
        <v>0</v>
      </c>
      <c r="H220" s="245">
        <f t="shared" si="30"/>
        <v>30.936963972926808</v>
      </c>
    </row>
    <row r="221" spans="3:16" ht="19">
      <c r="C221" s="156">
        <f t="shared" si="34"/>
        <v>900</v>
      </c>
      <c r="D221" s="315">
        <f t="shared" si="32"/>
        <v>12.471599999999999</v>
      </c>
      <c r="E221" s="321" cm="1">
        <f t="array" ref="E221">$B$7*SUM(($D$42:$D$44*$D$42:$D$44)*EXP($D$42:$D$44/$C221)/($C221^2*(EXP($D$42:$D$44/$C221)-1)^2))</f>
        <v>7.3490931157646182</v>
      </c>
      <c r="F221" s="281">
        <f t="shared" si="33"/>
        <v>12.471599999999999</v>
      </c>
      <c r="G221" s="316">
        <v>0</v>
      </c>
      <c r="H221" s="245">
        <f t="shared" si="30"/>
        <v>32.292293115764615</v>
      </c>
    </row>
    <row r="222" spans="3:16" ht="19">
      <c r="C222" s="156">
        <f t="shared" si="34"/>
        <v>1000</v>
      </c>
      <c r="D222" s="315">
        <f t="shared" si="32"/>
        <v>12.471599999999999</v>
      </c>
      <c r="E222" s="321" cm="1">
        <f t="array" ref="E222">$B$7*SUM(($D$42:$D$44*$D$42:$D$44)*EXP($D$42:$D$44/$C222)/($C222^2*(EXP($D$42:$D$44/$C222)-1)^2))</f>
        <v>8.685083549973502</v>
      </c>
      <c r="F222" s="281">
        <f t="shared" si="33"/>
        <v>12.471599999999999</v>
      </c>
      <c r="G222" s="316">
        <v>0</v>
      </c>
      <c r="H222" s="245">
        <f t="shared" si="30"/>
        <v>33.628283549973503</v>
      </c>
    </row>
    <row r="223" spans="3:16" ht="19">
      <c r="C223" s="156">
        <f t="shared" si="34"/>
        <v>1100</v>
      </c>
      <c r="D223" s="315">
        <f t="shared" si="32"/>
        <v>12.471599999999999</v>
      </c>
      <c r="E223" s="321" cm="1">
        <f t="array" ref="E223">$B$7*SUM(($D$42:$D$44*$D$42:$D$44)*EXP($D$42:$D$44/$C223)/($C223^2*(EXP($D$42:$D$44/$C223)-1)^2))</f>
        <v>9.970937304979099</v>
      </c>
      <c r="F223" s="281">
        <f t="shared" si="33"/>
        <v>12.471599999999999</v>
      </c>
      <c r="G223" s="316">
        <v>0</v>
      </c>
      <c r="H223" s="245">
        <f t="shared" si="30"/>
        <v>34.914137304979093</v>
      </c>
    </row>
    <row r="224" spans="3:16" ht="19">
      <c r="C224" s="156">
        <f t="shared" si="34"/>
        <v>1200</v>
      </c>
      <c r="D224" s="315">
        <f t="shared" si="32"/>
        <v>12.471599999999999</v>
      </c>
      <c r="E224" s="321" cm="1">
        <f t="array" ref="E224">$B$7*SUM(($D$42:$D$44*$D$42:$D$44)*EXP($D$42:$D$44/$C224)/($C224^2*(EXP($D$42:$D$44/$C224)-1)^2))</f>
        <v>11.184599974149677</v>
      </c>
      <c r="F224" s="281">
        <f t="shared" si="33"/>
        <v>12.471599999999999</v>
      </c>
      <c r="G224" s="316">
        <v>0</v>
      </c>
      <c r="H224" s="245">
        <f t="shared" si="30"/>
        <v>36.127799974149674</v>
      </c>
    </row>
    <row r="225" spans="3:11" ht="19">
      <c r="C225" s="156">
        <f t="shared" si="34"/>
        <v>1300</v>
      </c>
      <c r="D225" s="315">
        <f t="shared" si="32"/>
        <v>12.471599999999999</v>
      </c>
      <c r="E225" s="321" cm="1">
        <f t="array" ref="E225">$B$7*SUM(($D$42:$D$44*$D$42:$D$44)*EXP($D$42:$D$44/$C225)/($C225^2*(EXP($D$42:$D$44/$C225)-1)^2))</f>
        <v>12.313113280726483</v>
      </c>
      <c r="F225" s="281">
        <f t="shared" si="33"/>
        <v>12.471599999999999</v>
      </c>
      <c r="G225" s="316">
        <v>0</v>
      </c>
      <c r="H225" s="245">
        <f t="shared" si="30"/>
        <v>37.256313280726481</v>
      </c>
    </row>
    <row r="226" spans="3:11" ht="19">
      <c r="C226" s="156">
        <f t="shared" si="34"/>
        <v>1400</v>
      </c>
      <c r="D226" s="315">
        <f t="shared" si="32"/>
        <v>12.471599999999999</v>
      </c>
      <c r="E226" s="321" cm="1">
        <f t="array" ref="E226">$B$7*SUM(($D$42:$D$44*$D$42:$D$44)*EXP($D$42:$D$44/$C226)/($C226^2*(EXP($D$42:$D$44/$C226)-1)^2))</f>
        <v>13.351024479505952</v>
      </c>
      <c r="F226" s="281">
        <f t="shared" si="33"/>
        <v>12.471599999999999</v>
      </c>
      <c r="G226" s="316">
        <v>0</v>
      </c>
      <c r="H226" s="245">
        <f t="shared" si="30"/>
        <v>38.294224479505949</v>
      </c>
    </row>
    <row r="227" spans="3:11" ht="19">
      <c r="C227" s="156">
        <f t="shared" si="34"/>
        <v>1500</v>
      </c>
      <c r="D227" s="315">
        <f t="shared" si="32"/>
        <v>12.471599999999999</v>
      </c>
      <c r="E227" s="321" cm="1">
        <f t="array" ref="E227">$B$7*SUM(($D$42:$D$44*$D$42:$D$44)*EXP($D$42:$D$44/$C227)/($C227^2*(EXP($D$42:$D$44/$C227)-1)^2))</f>
        <v>14.298287722946537</v>
      </c>
      <c r="F227" s="281">
        <f t="shared" si="33"/>
        <v>12.471599999999999</v>
      </c>
      <c r="G227" s="316">
        <v>0</v>
      </c>
      <c r="H227" s="245">
        <f t="shared" si="30"/>
        <v>39.24148772294653</v>
      </c>
    </row>
    <row r="228" spans="3:11" ht="19">
      <c r="C228" s="156">
        <f t="shared" si="34"/>
        <v>1600</v>
      </c>
      <c r="D228" s="315">
        <f t="shared" si="32"/>
        <v>12.471599999999999</v>
      </c>
      <c r="E228" s="321" cm="1">
        <f t="array" ref="E228">$B$7*SUM(($D$42:$D$44*$D$42:$D$44)*EXP($D$42:$D$44/$C228)/($C228^2*(EXP($D$42:$D$44/$C228)-1)^2))</f>
        <v>15.158363970393417</v>
      </c>
      <c r="F228" s="281">
        <f t="shared" si="33"/>
        <v>12.471599999999999</v>
      </c>
      <c r="G228" s="316">
        <v>0</v>
      </c>
      <c r="H228" s="245">
        <f t="shared" si="30"/>
        <v>40.101563970393414</v>
      </c>
    </row>
    <row r="229" spans="3:11" ht="19">
      <c r="C229" s="156">
        <f t="shared" si="34"/>
        <v>1700</v>
      </c>
      <c r="D229" s="315">
        <f t="shared" si="32"/>
        <v>12.471599999999999</v>
      </c>
      <c r="E229" s="321" cm="1">
        <f t="array" ref="E229">$B$7*SUM(($D$42:$D$44*$D$42:$D$44)*EXP($D$42:$D$44/$C229)/($C229^2*(EXP($D$42:$D$44/$C229)-1)^2))</f>
        <v>15.93675037366477</v>
      </c>
      <c r="F229" s="281">
        <f t="shared" si="33"/>
        <v>12.471599999999999</v>
      </c>
      <c r="G229" s="316">
        <v>0</v>
      </c>
      <c r="H229" s="245">
        <f t="shared" si="30"/>
        <v>40.879950373664769</v>
      </c>
    </row>
    <row r="230" spans="3:11" ht="19">
      <c r="C230" s="156">
        <f t="shared" si="34"/>
        <v>1800</v>
      </c>
      <c r="D230" s="315">
        <f t="shared" si="32"/>
        <v>12.471599999999999</v>
      </c>
      <c r="E230" s="321" cm="1">
        <f t="array" ref="E230">$B$7*SUM(($D$42:$D$44*$D$42:$D$44)*EXP($D$42:$D$44/$C230)/($C230^2*(EXP($D$42:$D$44/$C230)-1)^2))</f>
        <v>16.639941904327003</v>
      </c>
      <c r="F230" s="281">
        <f t="shared" si="33"/>
        <v>12.471599999999999</v>
      </c>
      <c r="G230" s="316">
        <v>0</v>
      </c>
      <c r="H230" s="245">
        <f t="shared" si="30"/>
        <v>41.583141904327</v>
      </c>
    </row>
    <row r="231" spans="3:11" ht="19">
      <c r="C231" s="156">
        <f t="shared" si="34"/>
        <v>1900</v>
      </c>
      <c r="D231" s="315">
        <f t="shared" si="32"/>
        <v>12.471599999999999</v>
      </c>
      <c r="E231" s="321" cm="1">
        <f t="array" ref="E231">$B$7*SUM(($D$42:$D$44*$D$42:$D$44)*EXP($D$42:$D$44/$C231)/($C231^2*(EXP($D$42:$D$44/$C231)-1)^2))</f>
        <v>17.274745878050847</v>
      </c>
      <c r="F231" s="281">
        <f t="shared" si="33"/>
        <v>12.471599999999999</v>
      </c>
      <c r="G231" s="316">
        <v>0</v>
      </c>
      <c r="H231" s="245">
        <f t="shared" si="30"/>
        <v>42.217945878050841</v>
      </c>
    </row>
    <row r="232" spans="3:11" ht="20" thickBot="1">
      <c r="C232" s="165">
        <f t="shared" si="34"/>
        <v>2000</v>
      </c>
      <c r="D232" s="317">
        <f t="shared" si="32"/>
        <v>12.471599999999999</v>
      </c>
      <c r="E232" s="322" cm="1">
        <f t="array" ref="E232">$B$7*SUM(($D$42:$D$44*$D$42:$D$44)*EXP($D$42:$D$44/$C232)/($C232^2*(EXP($D$42:$D$44/$C232)-1)^2))</f>
        <v>17.847856677865884</v>
      </c>
      <c r="F232" s="318">
        <f t="shared" si="33"/>
        <v>12.471599999999999</v>
      </c>
      <c r="G232" s="307">
        <v>0</v>
      </c>
      <c r="H232" s="249">
        <f t="shared" si="30"/>
        <v>42.791056677865882</v>
      </c>
    </row>
    <row r="238" spans="3:11" ht="17" thickBot="1"/>
    <row r="239" spans="3:11" ht="20" thickBot="1">
      <c r="E239" s="66"/>
      <c r="F239" s="66" t="s">
        <v>78</v>
      </c>
      <c r="G239" s="66"/>
      <c r="H239" s="470" t="s">
        <v>118</v>
      </c>
      <c r="I239" s="471"/>
      <c r="J239" s="471"/>
      <c r="K239" s="472"/>
    </row>
    <row r="240" spans="3:11" ht="28" thickBot="1">
      <c r="C240" s="147" t="s">
        <v>132</v>
      </c>
      <c r="D240" s="148"/>
      <c r="E240" s="66"/>
      <c r="F240" s="66"/>
      <c r="G240" s="66"/>
      <c r="H240" s="137" t="s">
        <v>120</v>
      </c>
      <c r="I240" s="137" t="s">
        <v>121</v>
      </c>
      <c r="J240" s="137" t="s">
        <v>122</v>
      </c>
      <c r="K240" s="137" t="s">
        <v>123</v>
      </c>
    </row>
    <row r="244" spans="3:10" ht="20" thickBot="1">
      <c r="D244" s="473"/>
      <c r="E244" s="473"/>
    </row>
    <row r="245" spans="3:10" ht="20" thickBot="1">
      <c r="D245" s="465" t="s">
        <v>133</v>
      </c>
      <c r="E245" s="466"/>
    </row>
    <row r="246" spans="3:10" ht="20" thickBot="1">
      <c r="D246" s="172" t="s">
        <v>125</v>
      </c>
      <c r="E246" s="232" t="s">
        <v>126</v>
      </c>
    </row>
    <row r="247" spans="3:10" ht="19">
      <c r="C247" s="92" t="s">
        <v>45</v>
      </c>
      <c r="D247" s="346">
        <f>$R23</f>
        <v>46.524000000000001</v>
      </c>
      <c r="E247" s="160">
        <f>D247*4.184</f>
        <v>194.65641600000001</v>
      </c>
    </row>
    <row r="248" spans="3:10" ht="19">
      <c r="C248" s="100" t="s">
        <v>48</v>
      </c>
      <c r="D248" s="346">
        <f t="shared" ref="D248:D251" si="36">$R24</f>
        <v>1.377</v>
      </c>
      <c r="E248" s="235">
        <f t="shared" ref="E248:E251" si="37">D248*4.184</f>
        <v>5.761368</v>
      </c>
    </row>
    <row r="249" spans="3:10" ht="19">
      <c r="C249" s="100" t="s">
        <v>50</v>
      </c>
      <c r="D249" s="346">
        <f t="shared" si="36"/>
        <v>34.259</v>
      </c>
      <c r="E249" s="235">
        <f t="shared" si="37"/>
        <v>143.33965600000002</v>
      </c>
    </row>
    <row r="250" spans="3:10" ht="19">
      <c r="C250" s="100" t="s">
        <v>52</v>
      </c>
      <c r="D250" s="346">
        <f t="shared" si="36"/>
        <v>10.875999999999999</v>
      </c>
      <c r="E250" s="235">
        <f t="shared" si="37"/>
        <v>45.505184</v>
      </c>
    </row>
    <row r="251" spans="3:10" ht="20" thickBot="1">
      <c r="C251" s="105" t="s">
        <v>55</v>
      </c>
      <c r="D251" s="346">
        <f t="shared" si="36"/>
        <v>1.0999999999999999E-2</v>
      </c>
      <c r="E251" s="235">
        <f t="shared" si="37"/>
        <v>4.6024000000000002E-2</v>
      </c>
    </row>
    <row r="253" spans="3:10" ht="17" thickBot="1"/>
    <row r="254" spans="3:10" ht="20" thickBot="1">
      <c r="C254" s="67" t="s">
        <v>34</v>
      </c>
      <c r="D254" s="252"/>
      <c r="E254" s="252"/>
      <c r="F254" s="252"/>
      <c r="G254" s="253"/>
      <c r="I254" s="76" t="s">
        <v>134</v>
      </c>
      <c r="J254" s="254">
        <f>($B$14^2)/(8*PI()*PI()*$G$258*$B$8)</f>
        <v>2.6817245570766741</v>
      </c>
    </row>
    <row r="255" spans="3:10" ht="20" thickBot="1">
      <c r="C255" s="255"/>
      <c r="D255" s="73" t="s">
        <v>37</v>
      </c>
      <c r="E255" s="74" t="s">
        <v>38</v>
      </c>
      <c r="F255" s="75" t="s">
        <v>39</v>
      </c>
      <c r="G255" s="203" t="s">
        <v>131</v>
      </c>
      <c r="I255" s="123"/>
      <c r="J255" s="123"/>
    </row>
    <row r="256" spans="3:10" ht="22" thickBot="1">
      <c r="C256" s="84" t="s">
        <v>44</v>
      </c>
      <c r="D256" s="256">
        <f>D$23</f>
        <v>2.5695100000000002</v>
      </c>
      <c r="E256" s="86">
        <f t="shared" ref="E256:F256" si="38">E$23</f>
        <v>4.71312</v>
      </c>
      <c r="F256" s="257">
        <f t="shared" si="38"/>
        <v>7.2826300000000002</v>
      </c>
      <c r="G256" s="193">
        <f>SQRT(F256^2 + E256^2 + D256^2)</f>
        <v>9.0472416509895446</v>
      </c>
      <c r="J256" s="123"/>
    </row>
    <row r="257" spans="1:18" ht="22" thickBot="1">
      <c r="C257" s="96" t="s">
        <v>47</v>
      </c>
      <c r="D257" s="97">
        <f>D256*$U$9</f>
        <v>4.2653866000000002E-27</v>
      </c>
      <c r="E257" s="98">
        <f t="shared" ref="E257:F257" si="39">E256*$U$9</f>
        <v>7.8237791999999993E-27</v>
      </c>
      <c r="F257" s="258">
        <f t="shared" si="39"/>
        <v>1.2089165799999999E-26</v>
      </c>
      <c r="G257" s="193">
        <f t="shared" ref="G257:G258" si="40">SQRT(F257^2 + E257^2 + D257^2)</f>
        <v>1.501842114064264E-26</v>
      </c>
    </row>
    <row r="258" spans="1:18" ht="22" thickBot="1">
      <c r="C258" s="101" t="s">
        <v>49</v>
      </c>
      <c r="D258" s="102">
        <f>D257*($Q$8)^2</f>
        <v>4.2653866000000004E-47</v>
      </c>
      <c r="E258" s="103">
        <f>E257*($Q$8)^2</f>
        <v>7.8237791999999998E-47</v>
      </c>
      <c r="F258" s="259">
        <f t="shared" ref="F258" si="41">F257*($Q$8)^2</f>
        <v>1.20891658E-46</v>
      </c>
      <c r="G258" s="193">
        <f t="shared" si="40"/>
        <v>1.5018421140642643E-46</v>
      </c>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83</v>
      </c>
      <c r="M261" s="152"/>
      <c r="N261" s="152"/>
      <c r="O261" s="152"/>
      <c r="P261" s="152"/>
      <c r="Q261" s="152"/>
    </row>
    <row r="262" spans="1:18" ht="20" thickBot="1">
      <c r="C262" s="174">
        <v>298.14999999999998</v>
      </c>
      <c r="D262" s="267">
        <f>$B$7*C262/$B$16</f>
        <v>2.4465219442388352E-2</v>
      </c>
      <c r="E262" s="268">
        <f>((2*PI()*$A$28*$U$9*$B$8*$C262)/($B$14*$B$14))^(3/2)</f>
        <v>6.1998845251529288E+31</v>
      </c>
      <c r="F262" s="269">
        <f t="shared" ref="F262:F280" si="42">$B$7*LN(($D262/$B$6)*EXP(5/2)*E262)</f>
        <v>143.3341528008753</v>
      </c>
      <c r="G262" s="319" cm="1">
        <f t="array" ref="G262">$B$7*SUM((($D$42:$D$44)/$C262)/(EXP($D$42:$D$44/$C262)-1)-LN(1-EXP(-$D$42:$D$44/$C262)))</f>
        <v>4.5542468843726119E-2</v>
      </c>
      <c r="H262" s="270">
        <f>$B$7*(LN((SQRT(PI())/$A$31)*($C262^(3/2)/SQRT(C$29*D$29*E$29)))+3/2)</f>
        <v>45.50640263100302</v>
      </c>
      <c r="I262" s="320">
        <f>$B$7*LN(2)</f>
        <v>5.7631029180476085</v>
      </c>
      <c r="J262" s="272">
        <f t="shared" ref="J262:J280" si="43">SUM(F262:I262)</f>
        <v>194.64920081876969</v>
      </c>
      <c r="L262" s="66"/>
      <c r="M262" s="66"/>
      <c r="N262" s="66"/>
      <c r="O262" s="66"/>
      <c r="P262" s="66"/>
      <c r="Q262" s="66"/>
    </row>
    <row r="263" spans="1:18" ht="20" thickBot="1">
      <c r="C263" s="153">
        <v>300</v>
      </c>
      <c r="D263" s="267">
        <f>$B$7*C263/$B$16</f>
        <v>2.4617024426350848E-2</v>
      </c>
      <c r="E263" s="268">
        <f>((2*PI()*$A$28*$U$9*$B$8*$C263)/($B$14*$B$14))^(3/2)</f>
        <v>6.2576787243181684E+31</v>
      </c>
      <c r="F263" s="239">
        <f t="shared" si="42"/>
        <v>143.4627299892594</v>
      </c>
      <c r="G263" s="313" cm="1">
        <f t="array" ref="G263">$B$7*SUM((($D$42:$D$44)/$C263)/(EXP($D$42:$D$44/$C263)-1)-LN(1-EXP(-$D$42:$D$44/$C263)))</f>
        <v>4.7391726627401119E-2</v>
      </c>
      <c r="H263" s="240">
        <f t="shared" ref="H263:H280" si="44">$B$7*(LN((SQRT(PI())/$A$31)*($C263^(3/2)/SQRT(C$29*D$29*E$29)))+3/2)</f>
        <v>45.583548944033524</v>
      </c>
      <c r="I263" s="314">
        <f t="shared" ref="I263:I280" si="45">$B$7*LN(2)</f>
        <v>5.7631029180476085</v>
      </c>
      <c r="J263" s="272">
        <f t="shared" si="43"/>
        <v>194.85677357796797</v>
      </c>
      <c r="N263" s="236" t="s">
        <v>127</v>
      </c>
      <c r="O263" s="237" t="s">
        <v>128</v>
      </c>
      <c r="P263" s="237" t="s">
        <v>129</v>
      </c>
      <c r="Q263" s="238" t="s">
        <v>130</v>
      </c>
      <c r="R263" s="203" t="s">
        <v>131</v>
      </c>
    </row>
    <row r="264" spans="1:18" ht="20" thickBot="1">
      <c r="C264" s="156">
        <f>C263+100</f>
        <v>400</v>
      </c>
      <c r="D264" s="273">
        <f t="shared" ref="D264:D280" si="46">$B$7*C264/$B$16</f>
        <v>3.2822699235134464E-2</v>
      </c>
      <c r="E264" s="274">
        <f t="shared" ref="E264:E280" si="47">(2*PI()*$A$28*$U$9*$B$8*$C264/($B$14)^2)^(3/2)</f>
        <v>9.6343266559660536E+31</v>
      </c>
      <c r="F264" s="229">
        <f t="shared" si="42"/>
        <v>149.44248954724208</v>
      </c>
      <c r="G264" s="321" cm="1">
        <f t="array" ref="G264">$B$7*SUM((($D$42:$D$44)/$C264)/(EXP($D$42:$D$44/$C264)-1)-LN(1-EXP(-$D$42:$D$44/$C264)))</f>
        <v>0.23004804408101592</v>
      </c>
      <c r="H264" s="243">
        <f t="shared" si="44"/>
        <v>49.171404678823151</v>
      </c>
      <c r="I264" s="316">
        <f t="shared" si="45"/>
        <v>5.7631029180476085</v>
      </c>
      <c r="J264" s="275">
        <f t="shared" si="43"/>
        <v>204.60704518819384</v>
      </c>
      <c r="M264" s="159" t="s">
        <v>85</v>
      </c>
      <c r="N264" s="276">
        <f>F$262</f>
        <v>143.3341528008753</v>
      </c>
      <c r="O264" s="276">
        <f>G$262</f>
        <v>4.5542468843726119E-2</v>
      </c>
      <c r="P264" s="276">
        <f>H$262</f>
        <v>45.50640263100302</v>
      </c>
      <c r="Q264" s="276">
        <f>I$262</f>
        <v>5.7631029180476085</v>
      </c>
      <c r="R264" s="276">
        <f>J$262</f>
        <v>194.64920081876969</v>
      </c>
    </row>
    <row r="265" spans="1:18" ht="20" thickBot="1">
      <c r="C265" s="156">
        <f t="shared" ref="C265:C280" si="48">C264+100</f>
        <v>500</v>
      </c>
      <c r="D265" s="273">
        <f t="shared" si="46"/>
        <v>4.1028374043918084E-2</v>
      </c>
      <c r="E265" s="274">
        <f t="shared" si="47"/>
        <v>1.346438082511153E+32</v>
      </c>
      <c r="F265" s="229">
        <f t="shared" si="42"/>
        <v>154.08075140485926</v>
      </c>
      <c r="G265" s="321" cm="1">
        <f t="array" ref="G265">$B$7*SUM((($D$42:$D$44)/$C265)/(EXP($D$42:$D$44/$C265)-1)-LN(1-EXP(-$D$42:$D$44/$C265)))</f>
        <v>0.58163448431861653</v>
      </c>
      <c r="H265" s="243">
        <f t="shared" si="44"/>
        <v>51.954361793393453</v>
      </c>
      <c r="I265" s="316">
        <f t="shared" si="45"/>
        <v>5.7631029180476085</v>
      </c>
      <c r="J265" s="275">
        <f t="shared" si="43"/>
        <v>212.37985060061894</v>
      </c>
      <c r="M265" s="161" t="s">
        <v>86</v>
      </c>
      <c r="N265" s="276">
        <f>E249</f>
        <v>143.33965600000002</v>
      </c>
      <c r="O265" s="276">
        <f>E251</f>
        <v>4.6024000000000002E-2</v>
      </c>
      <c r="P265" s="276">
        <f>E250</f>
        <v>45.505184</v>
      </c>
      <c r="Q265" s="276">
        <f>E248</f>
        <v>5.761368</v>
      </c>
      <c r="R265" s="276">
        <f>E247</f>
        <v>194.65641600000001</v>
      </c>
    </row>
    <row r="266" spans="1:18" ht="22">
      <c r="C266" s="156">
        <f t="shared" si="48"/>
        <v>600</v>
      </c>
      <c r="D266" s="273">
        <f t="shared" si="46"/>
        <v>4.9234048852701696E-2</v>
      </c>
      <c r="E266" s="274">
        <f t="shared" si="47"/>
        <v>1.7699388241808691E+32</v>
      </c>
      <c r="F266" s="229">
        <f t="shared" si="42"/>
        <v>157.87048728437841</v>
      </c>
      <c r="G266" s="321" cm="1">
        <f t="array" ref="G266">$B$7*SUM((($D$42:$D$44)/$C266)/(EXP($D$42:$D$44/$C266)-1)-LN(1-EXP(-$D$42:$D$44/$C266)))</f>
        <v>1.0794487595030582</v>
      </c>
      <c r="H266" s="243">
        <f t="shared" si="44"/>
        <v>54.228203321104928</v>
      </c>
      <c r="I266" s="316">
        <f t="shared" si="45"/>
        <v>5.7631029180476085</v>
      </c>
      <c r="J266" s="275">
        <f t="shared" si="43"/>
        <v>218.94124228303403</v>
      </c>
      <c r="L266" s="66"/>
      <c r="M266" s="163" t="s">
        <v>87</v>
      </c>
      <c r="N266" s="164">
        <f>IFERROR(ABS(N264-N265)/N264,0)</f>
        <v>3.8394192990158256E-5</v>
      </c>
      <c r="O266" s="164">
        <f t="shared" ref="O266:R266" si="49">IFERROR(ABS(O264-O265)/O264,0)</f>
        <v>1.0573233478540727E-2</v>
      </c>
      <c r="P266" s="164">
        <f t="shared" si="49"/>
        <v>2.6779330655989506E-5</v>
      </c>
      <c r="Q266" s="164">
        <f t="shared" si="49"/>
        <v>3.0103887997132075E-4</v>
      </c>
      <c r="R266" s="164">
        <f t="shared" si="49"/>
        <v>3.7067612915809539E-5</v>
      </c>
    </row>
    <row r="267" spans="1:18" ht="19">
      <c r="A267" s="188"/>
      <c r="C267" s="156">
        <f t="shared" si="48"/>
        <v>700</v>
      </c>
      <c r="D267" s="273">
        <f t="shared" si="46"/>
        <v>5.7439723661485309E-2</v>
      </c>
      <c r="E267" s="274">
        <f t="shared" si="47"/>
        <v>2.2303778333591056E+32</v>
      </c>
      <c r="F267" s="229">
        <f t="shared" si="42"/>
        <v>161.07466331526783</v>
      </c>
      <c r="G267" s="321" cm="1">
        <f t="array" ref="G267">$B$7*SUM((($D$42:$D$44)/$C267)/(EXP($D$42:$D$44/$C267)-1)-LN(1-EXP(-$D$42:$D$44/$C267)))</f>
        <v>1.6940915757989425</v>
      </c>
      <c r="H267" s="243">
        <f t="shared" si="44"/>
        <v>56.150708939638562</v>
      </c>
      <c r="I267" s="316">
        <f t="shared" si="45"/>
        <v>5.7631029180476085</v>
      </c>
      <c r="J267" s="275">
        <f t="shared" si="43"/>
        <v>224.68256674875298</v>
      </c>
    </row>
    <row r="268" spans="1:18" ht="19">
      <c r="A268" s="188"/>
      <c r="C268" s="156">
        <f t="shared" si="48"/>
        <v>800</v>
      </c>
      <c r="D268" s="273">
        <f t="shared" si="46"/>
        <v>6.5645398470268929E-2</v>
      </c>
      <c r="E268" s="274">
        <f t="shared" si="47"/>
        <v>2.7249990842399714E+32</v>
      </c>
      <c r="F268" s="229">
        <f t="shared" si="42"/>
        <v>163.85024684236112</v>
      </c>
      <c r="G268" s="321" cm="1">
        <f t="array" ref="G268">$B$7*SUM((($D$42:$D$44)/$C268)/(EXP($D$42:$D$44/$C268)-1)-LN(1-EXP(-$D$42:$D$44/$C268)))</f>
        <v>2.4026665488463341</v>
      </c>
      <c r="H268" s="243">
        <f t="shared" si="44"/>
        <v>57.816059055894563</v>
      </c>
      <c r="I268" s="316">
        <f t="shared" si="45"/>
        <v>5.7631029180476085</v>
      </c>
      <c r="J268" s="275">
        <f t="shared" si="43"/>
        <v>229.83207536514962</v>
      </c>
    </row>
    <row r="269" spans="1:18" ht="19">
      <c r="C269" s="156">
        <f t="shared" si="48"/>
        <v>900</v>
      </c>
      <c r="D269" s="273">
        <f t="shared" si="46"/>
        <v>7.3851073279052548E-2</v>
      </c>
      <c r="E269" s="274">
        <f t="shared" si="47"/>
        <v>3.2515852463885943E+32</v>
      </c>
      <c r="F269" s="229">
        <f t="shared" si="42"/>
        <v>166.29848502151478</v>
      </c>
      <c r="G269" s="321" cm="1">
        <f t="array" ref="G269">$B$7*SUM((($D$42:$D$44)/$C269)/(EXP($D$42:$D$44/$C269)-1)-LN(1-EXP(-$D$42:$D$44/$C269)))</f>
        <v>3.1868986445761167</v>
      </c>
      <c r="H269" s="243">
        <f t="shared" si="44"/>
        <v>59.285001963386719</v>
      </c>
      <c r="I269" s="316">
        <f t="shared" si="45"/>
        <v>5.7631029180476085</v>
      </c>
      <c r="J269" s="275">
        <f t="shared" si="43"/>
        <v>234.53348854752522</v>
      </c>
    </row>
    <row r="270" spans="1:18" ht="19">
      <c r="C270" s="156">
        <f t="shared" si="48"/>
        <v>1000</v>
      </c>
      <c r="D270" s="273">
        <f t="shared" si="46"/>
        <v>8.2056748087836168E-2</v>
      </c>
      <c r="E270" s="274">
        <f t="shared" si="47"/>
        <v>3.8083019943658044E+32</v>
      </c>
      <c r="F270" s="229">
        <f t="shared" si="42"/>
        <v>168.48850869997833</v>
      </c>
      <c r="G270" s="321" cm="1">
        <f t="array" ref="G270">$B$7*SUM((($D$42:$D$44)/$C270)/(EXP($D$42:$D$44/$C270)-1)-LN(1-EXP(-$D$42:$D$44/$C270)))</f>
        <v>4.0306642234206054</v>
      </c>
      <c r="H270" s="243">
        <f t="shared" si="44"/>
        <v>60.599016170464864</v>
      </c>
      <c r="I270" s="316">
        <f t="shared" si="45"/>
        <v>5.7631029180476085</v>
      </c>
      <c r="J270" s="275">
        <f t="shared" si="43"/>
        <v>238.88129201191143</v>
      </c>
    </row>
    <row r="271" spans="1:18" ht="19">
      <c r="C271" s="156">
        <f t="shared" si="48"/>
        <v>1100</v>
      </c>
      <c r="D271" s="273">
        <f t="shared" si="46"/>
        <v>9.0262422896619773E-2</v>
      </c>
      <c r="E271" s="274">
        <f t="shared" si="47"/>
        <v>4.3935989110144083E+32</v>
      </c>
      <c r="F271" s="229">
        <f t="shared" si="42"/>
        <v>170.46962609739109</v>
      </c>
      <c r="G271" s="321" cm="1">
        <f t="array" ref="G271">$B$7*SUM((($D$42:$D$44)/$C271)/(EXP($D$42:$D$44/$C271)-1)-LN(1-EXP(-$D$42:$D$44/$C271)))</f>
        <v>4.919244550002503</v>
      </c>
      <c r="H271" s="243">
        <f t="shared" si="44"/>
        <v>61.787686608912473</v>
      </c>
      <c r="I271" s="316">
        <f t="shared" si="45"/>
        <v>5.7631029180476085</v>
      </c>
      <c r="J271" s="275">
        <f t="shared" si="43"/>
        <v>242.93966017435369</v>
      </c>
    </row>
    <row r="272" spans="1:18" ht="19">
      <c r="C272" s="156">
        <f t="shared" si="48"/>
        <v>1200</v>
      </c>
      <c r="D272" s="273">
        <f t="shared" si="46"/>
        <v>9.8468097705403393E-2</v>
      </c>
      <c r="E272" s="274">
        <f t="shared" si="47"/>
        <v>5.0061429794545621E+32</v>
      </c>
      <c r="F272" s="229">
        <f t="shared" si="42"/>
        <v>172.27824457949748</v>
      </c>
      <c r="G272" s="321" cm="1">
        <f t="array" ref="G272">$B$7*SUM((($D$42:$D$44)/$C272)/(EXP($D$42:$D$44/$C272)-1)-LN(1-EXP(-$D$42:$D$44/$C272)))</f>
        <v>5.8394466188294576</v>
      </c>
      <c r="H272" s="243">
        <f t="shared" si="44"/>
        <v>62.872857698176354</v>
      </c>
      <c r="I272" s="316">
        <f t="shared" si="45"/>
        <v>5.7631029180476085</v>
      </c>
      <c r="J272" s="275">
        <f t="shared" si="43"/>
        <v>246.75365181455092</v>
      </c>
    </row>
    <row r="273" spans="3:10" ht="19">
      <c r="C273" s="156">
        <f t="shared" si="48"/>
        <v>1300</v>
      </c>
      <c r="D273" s="273">
        <f t="shared" si="46"/>
        <v>0.10667377251418701</v>
      </c>
      <c r="E273" s="274">
        <f t="shared" si="47"/>
        <v>5.6447720489315208E+32</v>
      </c>
      <c r="F273" s="229">
        <f t="shared" si="42"/>
        <v>173.94201230119961</v>
      </c>
      <c r="G273" s="321" cm="1">
        <f t="array" ref="G273">$B$7*SUM((($D$42:$D$44)/$C273)/(EXP($D$42:$D$44/$C273)-1)-LN(1-EXP(-$D$42:$D$44/$C273)))</f>
        <v>6.779848340568325</v>
      </c>
      <c r="H273" s="243">
        <f t="shared" si="44"/>
        <v>63.871118331197621</v>
      </c>
      <c r="I273" s="316">
        <f t="shared" si="45"/>
        <v>5.7631029180476085</v>
      </c>
      <c r="J273" s="275">
        <f t="shared" si="43"/>
        <v>250.35608189101319</v>
      </c>
    </row>
    <row r="274" spans="3:10" ht="19">
      <c r="C274" s="156">
        <f t="shared" si="48"/>
        <v>1400</v>
      </c>
      <c r="D274" s="273">
        <f t="shared" si="46"/>
        <v>0.11487944732297062</v>
      </c>
      <c r="E274" s="274">
        <f t="shared" si="47"/>
        <v>6.3084611623055494E+32</v>
      </c>
      <c r="F274" s="229">
        <f t="shared" si="42"/>
        <v>175.48242061038687</v>
      </c>
      <c r="G274" s="321" cm="1">
        <f t="array" ref="G274">$B$7*SUM((($D$42:$D$44)/$C274)/(EXP($D$42:$D$44/$C274)-1)-LN(1-EXP(-$D$42:$D$44/$C274)))</f>
        <v>7.7308964940899507</v>
      </c>
      <c r="H274" s="243">
        <f t="shared" si="44"/>
        <v>64.795363316709981</v>
      </c>
      <c r="I274" s="316">
        <f t="shared" si="45"/>
        <v>5.7631029180476085</v>
      </c>
      <c r="J274" s="275">
        <f t="shared" si="43"/>
        <v>253.77178333923442</v>
      </c>
    </row>
    <row r="275" spans="3:10" ht="19">
      <c r="C275" s="156">
        <f t="shared" si="48"/>
        <v>1500</v>
      </c>
      <c r="D275" s="273">
        <f t="shared" si="46"/>
        <v>0.12308512213175424</v>
      </c>
      <c r="E275" s="274">
        <f t="shared" si="47"/>
        <v>6.9962975044648741E+32</v>
      </c>
      <c r="F275" s="229">
        <f t="shared" si="42"/>
        <v>176.91650643711469</v>
      </c>
      <c r="G275" s="321" cm="1">
        <f t="array" ref="G275">$B$7*SUM((($D$42:$D$44)/$C275)/(EXP($D$42:$D$44/$C275)-1)-LN(1-EXP(-$D$42:$D$44/$C275)))</f>
        <v>8.6848374827227737</v>
      </c>
      <c r="H275" s="243">
        <f t="shared" si="44"/>
        <v>65.655814812746655</v>
      </c>
      <c r="I275" s="316">
        <f t="shared" si="45"/>
        <v>5.7631029180476085</v>
      </c>
      <c r="J275" s="275">
        <f t="shared" si="43"/>
        <v>257.02026165063171</v>
      </c>
    </row>
    <row r="276" spans="3:10" ht="19">
      <c r="C276" s="156">
        <f t="shared" si="48"/>
        <v>1600</v>
      </c>
      <c r="D276" s="273">
        <f t="shared" si="46"/>
        <v>0.13129079694053786</v>
      </c>
      <c r="E276" s="274">
        <f t="shared" si="47"/>
        <v>7.7074613247728861E+32</v>
      </c>
      <c r="F276" s="229">
        <f t="shared" si="42"/>
        <v>178.25800413748016</v>
      </c>
      <c r="G276" s="321" cm="1">
        <f t="array" ref="G276">$B$7*SUM((($D$42:$D$44)/$C276)/(EXP($D$42:$D$44/$C276)-1)-LN(1-EXP(-$D$42:$D$44/$C276)))</f>
        <v>9.6355388494367116</v>
      </c>
      <c r="H276" s="243">
        <f t="shared" si="44"/>
        <v>66.460713432965989</v>
      </c>
      <c r="I276" s="316">
        <f t="shared" si="45"/>
        <v>5.7631029180476085</v>
      </c>
      <c r="J276" s="275">
        <f t="shared" si="43"/>
        <v>260.11735933793045</v>
      </c>
    </row>
    <row r="277" spans="3:10" ht="19">
      <c r="C277" s="156">
        <f t="shared" si="48"/>
        <v>1700</v>
      </c>
      <c r="D277" s="273">
        <f t="shared" si="46"/>
        <v>0.13949647174932148</v>
      </c>
      <c r="E277" s="274">
        <f t="shared" si="47"/>
        <v>8.4412111172784989E+32</v>
      </c>
      <c r="F277" s="229">
        <f t="shared" si="42"/>
        <v>179.5181475265565</v>
      </c>
      <c r="G277" s="321" cm="1">
        <f t="array" ref="G277">$B$7*SUM((($D$42:$D$44)/$C277)/(EXP($D$42:$D$44/$C277)-1)-LN(1-EXP(-$D$42:$D$44/$C277)))</f>
        <v>10.57826206262671</v>
      </c>
      <c r="H277" s="243">
        <f t="shared" si="44"/>
        <v>67.216799466411828</v>
      </c>
      <c r="I277" s="316">
        <f t="shared" si="45"/>
        <v>5.7631029180476085</v>
      </c>
      <c r="J277" s="275">
        <f t="shared" si="43"/>
        <v>263.07631197364265</v>
      </c>
    </row>
    <row r="278" spans="3:10" ht="19">
      <c r="C278" s="156">
        <f t="shared" si="48"/>
        <v>1800</v>
      </c>
      <c r="D278" s="273">
        <f t="shared" si="46"/>
        <v>0.1477021465581051</v>
      </c>
      <c r="E278" s="274">
        <f t="shared" si="47"/>
        <v>9.1968719093099191E+32</v>
      </c>
      <c r="F278" s="229">
        <f t="shared" si="42"/>
        <v>180.70624231663373</v>
      </c>
      <c r="G278" s="321" cm="1">
        <f t="array" ref="G278">$B$7*SUM((($D$42:$D$44)/$C278)/(EXP($D$42:$D$44/$C278)-1)-LN(1-EXP(-$D$42:$D$44/$C278)))</f>
        <v>11.509428651484825</v>
      </c>
      <c r="H278" s="243">
        <f t="shared" si="44"/>
        <v>67.929656340458152</v>
      </c>
      <c r="I278" s="316">
        <f t="shared" si="45"/>
        <v>5.7631029180476085</v>
      </c>
      <c r="J278" s="275">
        <f t="shared" si="43"/>
        <v>265.90843022662432</v>
      </c>
    </row>
    <row r="279" spans="3:10" ht="19">
      <c r="C279" s="156">
        <f t="shared" si="48"/>
        <v>1900</v>
      </c>
      <c r="D279" s="273">
        <f t="shared" si="46"/>
        <v>0.15590782136688872</v>
      </c>
      <c r="E279" s="274">
        <f t="shared" si="47"/>
        <v>9.9738258670739171E+32</v>
      </c>
      <c r="F279" s="229">
        <f t="shared" si="42"/>
        <v>181.83008357795771</v>
      </c>
      <c r="G279" s="321" cm="1">
        <f t="array" ref="G279">$B$7*SUM((($D$42:$D$44)/$C279)/(EXP($D$42:$D$44/$C279)-1)-LN(1-EXP(-$D$42:$D$44/$C279)))</f>
        <v>12.426403307068446</v>
      </c>
      <c r="H279" s="243">
        <f t="shared" si="44"/>
        <v>68.603961097252508</v>
      </c>
      <c r="I279" s="316">
        <f t="shared" si="45"/>
        <v>5.7631029180476085</v>
      </c>
      <c r="J279" s="275">
        <f t="shared" si="43"/>
        <v>268.62355090032628</v>
      </c>
    </row>
    <row r="280" spans="3:10" ht="20" thickBot="1">
      <c r="C280" s="165">
        <f t="shared" si="48"/>
        <v>2000</v>
      </c>
      <c r="D280" s="277">
        <f t="shared" si="46"/>
        <v>0.16411349617567234</v>
      </c>
      <c r="E280" s="278">
        <f t="shared" si="47"/>
        <v>1.0771504660089283E+33</v>
      </c>
      <c r="F280" s="246">
        <f t="shared" si="42"/>
        <v>182.89626599509737</v>
      </c>
      <c r="G280" s="322" cm="1">
        <f t="array" ref="G280">$B$7*SUM((($D$42:$D$44)/$C280)/(EXP($D$42:$D$44/$C280)-1)-LN(1-EXP(-$D$42:$D$44/$C280)))</f>
        <v>13.327304472000913</v>
      </c>
      <c r="H280" s="247">
        <f t="shared" si="44"/>
        <v>69.243670547536269</v>
      </c>
      <c r="I280" s="307">
        <f t="shared" si="45"/>
        <v>5.7631029180476085</v>
      </c>
      <c r="J280" s="279">
        <f t="shared" si="43"/>
        <v>271.23034393268216</v>
      </c>
    </row>
  </sheetData>
  <mergeCells count="10">
    <mergeCell ref="A18:V18"/>
    <mergeCell ref="A53:V53"/>
    <mergeCell ref="U93:W93"/>
    <mergeCell ref="AB101:AH101"/>
    <mergeCell ref="H198:K198"/>
    <mergeCell ref="D203:E203"/>
    <mergeCell ref="D212:H212"/>
    <mergeCell ref="H239:K239"/>
    <mergeCell ref="D244:E244"/>
    <mergeCell ref="D245:E24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5232C-D7B5-4D49-AD79-3BE036BA6498}">
  <dimension ref="A3:AH280"/>
  <sheetViews>
    <sheetView topLeftCell="A177" zoomScale="132" workbookViewId="0">
      <selection activeCell="C173" sqref="C173"/>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17.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474" t="s">
        <v>137</v>
      </c>
      <c r="B18" s="474"/>
      <c r="C18" s="474"/>
      <c r="D18" s="474"/>
      <c r="E18" s="474"/>
      <c r="F18" s="474"/>
      <c r="G18" s="474"/>
      <c r="H18" s="474"/>
      <c r="I18" s="474"/>
      <c r="J18" s="474"/>
      <c r="K18" s="474"/>
      <c r="L18" s="474"/>
      <c r="M18" s="474"/>
      <c r="N18" s="474"/>
      <c r="O18" s="474"/>
      <c r="P18" s="474"/>
      <c r="Q18" s="474"/>
      <c r="R18" s="474"/>
      <c r="S18" s="474"/>
      <c r="T18" s="474"/>
      <c r="U18" s="474"/>
      <c r="V18" s="474"/>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0</v>
      </c>
      <c r="E23" s="86">
        <v>0.99270999999999998</v>
      </c>
      <c r="F23" s="87">
        <v>0.99270999999999998</v>
      </c>
      <c r="G23" s="66"/>
      <c r="H23" s="88">
        <v>1.0175E-2</v>
      </c>
      <c r="I23" s="89">
        <f>H23*$H$7</f>
        <v>6.3848430250000003</v>
      </c>
      <c r="J23" s="89">
        <f>H23*$I$7</f>
        <v>26.7144625</v>
      </c>
      <c r="K23" s="90">
        <f>H23*$F$7</f>
        <v>0.27686887249999997</v>
      </c>
      <c r="L23" s="91">
        <f>H23*$K$7</f>
        <v>4.4363000000000001E-20</v>
      </c>
      <c r="M23" s="66"/>
      <c r="N23" s="66"/>
      <c r="O23" s="92" t="s">
        <v>45</v>
      </c>
      <c r="P23" s="93">
        <v>7.8659999999999997</v>
      </c>
      <c r="Q23" s="94">
        <v>4.968</v>
      </c>
      <c r="R23" s="95">
        <v>31.132000000000001</v>
      </c>
      <c r="S23" s="66"/>
      <c r="T23" s="66"/>
      <c r="U23" s="66"/>
      <c r="V23" s="66"/>
      <c r="W23" s="66"/>
      <c r="X23" s="66"/>
      <c r="Y23" s="66"/>
      <c r="Z23" s="66"/>
      <c r="AA23" s="66"/>
    </row>
    <row r="24" spans="1:27" ht="22" thickBot="1">
      <c r="A24" s="65" t="s">
        <v>46</v>
      </c>
      <c r="B24" s="66"/>
      <c r="C24" s="96" t="s">
        <v>47</v>
      </c>
      <c r="D24" s="97">
        <f>D23*$U$9</f>
        <v>0</v>
      </c>
      <c r="E24" s="98">
        <f t="shared" ref="E24:F24" si="0">E23*$U$9</f>
        <v>1.6478986E-27</v>
      </c>
      <c r="F24" s="99">
        <f t="shared" si="0"/>
        <v>1.6478986E-27</v>
      </c>
      <c r="G24" s="66"/>
      <c r="M24" s="66"/>
      <c r="N24" s="66"/>
      <c r="O24" s="100" t="s">
        <v>48</v>
      </c>
      <c r="P24" s="93">
        <v>0</v>
      </c>
      <c r="Q24" s="94">
        <v>0</v>
      </c>
      <c r="R24" s="95">
        <v>0</v>
      </c>
      <c r="S24" s="66"/>
      <c r="T24" s="66"/>
      <c r="U24" s="66"/>
      <c r="V24" s="66"/>
      <c r="W24" s="66"/>
      <c r="X24" s="66"/>
      <c r="Y24" s="66"/>
      <c r="Z24" s="66"/>
      <c r="AA24" s="66"/>
    </row>
    <row r="25" spans="1:27" ht="22" thickBot="1">
      <c r="A25" s="71">
        <v>1</v>
      </c>
      <c r="B25" s="66"/>
      <c r="C25" s="101" t="s">
        <v>49</v>
      </c>
      <c r="D25" s="102">
        <f>D24*($Q$8)^2</f>
        <v>0</v>
      </c>
      <c r="E25" s="103">
        <f>E24*($Q$8)^2</f>
        <v>1.6478986000000003E-47</v>
      </c>
      <c r="F25" s="104">
        <f t="shared" ref="F25" si="1">F24*($Q$8)^2</f>
        <v>1.6478986000000003E-47</v>
      </c>
      <c r="G25" s="66"/>
      <c r="M25" s="66"/>
      <c r="N25" s="66"/>
      <c r="O25" s="100" t="s">
        <v>50</v>
      </c>
      <c r="P25" s="93">
        <v>0.88900000000000001</v>
      </c>
      <c r="Q25" s="94">
        <v>2.9809999999999999</v>
      </c>
      <c r="R25" s="95">
        <v>28.08</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0.59199999999999997</v>
      </c>
      <c r="Q26" s="94">
        <v>1.9870000000000001</v>
      </c>
      <c r="R26" s="95">
        <v>3.052</v>
      </c>
      <c r="S26" s="66"/>
      <c r="T26" s="66"/>
      <c r="U26" s="66"/>
      <c r="V26" s="66"/>
      <c r="W26" s="66"/>
      <c r="X26" s="66"/>
      <c r="Y26" s="66"/>
      <c r="Z26" s="66"/>
      <c r="AA26" s="66"/>
    </row>
    <row r="27" spans="1:27" ht="20" thickBot="1">
      <c r="A27" s="65" t="s">
        <v>53</v>
      </c>
      <c r="B27" s="66"/>
      <c r="C27" s="65" t="s">
        <v>138</v>
      </c>
      <c r="D27" s="66"/>
      <c r="E27" s="66"/>
      <c r="F27" s="66"/>
      <c r="G27" s="66"/>
      <c r="H27" s="76" t="s">
        <v>40</v>
      </c>
      <c r="I27" s="77" t="s">
        <v>9</v>
      </c>
      <c r="J27" s="77" t="s">
        <v>10</v>
      </c>
      <c r="K27" s="78" t="s">
        <v>7</v>
      </c>
      <c r="L27" s="79" t="s">
        <v>12</v>
      </c>
      <c r="M27" s="66"/>
      <c r="N27" s="66"/>
      <c r="O27" s="105" t="s">
        <v>55</v>
      </c>
      <c r="P27" s="106">
        <v>6.3849999999999998</v>
      </c>
      <c r="Q27" s="107">
        <v>0</v>
      </c>
      <c r="R27" s="108">
        <v>0</v>
      </c>
      <c r="S27" s="66"/>
      <c r="T27" s="66"/>
      <c r="U27" s="66"/>
      <c r="V27" s="66"/>
      <c r="W27" s="66"/>
      <c r="X27" s="66"/>
      <c r="Y27" s="66"/>
      <c r="Z27" s="66"/>
      <c r="AA27" s="66"/>
    </row>
    <row r="28" spans="1:27" ht="20" thickBot="1">
      <c r="A28" s="71">
        <v>2.0156499999999999</v>
      </c>
      <c r="B28" s="66"/>
      <c r="C28" s="280">
        <v>87.254140000000007</v>
      </c>
      <c r="D28" s="123"/>
      <c r="E28" s="123"/>
      <c r="F28" s="66"/>
      <c r="G28" s="66"/>
      <c r="H28" s="112">
        <v>1.2536E-2</v>
      </c>
      <c r="I28" s="89">
        <f>H28*$H$7</f>
        <v>7.8663776080000005</v>
      </c>
      <c r="J28" s="89">
        <f>H28*$I$7</f>
        <v>32.913268000000002</v>
      </c>
      <c r="K28" s="113">
        <f>H28*$F$7</f>
        <v>0.34111333519999998</v>
      </c>
      <c r="L28" s="91">
        <f>H28*$K$7</f>
        <v>5.4656960000000003E-20</v>
      </c>
      <c r="M28" s="66"/>
      <c r="N28" s="66"/>
      <c r="O28" s="66"/>
      <c r="P28" s="66"/>
      <c r="Q28" s="66"/>
      <c r="R28" s="66"/>
      <c r="S28" s="66"/>
      <c r="T28" s="66"/>
      <c r="U28" s="66"/>
      <c r="V28" s="66"/>
      <c r="W28" s="66"/>
      <c r="X28" s="66"/>
      <c r="Y28" s="66"/>
      <c r="Z28" s="66"/>
      <c r="AA28" s="66"/>
    </row>
    <row r="29" spans="1:27" ht="20" thickBot="1">
      <c r="A29" s="66"/>
      <c r="B29" s="66"/>
      <c r="C29" s="281"/>
      <c r="D29" s="281"/>
      <c r="E29" s="281"/>
      <c r="F29" s="66"/>
      <c r="G29" s="66"/>
      <c r="L29" s="66"/>
      <c r="M29" s="66"/>
      <c r="N29" s="66"/>
      <c r="O29" s="66"/>
      <c r="P29" s="66"/>
      <c r="Q29" s="66"/>
      <c r="R29" s="66"/>
      <c r="S29" s="66"/>
      <c r="T29" s="66"/>
      <c r="U29" s="66"/>
      <c r="V29" s="66"/>
      <c r="W29" s="66"/>
      <c r="X29" s="66"/>
      <c r="Y29" s="66"/>
      <c r="Z29" s="66"/>
      <c r="AA29" s="66"/>
    </row>
    <row r="30" spans="1:27" ht="20" thickBot="1">
      <c r="A30" s="65" t="s">
        <v>57</v>
      </c>
      <c r="B30" s="66"/>
      <c r="F30" s="66"/>
      <c r="G30" s="66"/>
      <c r="M30" s="66"/>
      <c r="O30" s="116" t="s">
        <v>58</v>
      </c>
      <c r="P30" s="117"/>
      <c r="Q30" s="117"/>
      <c r="R30" s="118"/>
      <c r="S30" s="66"/>
      <c r="T30" s="66"/>
      <c r="U30" s="66"/>
      <c r="V30" s="66"/>
      <c r="W30" s="66"/>
      <c r="X30" s="66"/>
      <c r="Y30" s="66"/>
      <c r="Z30" s="66"/>
      <c r="AA30" s="66"/>
    </row>
    <row r="31" spans="1:27" ht="20" thickBot="1">
      <c r="A31" s="71">
        <v>2</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1</v>
      </c>
      <c r="Q32" s="125">
        <v>0</v>
      </c>
      <c r="R32" s="125">
        <v>0</v>
      </c>
      <c r="S32" s="66"/>
      <c r="T32" s="66"/>
      <c r="U32" s="66"/>
      <c r="V32" s="66"/>
      <c r="W32" s="66"/>
      <c r="X32" s="66"/>
      <c r="Y32" s="66"/>
      <c r="Z32" s="66"/>
      <c r="AA32" s="66"/>
    </row>
    <row r="33" spans="1:27" ht="20" thickBot="1">
      <c r="A33" s="66"/>
      <c r="B33" s="66"/>
      <c r="C33" s="282">
        <v>0</v>
      </c>
      <c r="D33" s="283">
        <v>1817.9852960999999</v>
      </c>
      <c r="E33" s="284">
        <v>1817.9852960999999</v>
      </c>
      <c r="F33" s="66"/>
      <c r="G33" s="66"/>
      <c r="H33" s="112">
        <v>1.3480000000000001E-2</v>
      </c>
      <c r="I33" s="89">
        <f>H33*$H$7</f>
        <v>8.4587404400000015</v>
      </c>
      <c r="J33" s="89">
        <f>H33*$I$7</f>
        <v>35.391739999999999</v>
      </c>
      <c r="K33" s="113">
        <f>H33*$F$7</f>
        <v>0.366800236</v>
      </c>
      <c r="L33" s="91">
        <f>H33*$K$7</f>
        <v>5.8772800000000006E-20</v>
      </c>
      <c r="M33" s="66"/>
      <c r="N33" s="66"/>
      <c r="O33" s="100" t="s">
        <v>50</v>
      </c>
      <c r="P33" s="93">
        <v>112481</v>
      </c>
      <c r="Q33" s="94">
        <v>5.0510780000000004</v>
      </c>
      <c r="R33" s="94">
        <v>11.630537</v>
      </c>
      <c r="S33" s="66"/>
      <c r="T33" s="66"/>
      <c r="U33" s="66"/>
      <c r="V33" s="66"/>
      <c r="W33" s="66"/>
      <c r="X33" s="66"/>
      <c r="Y33" s="66"/>
      <c r="Z33" s="66"/>
      <c r="AA33" s="66"/>
    </row>
    <row r="34" spans="1:27" ht="19">
      <c r="A34" s="66"/>
      <c r="B34" s="66"/>
      <c r="E34" s="66"/>
      <c r="F34" s="66"/>
      <c r="G34" s="66"/>
      <c r="M34" s="66"/>
      <c r="N34" s="66"/>
      <c r="O34" s="100" t="s">
        <v>52</v>
      </c>
      <c r="P34" s="93">
        <v>1.70861</v>
      </c>
      <c r="Q34" s="94">
        <v>0.23264199999999999</v>
      </c>
      <c r="R34" s="94">
        <v>0.53567900000000002</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4.0125400000000004</v>
      </c>
      <c r="Q35" s="94">
        <v>0.60341900000000004</v>
      </c>
      <c r="R35" s="94">
        <v>1.389424</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192185</v>
      </c>
      <c r="Q36" s="94">
        <v>5.2837199999999998</v>
      </c>
      <c r="R36" s="94">
        <v>12.166214999999999</v>
      </c>
      <c r="S36" s="66"/>
      <c r="T36" s="66"/>
      <c r="U36" s="66"/>
      <c r="V36" s="66"/>
      <c r="W36" s="66"/>
      <c r="X36" s="66"/>
      <c r="Y36" s="66"/>
      <c r="Z36" s="66"/>
      <c r="AA36" s="66"/>
    </row>
    <row r="37" spans="1:27" ht="20" thickBot="1">
      <c r="A37" s="66"/>
      <c r="B37" s="66"/>
      <c r="C37" s="128" t="s">
        <v>68</v>
      </c>
      <c r="D37" s="129">
        <v>26715.200000000001</v>
      </c>
      <c r="E37" s="66"/>
      <c r="F37" s="66"/>
      <c r="H37" s="76" t="s">
        <v>40</v>
      </c>
      <c r="I37" s="77" t="s">
        <v>9</v>
      </c>
      <c r="J37" s="77" t="s">
        <v>10</v>
      </c>
      <c r="K37" s="79" t="s">
        <v>7</v>
      </c>
      <c r="L37" s="79" t="s">
        <v>12</v>
      </c>
      <c r="M37" s="66"/>
      <c r="N37" s="66"/>
      <c r="O37" s="100" t="s">
        <v>69</v>
      </c>
      <c r="P37" s="93">
        <v>2.08785E-5</v>
      </c>
      <c r="Q37" s="94">
        <v>-4.680301</v>
      </c>
      <c r="R37" s="94">
        <v>-10.776790999999999</v>
      </c>
      <c r="S37" s="66"/>
      <c r="T37" s="66"/>
      <c r="U37" s="66"/>
      <c r="V37" s="66"/>
      <c r="W37" s="66"/>
      <c r="X37" s="66"/>
      <c r="Y37" s="66"/>
      <c r="Z37" s="66"/>
      <c r="AA37" s="66"/>
    </row>
    <row r="38" spans="1:27" ht="20" thickBot="1">
      <c r="A38" s="66"/>
      <c r="B38" s="66"/>
      <c r="C38" s="130" t="s">
        <v>70</v>
      </c>
      <c r="D38" s="131">
        <v>6.3850899999999999</v>
      </c>
      <c r="E38" s="66"/>
      <c r="F38" s="66"/>
      <c r="H38" s="112">
        <v>-1.312E-3</v>
      </c>
      <c r="I38" s="89">
        <f>H38*$H$7</f>
        <v>-0.82328393600000005</v>
      </c>
      <c r="J38" s="89">
        <f>H38*$I$7</f>
        <v>-3.4446560000000002</v>
      </c>
      <c r="K38" s="113">
        <f>H38*$F$7</f>
        <v>-3.5700438399999999E-2</v>
      </c>
      <c r="L38" s="91">
        <f>H38*$K$7</f>
        <v>-5.72032E-21</v>
      </c>
      <c r="M38" s="66"/>
      <c r="N38" s="66"/>
      <c r="O38" s="105" t="s">
        <v>71</v>
      </c>
      <c r="P38" s="93">
        <v>1</v>
      </c>
      <c r="Q38" s="94">
        <v>0</v>
      </c>
      <c r="R38" s="94">
        <v>0</v>
      </c>
      <c r="S38" s="66"/>
      <c r="T38" s="66"/>
      <c r="U38" s="66"/>
      <c r="V38" s="66"/>
      <c r="W38" s="66"/>
      <c r="X38" s="66"/>
      <c r="Y38" s="66"/>
      <c r="Z38" s="66"/>
      <c r="AA38" s="66"/>
    </row>
    <row r="39" spans="1:27" ht="19">
      <c r="A39" s="66"/>
      <c r="B39" s="66"/>
      <c r="C39" s="66"/>
      <c r="D39" s="66"/>
      <c r="E39" s="66"/>
      <c r="F39" s="66"/>
      <c r="J39" s="66"/>
      <c r="K39" s="66"/>
      <c r="L39" s="66"/>
      <c r="M39" s="66"/>
      <c r="N39" s="66"/>
      <c r="O39" s="132"/>
      <c r="P39" s="66"/>
      <c r="Q39" s="66"/>
      <c r="R39" s="66"/>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133" t="s">
        <v>72</v>
      </c>
      <c r="E41" s="134" t="s">
        <v>73</v>
      </c>
      <c r="F41" s="135" t="s">
        <v>74</v>
      </c>
      <c r="G41" s="136" t="s">
        <v>75</v>
      </c>
      <c r="I41" s="66"/>
      <c r="J41" s="66"/>
      <c r="K41" s="66"/>
      <c r="L41" s="66"/>
      <c r="M41" s="66"/>
      <c r="N41" s="66"/>
      <c r="O41" s="66"/>
      <c r="P41" s="66"/>
      <c r="Q41" s="66"/>
      <c r="R41" s="66"/>
      <c r="S41" s="66"/>
      <c r="T41" s="66"/>
      <c r="U41" s="66"/>
      <c r="V41" s="66"/>
      <c r="W41" s="66"/>
      <c r="X41" s="66"/>
      <c r="Y41" s="66"/>
      <c r="Z41" s="66"/>
      <c r="AA41" s="66"/>
    </row>
    <row r="42" spans="1:27" ht="20" thickBot="1">
      <c r="A42" s="66"/>
      <c r="B42" s="66"/>
      <c r="C42" s="285">
        <v>1</v>
      </c>
      <c r="D42" s="286">
        <v>6426.2</v>
      </c>
      <c r="E42" s="287">
        <v>4466.4384</v>
      </c>
      <c r="F42" s="288">
        <f>E42*$L$9</f>
        <v>133900696725120</v>
      </c>
      <c r="G42" s="289">
        <v>1.0078</v>
      </c>
      <c r="H42" s="139"/>
      <c r="K42" s="66"/>
      <c r="L42" s="66"/>
      <c r="M42" s="66"/>
      <c r="N42" s="66"/>
      <c r="O42" s="66"/>
      <c r="P42" s="66"/>
      <c r="Q42" s="66"/>
      <c r="R42" s="66"/>
      <c r="S42" s="66"/>
      <c r="T42" s="66"/>
      <c r="U42" s="66"/>
      <c r="V42" s="66"/>
      <c r="W42" s="66"/>
      <c r="X42" s="66"/>
      <c r="Y42" s="66"/>
      <c r="Z42" s="66"/>
      <c r="AA42" s="66"/>
    </row>
    <row r="43" spans="1:27" ht="19">
      <c r="A43" s="66"/>
      <c r="B43" s="66"/>
      <c r="C43" s="290"/>
      <c r="D43" s="190"/>
      <c r="E43" s="190"/>
      <c r="F43" s="191"/>
      <c r="G43" s="190"/>
      <c r="H43" s="139"/>
      <c r="K43" s="66"/>
      <c r="L43" s="66"/>
      <c r="M43" s="66"/>
      <c r="N43" s="66"/>
      <c r="O43" s="66"/>
      <c r="P43" s="66"/>
      <c r="Q43" s="66"/>
      <c r="R43" s="66"/>
      <c r="S43" s="66"/>
      <c r="T43" s="66"/>
      <c r="U43" s="66"/>
      <c r="V43" s="66"/>
      <c r="W43" s="66"/>
      <c r="X43" s="66"/>
      <c r="Y43" s="66"/>
      <c r="Z43" s="66"/>
      <c r="AA43" s="66"/>
    </row>
    <row r="44" spans="1:27" ht="20" thickBot="1">
      <c r="A44" s="66"/>
      <c r="B44" s="66"/>
      <c r="C44" s="139"/>
      <c r="D44" s="66"/>
      <c r="E44" s="66"/>
      <c r="F44" s="140"/>
      <c r="G44" s="66"/>
      <c r="H44" s="139"/>
      <c r="J44" s="141" t="s">
        <v>76</v>
      </c>
      <c r="M44" s="66"/>
      <c r="N44" s="66"/>
      <c r="O44" s="66"/>
      <c r="P44" s="66"/>
      <c r="Q44" s="66"/>
      <c r="R44" s="66"/>
      <c r="S44" s="66"/>
      <c r="T44" s="66"/>
      <c r="U44" s="66"/>
      <c r="V44" s="66"/>
      <c r="W44" s="66"/>
      <c r="X44" s="66"/>
      <c r="Y44" s="66"/>
      <c r="Z44" s="66"/>
      <c r="AA44" s="66"/>
    </row>
    <row r="45" spans="1:27" ht="20" thickBot="1">
      <c r="A45" s="66"/>
      <c r="B45" s="66"/>
      <c r="C45" s="139"/>
      <c r="D45" s="66"/>
      <c r="E45" s="66"/>
      <c r="F45" s="140"/>
      <c r="G45" s="66"/>
      <c r="H45" s="139"/>
      <c r="J45" s="142">
        <v>1</v>
      </c>
      <c r="K45" s="291">
        <f>J45+1</f>
        <v>2</v>
      </c>
      <c r="L45" s="143">
        <f>K45+1</f>
        <v>3</v>
      </c>
      <c r="M45" s="66"/>
      <c r="N45" s="66"/>
      <c r="O45" s="66"/>
      <c r="P45" s="66"/>
      <c r="Q45" s="66"/>
      <c r="R45" s="66"/>
      <c r="S45" s="66"/>
      <c r="T45" s="66"/>
      <c r="U45" s="66"/>
      <c r="V45" s="66"/>
      <c r="W45" s="66"/>
      <c r="X45" s="66"/>
      <c r="Y45" s="66"/>
      <c r="Z45" s="66"/>
      <c r="AA45" s="66"/>
    </row>
    <row r="46" spans="1:27" ht="20" thickBot="1">
      <c r="A46" s="66"/>
      <c r="B46" s="66"/>
      <c r="C46" s="139"/>
      <c r="D46" s="66"/>
      <c r="E46" s="66"/>
      <c r="F46" s="140"/>
      <c r="G46" s="66"/>
      <c r="H46" s="139"/>
      <c r="J46" s="144">
        <v>-1.1785340066400001</v>
      </c>
      <c r="K46" s="292">
        <v>-1.1785393340799999</v>
      </c>
      <c r="L46" s="145">
        <v>-1.1785393340799999</v>
      </c>
      <c r="M46" s="66"/>
      <c r="N46" s="66"/>
      <c r="O46" s="66"/>
      <c r="P46" s="66"/>
      <c r="Q46" s="66"/>
      <c r="R46" s="66"/>
      <c r="S46" s="66"/>
      <c r="T46" s="66"/>
      <c r="U46" s="66"/>
      <c r="V46" s="66"/>
      <c r="W46" s="66"/>
      <c r="X46" s="66"/>
      <c r="Y46" s="66"/>
      <c r="Z46" s="66"/>
      <c r="AA46" s="66"/>
    </row>
    <row r="47" spans="1:27" ht="19">
      <c r="A47" s="66"/>
      <c r="B47" s="66"/>
      <c r="C47" s="139"/>
      <c r="D47" s="66"/>
      <c r="E47" s="66"/>
      <c r="F47" s="140"/>
      <c r="G47" s="66"/>
      <c r="H47" s="139"/>
      <c r="K47" s="66"/>
      <c r="L47" s="66"/>
      <c r="M47" s="66"/>
      <c r="N47" s="66"/>
      <c r="O47" s="66"/>
      <c r="P47" s="66"/>
      <c r="Q47" s="66"/>
      <c r="R47" s="66"/>
      <c r="S47" s="66"/>
      <c r="T47" s="66"/>
      <c r="U47" s="66"/>
      <c r="V47" s="66"/>
      <c r="W47" s="66"/>
      <c r="X47" s="66"/>
      <c r="Y47" s="66"/>
      <c r="Z47" s="66"/>
      <c r="AA47" s="66"/>
    </row>
    <row r="48" spans="1:27" ht="19">
      <c r="A48" s="66"/>
      <c r="B48" s="66"/>
      <c r="C48" s="139"/>
      <c r="D48" s="66"/>
      <c r="E48" s="66"/>
      <c r="F48" s="140"/>
      <c r="G48" s="66"/>
      <c r="H48" s="139"/>
      <c r="K48" s="66"/>
      <c r="L48" s="66"/>
      <c r="M48" s="66"/>
      <c r="N48" s="66"/>
      <c r="O48" s="66"/>
      <c r="P48" s="66"/>
      <c r="Q48" s="66"/>
      <c r="R48" s="66"/>
      <c r="S48" s="66"/>
      <c r="T48" s="66"/>
      <c r="U48" s="66"/>
      <c r="V48" s="66"/>
      <c r="W48" s="66"/>
      <c r="X48" s="66"/>
      <c r="Y48" s="66"/>
      <c r="Z48" s="66"/>
      <c r="AA48" s="66"/>
    </row>
    <row r="49" spans="1:27" ht="19">
      <c r="A49" s="66"/>
      <c r="B49" s="66"/>
      <c r="C49" s="139"/>
      <c r="D49" s="66"/>
      <c r="E49" s="66"/>
      <c r="F49" s="140"/>
      <c r="G49" s="66"/>
      <c r="H49" s="139"/>
      <c r="K49" s="66"/>
      <c r="L49" s="66"/>
      <c r="M49" s="66"/>
      <c r="N49" s="66"/>
      <c r="O49" s="66"/>
      <c r="P49" s="66"/>
      <c r="Q49" s="66"/>
      <c r="R49" s="66"/>
      <c r="S49" s="66"/>
      <c r="T49" s="66"/>
      <c r="U49" s="66"/>
      <c r="V49" s="66"/>
      <c r="W49" s="66"/>
      <c r="X49" s="66"/>
      <c r="Y49" s="66"/>
      <c r="Z49" s="66"/>
      <c r="AA49" s="66"/>
    </row>
    <row r="50" spans="1:27" ht="19">
      <c r="A50" s="66"/>
      <c r="B50" s="66"/>
      <c r="C50" s="139"/>
      <c r="D50" s="66"/>
      <c r="E50" s="66"/>
      <c r="F50" s="140"/>
      <c r="G50" s="66"/>
      <c r="H50" s="139"/>
      <c r="K50" s="66"/>
      <c r="L50" s="66"/>
      <c r="M50" s="66"/>
      <c r="N50" s="66"/>
      <c r="O50" s="66"/>
      <c r="P50" s="66"/>
      <c r="Q50" s="66"/>
      <c r="R50" s="66"/>
      <c r="S50" s="66"/>
      <c r="T50" s="66"/>
      <c r="U50" s="66"/>
      <c r="V50" s="66"/>
      <c r="W50" s="66"/>
      <c r="X50" s="66"/>
      <c r="Y50" s="66"/>
      <c r="Z50" s="66"/>
      <c r="AA50" s="66"/>
    </row>
    <row r="51" spans="1:27" ht="19">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27" ht="1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ht="34" thickBot="1">
      <c r="A53" s="474" t="s">
        <v>139</v>
      </c>
      <c r="B53" s="474"/>
      <c r="C53" s="474"/>
      <c r="D53" s="474"/>
      <c r="E53" s="474"/>
      <c r="F53" s="474"/>
      <c r="G53" s="474"/>
      <c r="H53" s="474"/>
      <c r="I53" s="474"/>
      <c r="J53" s="474"/>
      <c r="K53" s="474"/>
      <c r="L53" s="474"/>
      <c r="M53" s="474"/>
      <c r="N53" s="474"/>
      <c r="O53" s="474"/>
      <c r="P53" s="474"/>
      <c r="Q53" s="474"/>
      <c r="R53" s="474"/>
      <c r="S53" s="474"/>
      <c r="T53" s="474"/>
      <c r="U53" s="474"/>
      <c r="V53" s="474"/>
      <c r="W53" s="66"/>
      <c r="X53" s="66"/>
      <c r="Y53" s="66"/>
      <c r="Z53" s="66"/>
      <c r="AA53" s="66"/>
    </row>
    <row r="54" spans="1:27" ht="20" thickTop="1">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ht="19">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row>
    <row r="56" spans="1:27"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row>
    <row r="57" spans="1:27"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c r="B64" s="66"/>
      <c r="C64" s="181" t="s">
        <v>80</v>
      </c>
      <c r="D64" s="293" t="s">
        <v>81</v>
      </c>
      <c r="E64" s="181" t="s">
        <v>82</v>
      </c>
      <c r="F64" s="66"/>
      <c r="G64" s="66"/>
      <c r="H64" s="151" t="s">
        <v>83</v>
      </c>
      <c r="I64" s="152"/>
      <c r="J64" s="152"/>
      <c r="K64" s="152"/>
      <c r="L64" s="152"/>
      <c r="M64" s="152"/>
      <c r="N64" s="152"/>
      <c r="O64" s="66"/>
      <c r="Q64" s="66"/>
      <c r="R64" s="66"/>
      <c r="S64" s="66"/>
      <c r="T64" s="66"/>
      <c r="U64" s="66"/>
      <c r="V64" s="66"/>
      <c r="W64" s="66"/>
      <c r="X64" s="66"/>
      <c r="Y64" s="66"/>
      <c r="Z64" s="66"/>
      <c r="AA64" s="66"/>
    </row>
    <row r="65" spans="2:27" ht="20" thickBot="1">
      <c r="B65" s="66"/>
      <c r="C65" s="109">
        <v>298.14999999999998</v>
      </c>
      <c r="D65" s="294">
        <f t="shared" ref="D65:D83" si="2">C65*$B$8/$B$16</f>
        <v>4.0625788058228471E-26</v>
      </c>
      <c r="E65" s="295">
        <f xml:space="preserve"> (2*PI()*$A$28*$U$9*$B$8*C65/($B$14^2))^(3/2)*D65</f>
        <v>112425.89879781206</v>
      </c>
      <c r="F65" s="140"/>
      <c r="G65" s="66"/>
      <c r="H65" s="66"/>
      <c r="I65" s="66"/>
      <c r="J65" s="66"/>
      <c r="K65" s="66"/>
      <c r="L65" s="66"/>
      <c r="M65" s="66"/>
      <c r="N65" s="66"/>
      <c r="O65" s="66"/>
      <c r="Q65" s="66"/>
      <c r="R65" s="66"/>
      <c r="S65" s="66"/>
      <c r="T65" s="66"/>
      <c r="U65" s="66"/>
      <c r="V65" s="66"/>
      <c r="W65" s="66"/>
      <c r="X65" s="66"/>
      <c r="Y65" s="66"/>
      <c r="Z65" s="66"/>
      <c r="AA65" s="66"/>
    </row>
    <row r="66" spans="2:27" ht="20" thickBot="1">
      <c r="B66" s="66"/>
      <c r="C66" s="153">
        <v>300</v>
      </c>
      <c r="D66" s="154">
        <f t="shared" si="2"/>
        <v>4.0877868245743891E-26</v>
      </c>
      <c r="E66" s="155">
        <f xml:space="preserve"> (2*PI()*$A$28*$U$9*$B$8*C66/($B$14^2))^(3/2)*D66</f>
        <v>114178.01036804235</v>
      </c>
      <c r="F66" s="66"/>
      <c r="G66" s="66"/>
      <c r="L66" s="149" t="s">
        <v>84</v>
      </c>
      <c r="M66" s="66"/>
      <c r="N66" s="66"/>
      <c r="O66" s="66"/>
      <c r="Q66" s="66"/>
      <c r="R66" s="66"/>
      <c r="S66" s="66"/>
      <c r="T66" s="66"/>
      <c r="U66" s="66"/>
      <c r="V66" s="66"/>
      <c r="W66" s="66"/>
      <c r="X66" s="66"/>
      <c r="Y66" s="66"/>
      <c r="Z66" s="66"/>
      <c r="AA66" s="66"/>
    </row>
    <row r="67" spans="2:27" ht="19">
      <c r="B67" s="66"/>
      <c r="C67" s="156">
        <f>C66+100</f>
        <v>400</v>
      </c>
      <c r="D67" s="157">
        <f t="shared" si="2"/>
        <v>5.4503824327658529E-26</v>
      </c>
      <c r="E67" s="158">
        <f t="shared" ref="E67:E83" si="3" xml:space="preserve"> (2*PI()*$A$28*$U$9*$B$8*C67/($B$14^2))^(3/2)*D67</f>
        <v>234384.72896542485</v>
      </c>
      <c r="F67" s="66"/>
      <c r="G67" s="66"/>
      <c r="K67" s="159" t="s">
        <v>85</v>
      </c>
      <c r="L67" s="160">
        <f>$E$65</f>
        <v>112425.89879781206</v>
      </c>
      <c r="M67" s="66"/>
      <c r="N67" s="66"/>
      <c r="O67" s="66"/>
      <c r="Q67" s="66"/>
      <c r="R67" s="66"/>
      <c r="S67" s="66"/>
      <c r="T67" s="66"/>
      <c r="U67" s="66"/>
      <c r="V67" s="66"/>
      <c r="W67" s="66"/>
      <c r="X67" s="66"/>
      <c r="Y67" s="66"/>
      <c r="Z67" s="66"/>
      <c r="AA67" s="66"/>
    </row>
    <row r="68" spans="2:27" ht="20" thickBot="1">
      <c r="B68" s="66"/>
      <c r="C68" s="156">
        <f t="shared" ref="C68:C83" si="4">C67+100</f>
        <v>500</v>
      </c>
      <c r="D68" s="157">
        <f t="shared" si="2"/>
        <v>6.812978040957315E-26</v>
      </c>
      <c r="E68" s="158">
        <f t="shared" si="3"/>
        <v>409453.27098012256</v>
      </c>
      <c r="F68" s="66"/>
      <c r="G68" s="66"/>
      <c r="K68" s="161" t="s">
        <v>86</v>
      </c>
      <c r="L68" s="162">
        <f>P33</f>
        <v>112481</v>
      </c>
      <c r="M68" s="66"/>
      <c r="N68" s="66"/>
      <c r="O68" s="66"/>
      <c r="Q68" s="66"/>
      <c r="R68" s="66"/>
      <c r="S68" s="66"/>
      <c r="T68" s="66"/>
      <c r="U68" s="66"/>
      <c r="V68" s="66"/>
      <c r="W68" s="66"/>
      <c r="X68" s="66"/>
      <c r="Y68" s="66"/>
      <c r="Z68" s="66"/>
      <c r="AA68" s="66"/>
    </row>
    <row r="69" spans="2:27" ht="22">
      <c r="B69" s="66"/>
      <c r="C69" s="156">
        <f t="shared" si="4"/>
        <v>600</v>
      </c>
      <c r="D69" s="157">
        <f t="shared" si="2"/>
        <v>8.1755736491487783E-26</v>
      </c>
      <c r="E69" s="158">
        <f t="shared" si="3"/>
        <v>645888.36314904713</v>
      </c>
      <c r="F69" s="66"/>
      <c r="G69" s="66"/>
      <c r="H69" s="66"/>
      <c r="I69" s="66"/>
      <c r="K69" s="163" t="s">
        <v>87</v>
      </c>
      <c r="L69" s="164">
        <f>ABS(L67-L68)/L67</f>
        <v>4.9011128909930146E-4</v>
      </c>
      <c r="M69" s="66"/>
      <c r="N69" s="66"/>
      <c r="O69" s="66"/>
      <c r="Q69" s="66"/>
      <c r="R69" s="66"/>
      <c r="S69" s="66"/>
      <c r="T69" s="66"/>
      <c r="U69" s="66"/>
      <c r="V69" s="66"/>
      <c r="W69" s="66"/>
      <c r="X69" s="66"/>
      <c r="Y69" s="66"/>
      <c r="Z69" s="66"/>
      <c r="AA69" s="66"/>
    </row>
    <row r="70" spans="2:27" ht="19">
      <c r="B70" s="66"/>
      <c r="C70" s="156">
        <f t="shared" si="4"/>
        <v>700</v>
      </c>
      <c r="D70" s="157">
        <f t="shared" si="2"/>
        <v>9.5381692573402415E-26</v>
      </c>
      <c r="E70" s="158">
        <f t="shared" si="3"/>
        <v>949564.42167925066</v>
      </c>
      <c r="F70" s="66"/>
      <c r="G70" s="66"/>
      <c r="Q70" s="66"/>
      <c r="R70" s="66"/>
      <c r="S70" s="66"/>
      <c r="T70" s="66"/>
      <c r="U70" s="66"/>
      <c r="V70" s="66"/>
      <c r="W70" s="66"/>
      <c r="X70" s="66"/>
      <c r="Y70" s="66"/>
      <c r="Z70" s="66"/>
      <c r="AA70" s="66"/>
    </row>
    <row r="71" spans="2:27" ht="19">
      <c r="B71" s="66"/>
      <c r="C71" s="156">
        <f t="shared" si="4"/>
        <v>800</v>
      </c>
      <c r="D71" s="157">
        <f t="shared" si="2"/>
        <v>1.0900764865531706E-25</v>
      </c>
      <c r="E71" s="158">
        <f t="shared" si="3"/>
        <v>1325880.2500641872</v>
      </c>
      <c r="F71" s="66"/>
      <c r="G71" s="66"/>
      <c r="Q71" s="66"/>
      <c r="R71" s="66"/>
      <c r="S71" s="66"/>
      <c r="T71" s="66"/>
      <c r="U71" s="66"/>
      <c r="V71" s="66"/>
      <c r="W71" s="66"/>
      <c r="X71" s="66"/>
      <c r="Y71" s="66"/>
      <c r="Z71" s="66"/>
      <c r="AA71" s="66"/>
    </row>
    <row r="72" spans="2:27" ht="19">
      <c r="B72" s="66"/>
      <c r="C72" s="156">
        <f t="shared" si="4"/>
        <v>900</v>
      </c>
      <c r="D72" s="157">
        <f t="shared" si="2"/>
        <v>1.2263360473723168E-25</v>
      </c>
      <c r="E72" s="158">
        <f t="shared" si="3"/>
        <v>1779859.0355811976</v>
      </c>
      <c r="F72" s="66"/>
      <c r="G72" s="66"/>
      <c r="Q72" s="66"/>
      <c r="R72" s="66"/>
      <c r="S72" s="66"/>
      <c r="T72" s="66"/>
      <c r="U72" s="66"/>
      <c r="V72" s="66"/>
      <c r="W72" s="66"/>
      <c r="X72" s="66"/>
      <c r="Y72" s="66"/>
      <c r="Z72" s="66"/>
      <c r="AA72" s="66"/>
    </row>
    <row r="73" spans="2:27" ht="19">
      <c r="C73" s="156">
        <f t="shared" si="4"/>
        <v>1000</v>
      </c>
      <c r="D73" s="157">
        <f t="shared" si="2"/>
        <v>1.362595608191463E-25</v>
      </c>
      <c r="E73" s="158">
        <f t="shared" si="3"/>
        <v>2316217.475912435</v>
      </c>
    </row>
    <row r="74" spans="2:27" ht="19">
      <c r="C74" s="156">
        <f t="shared" si="4"/>
        <v>1100</v>
      </c>
      <c r="D74" s="157">
        <f t="shared" si="2"/>
        <v>1.4988551690106094E-25</v>
      </c>
      <c r="E74" s="158">
        <f t="shared" si="3"/>
        <v>2939415.9534582081</v>
      </c>
    </row>
    <row r="75" spans="2:27" ht="19">
      <c r="C75" s="156">
        <f t="shared" si="4"/>
        <v>1200</v>
      </c>
      <c r="D75" s="157">
        <f t="shared" si="2"/>
        <v>1.6351147298297557E-25</v>
      </c>
      <c r="E75" s="158">
        <f t="shared" si="3"/>
        <v>3653696.3317773752</v>
      </c>
    </row>
    <row r="76" spans="2:27" ht="19">
      <c r="C76" s="156">
        <f t="shared" si="4"/>
        <v>1300</v>
      </c>
      <c r="D76" s="157">
        <f t="shared" si="2"/>
        <v>1.7713742906489019E-25</v>
      </c>
      <c r="E76" s="158">
        <f t="shared" si="3"/>
        <v>4463111.27442268</v>
      </c>
    </row>
    <row r="77" spans="2:27" ht="19">
      <c r="C77" s="156">
        <f t="shared" si="4"/>
        <v>1400</v>
      </c>
      <c r="D77" s="157">
        <f t="shared" si="2"/>
        <v>1.9076338514680483E-25</v>
      </c>
      <c r="E77" s="158">
        <f t="shared" si="3"/>
        <v>5371547.5339429826</v>
      </c>
    </row>
    <row r="78" spans="2:27" ht="19">
      <c r="C78" s="156">
        <f t="shared" si="4"/>
        <v>1500</v>
      </c>
      <c r="D78" s="157">
        <f t="shared" si="2"/>
        <v>2.043893412287195E-25</v>
      </c>
      <c r="E78" s="158">
        <f t="shared" si="3"/>
        <v>6382744.8179655354</v>
      </c>
    </row>
    <row r="79" spans="2:27" ht="19">
      <c r="C79" s="156">
        <f t="shared" si="4"/>
        <v>1600</v>
      </c>
      <c r="D79" s="157">
        <f t="shared" si="2"/>
        <v>2.1801529731063412E-25</v>
      </c>
      <c r="E79" s="158">
        <f t="shared" si="3"/>
        <v>7500311.326893637</v>
      </c>
    </row>
    <row r="80" spans="2:27" ht="19">
      <c r="C80" s="156">
        <f t="shared" si="4"/>
        <v>1700</v>
      </c>
      <c r="D80" s="157">
        <f t="shared" si="2"/>
        <v>2.3164125339254876E-25</v>
      </c>
      <c r="E80" s="158">
        <f t="shared" si="3"/>
        <v>8727736.7320857942</v>
      </c>
    </row>
    <row r="81" spans="3:26" ht="19">
      <c r="C81" s="156">
        <f t="shared" si="4"/>
        <v>1800</v>
      </c>
      <c r="D81" s="157">
        <f t="shared" si="2"/>
        <v>2.4526720947446336E-25</v>
      </c>
      <c r="E81" s="158">
        <f t="shared" si="3"/>
        <v>10068403.148924792</v>
      </c>
    </row>
    <row r="82" spans="3:26" ht="19">
      <c r="C82" s="156">
        <f t="shared" si="4"/>
        <v>1900</v>
      </c>
      <c r="D82" s="157">
        <f t="shared" si="2"/>
        <v>2.58893165556378E-25</v>
      </c>
      <c r="E82" s="158">
        <f t="shared" si="3"/>
        <v>11525594.513639903</v>
      </c>
    </row>
    <row r="83" spans="3:26" ht="20" thickBot="1">
      <c r="C83" s="165">
        <f t="shared" si="4"/>
        <v>2000</v>
      </c>
      <c r="D83" s="166">
        <f t="shared" si="2"/>
        <v>2.725191216382926E-25</v>
      </c>
      <c r="E83" s="167">
        <f t="shared" si="3"/>
        <v>13102504.671363808</v>
      </c>
    </row>
    <row r="92" spans="3:26" ht="22" customHeight="1">
      <c r="F92" s="66" t="s">
        <v>78</v>
      </c>
      <c r="Y92" s="66" t="s">
        <v>78</v>
      </c>
    </row>
    <row r="93" spans="3:26" ht="27">
      <c r="C93" s="147" t="s">
        <v>88</v>
      </c>
      <c r="D93" s="168"/>
      <c r="E93" s="66"/>
      <c r="F93" s="66"/>
      <c r="G93" s="66"/>
      <c r="U93" s="475" t="s">
        <v>89</v>
      </c>
      <c r="V93" s="475"/>
      <c r="W93" s="475"/>
      <c r="X93" s="66"/>
      <c r="Y93" s="66"/>
      <c r="Z93" s="66"/>
    </row>
    <row r="94" spans="3:26" ht="19">
      <c r="E94" s="66"/>
      <c r="G94" s="66"/>
      <c r="X94" s="66"/>
      <c r="Z94" s="66"/>
    </row>
    <row r="95" spans="3:26" ht="20" thickBot="1">
      <c r="E95" s="66"/>
      <c r="F95" s="66"/>
      <c r="G95" s="66"/>
    </row>
    <row r="96" spans="3:26" ht="20" thickBot="1">
      <c r="C96" s="169" t="s">
        <v>90</v>
      </c>
      <c r="E96" s="66"/>
      <c r="F96" s="66"/>
      <c r="G96" s="66"/>
    </row>
    <row r="97" spans="3:34" ht="22" thickBot="1">
      <c r="C97" s="170" t="s">
        <v>91</v>
      </c>
      <c r="D97" s="289" cm="1">
        <f t="array" ref="D97">INDEX($E:$E,(COLUMN(D97)-4)*1+42)</f>
        <v>4466.4384</v>
      </c>
      <c r="E97" s="66"/>
      <c r="F97" s="66"/>
      <c r="G97" s="66"/>
      <c r="H97" s="66"/>
      <c r="I97" s="66"/>
      <c r="J97" s="66"/>
      <c r="K97" s="66"/>
      <c r="L97" s="66"/>
      <c r="M97" s="174" t="s">
        <v>93</v>
      </c>
      <c r="N97" s="175">
        <f>SUM(($B$14*$D$98)/2)*$H$13</f>
        <v>6.3880928765857607</v>
      </c>
    </row>
    <row r="98" spans="3:34" ht="20" thickBot="1">
      <c r="C98" s="172" t="s">
        <v>92</v>
      </c>
      <c r="D98" s="276">
        <f>D97*$L$9</f>
        <v>133900696725120</v>
      </c>
      <c r="E98" s="140"/>
      <c r="F98" s="140"/>
      <c r="G98" s="140"/>
      <c r="H98" s="140"/>
      <c r="I98" s="140"/>
      <c r="J98" s="140"/>
      <c r="K98" s="140"/>
      <c r="L98" s="140"/>
    </row>
    <row r="99" spans="3:34" ht="17" thickBot="1"/>
    <row r="100" spans="3:34" ht="30" customHeight="1" thickBot="1">
      <c r="C100" s="481" t="s">
        <v>94</v>
      </c>
      <c r="D100" s="482"/>
      <c r="E100" s="296" t="s">
        <v>95</v>
      </c>
      <c r="F100" s="297"/>
      <c r="G100" s="297"/>
      <c r="H100" s="297"/>
      <c r="I100" s="297"/>
    </row>
    <row r="101" spans="3:34" ht="38" customHeight="1" thickBot="1">
      <c r="C101" s="177" t="s">
        <v>96</v>
      </c>
      <c r="D101" s="178">
        <v>1</v>
      </c>
      <c r="E101" s="298"/>
      <c r="F101" s="180"/>
      <c r="G101" s="180"/>
      <c r="H101" s="180"/>
      <c r="I101" s="180"/>
      <c r="L101" s="151" t="s">
        <v>83</v>
      </c>
      <c r="M101" s="152"/>
      <c r="N101" s="152"/>
      <c r="O101" s="152"/>
      <c r="P101" s="152"/>
      <c r="Q101" s="66"/>
      <c r="U101" s="181" t="s">
        <v>80</v>
      </c>
      <c r="V101" s="182" t="s">
        <v>97</v>
      </c>
      <c r="W101" s="183" t="s">
        <v>98</v>
      </c>
      <c r="X101" s="183" t="s">
        <v>99</v>
      </c>
      <c r="Y101" s="184" t="s">
        <v>100</v>
      </c>
      <c r="Z101" s="185" t="s">
        <v>101</v>
      </c>
      <c r="AB101" s="476" t="s">
        <v>83</v>
      </c>
      <c r="AC101" s="476"/>
      <c r="AD101" s="476"/>
      <c r="AE101" s="476"/>
      <c r="AF101" s="476"/>
      <c r="AG101" s="476"/>
      <c r="AH101" s="476"/>
    </row>
    <row r="102" spans="3:34" ht="20" thickBot="1">
      <c r="C102" s="174">
        <v>298.14999999999998</v>
      </c>
      <c r="D102" s="299">
        <f>1/(1-EXP(-($B$14*D$98)/($B$8*$C102)))</f>
        <v>1.0000000004358929</v>
      </c>
      <c r="E102" s="300">
        <f xml:space="preserve"> PRODUCT(D102)</f>
        <v>1.0000000004358929</v>
      </c>
      <c r="F102" s="188"/>
      <c r="G102" s="188"/>
      <c r="H102" s="188"/>
      <c r="I102" s="188"/>
      <c r="U102" s="174">
        <v>298.14999999999998</v>
      </c>
      <c r="V102" s="189">
        <f>$E65</f>
        <v>112425.89879781206</v>
      </c>
      <c r="W102" s="190">
        <f>PRODUCT(EXP(-($B$14*$D$98)/(2*$B$8*$U102))/(1-EXP(-($B$14*$D$98)/($B$8*$U102))))</f>
        <v>2.0878047762589872E-5</v>
      </c>
      <c r="X102" s="191">
        <f>$D137</f>
        <v>1.7078764026772475</v>
      </c>
      <c r="Y102" s="192">
        <f>$D175</f>
        <v>1</v>
      </c>
      <c r="Z102" s="193">
        <f>PRODUCT(V102:Y102)</f>
        <v>4.0087843387787254</v>
      </c>
    </row>
    <row r="103" spans="3:34" ht="22" thickBot="1">
      <c r="C103" s="194">
        <v>300</v>
      </c>
      <c r="D103" s="301">
        <f>1/(1-EXP(-($B$14*D$98)/($B$8*$C103)))</f>
        <v>1.000000000497856</v>
      </c>
      <c r="E103" s="302">
        <f xml:space="preserve"> PRODUCT(D103)</f>
        <v>1.000000000497856</v>
      </c>
      <c r="F103" s="188"/>
      <c r="G103" s="188"/>
      <c r="H103" s="188"/>
      <c r="I103" s="188"/>
      <c r="N103" s="149" t="s">
        <v>102</v>
      </c>
      <c r="O103" s="181" t="s">
        <v>103</v>
      </c>
      <c r="P103" s="196" t="s">
        <v>104</v>
      </c>
      <c r="U103" s="194">
        <v>300</v>
      </c>
      <c r="V103" s="197">
        <f t="shared" ref="V103:V120" si="5">$E66</f>
        <v>114178.01036804235</v>
      </c>
      <c r="W103" s="66">
        <f t="shared" ref="W103:W120" si="6">PRODUCT(EXP(-($B$14*$D$98)/(2*$B$8*$U103))/(1-EXP(-($B$14*$D$98)/($B$8*$U103))))</f>
        <v>2.2312683194729433E-5</v>
      </c>
      <c r="X103" s="140">
        <f>$D138</f>
        <v>1.7184736568947652</v>
      </c>
      <c r="Y103" s="198">
        <f t="shared" ref="Y103:Y120" si="7">$D176</f>
        <v>1</v>
      </c>
      <c r="Z103" s="303">
        <f t="shared" ref="Z103:Z120" si="8">PRODUCT(V103:Y103)</f>
        <v>4.3780140309894415</v>
      </c>
    </row>
    <row r="104" spans="3:34" ht="20" thickBot="1">
      <c r="C104" s="199">
        <f>C103+100</f>
        <v>400</v>
      </c>
      <c r="D104" s="301">
        <f t="shared" ref="D104:D120" si="9">1/(1-EXP(-($B$14*D$98)/($B$8*$C104)))</f>
        <v>1.0000001053968774</v>
      </c>
      <c r="E104" s="302">
        <f xml:space="preserve"> PRODUCT(D104)</f>
        <v>1.0000001053968774</v>
      </c>
      <c r="F104" s="188"/>
      <c r="G104" s="188"/>
      <c r="H104" s="188"/>
      <c r="I104" s="188"/>
      <c r="M104" s="159" t="s">
        <v>85</v>
      </c>
      <c r="N104" s="160">
        <f>E102</f>
        <v>1.0000000004358929</v>
      </c>
      <c r="O104" s="201">
        <f>E124</f>
        <v>2.0878047762589872E-5</v>
      </c>
      <c r="P104" s="201">
        <f>N97</f>
        <v>6.3880928765857607</v>
      </c>
      <c r="U104" s="199">
        <f>U103+100</f>
        <v>400</v>
      </c>
      <c r="V104" s="197">
        <f t="shared" si="5"/>
        <v>234384.72896542485</v>
      </c>
      <c r="W104" s="66">
        <f t="shared" si="6"/>
        <v>3.2464886956927176E-4</v>
      </c>
      <c r="X104" s="140">
        <f t="shared" ref="X104:X119" si="10">$D139</f>
        <v>2.2912982091930205</v>
      </c>
      <c r="Y104" s="198">
        <f t="shared" si="7"/>
        <v>1</v>
      </c>
      <c r="Z104" s="303">
        <f t="shared" si="8"/>
        <v>174.35115271478776</v>
      </c>
    </row>
    <row r="105" spans="3:34" ht="23" thickBot="1">
      <c r="C105" s="199">
        <f t="shared" ref="C105:C120" si="11">C104+100</f>
        <v>500</v>
      </c>
      <c r="D105" s="301">
        <f t="shared" si="9"/>
        <v>1.0000026197707961</v>
      </c>
      <c r="E105" s="302">
        <f t="shared" ref="E105:E120" si="12" xml:space="preserve"> PRODUCT(D105)</f>
        <v>1.0000026197707961</v>
      </c>
      <c r="F105" s="188"/>
      <c r="G105" s="188"/>
      <c r="H105" s="188"/>
      <c r="I105" s="188"/>
      <c r="M105" s="161" t="s">
        <v>86</v>
      </c>
      <c r="N105" s="162">
        <f>P38</f>
        <v>1</v>
      </c>
      <c r="O105" s="304">
        <f>P37</f>
        <v>2.08785E-5</v>
      </c>
      <c r="P105" s="304">
        <f>D38</f>
        <v>6.3850899999999999</v>
      </c>
      <c r="U105" s="199">
        <f t="shared" ref="U105:U120" si="13">U104+100</f>
        <v>500</v>
      </c>
      <c r="V105" s="197">
        <f t="shared" si="5"/>
        <v>409453.27098012256</v>
      </c>
      <c r="W105" s="66">
        <f t="shared" si="6"/>
        <v>1.6185727228401538E-3</v>
      </c>
      <c r="X105" s="140">
        <f t="shared" si="10"/>
        <v>2.8641227614912754</v>
      </c>
      <c r="Y105" s="198">
        <f t="shared" si="7"/>
        <v>1</v>
      </c>
      <c r="Z105" s="303">
        <f t="shared" si="8"/>
        <v>1898.13977895531</v>
      </c>
      <c r="AE105" s="149" t="s">
        <v>105</v>
      </c>
      <c r="AF105" s="203" t="s">
        <v>106</v>
      </c>
    </row>
    <row r="106" spans="3:34" ht="23" thickBot="1">
      <c r="C106" s="199">
        <f t="shared" si="11"/>
        <v>600</v>
      </c>
      <c r="D106" s="301">
        <f t="shared" si="9"/>
        <v>1.0000223131810506</v>
      </c>
      <c r="E106" s="302">
        <f t="shared" si="12"/>
        <v>1.0000223131810506</v>
      </c>
      <c r="F106" s="188"/>
      <c r="G106" s="188"/>
      <c r="H106" s="188"/>
      <c r="I106" s="188"/>
      <c r="M106" s="163" t="s">
        <v>87</v>
      </c>
      <c r="N106" s="164">
        <f>ABS(N104-N105)/N104</f>
        <v>4.3589287715846232E-10</v>
      </c>
      <c r="O106" s="164">
        <f t="shared" ref="O106:P106" si="14">ABS(O104-O105)/O104</f>
        <v>2.1660905045838924E-5</v>
      </c>
      <c r="P106" s="164">
        <f t="shared" si="14"/>
        <v>4.7007403363956126E-4</v>
      </c>
      <c r="U106" s="199">
        <f t="shared" si="13"/>
        <v>600</v>
      </c>
      <c r="V106" s="197">
        <f t="shared" si="5"/>
        <v>645888.36314904713</v>
      </c>
      <c r="W106" s="66">
        <f t="shared" si="6"/>
        <v>4.723735696311673E-3</v>
      </c>
      <c r="X106" s="140">
        <f t="shared" si="10"/>
        <v>3.4369473137895303</v>
      </c>
      <c r="Y106" s="198">
        <f t="shared" si="7"/>
        <v>1</v>
      </c>
      <c r="Z106" s="303">
        <f t="shared" si="8"/>
        <v>10486.146590237382</v>
      </c>
      <c r="AD106" s="159" t="s">
        <v>85</v>
      </c>
      <c r="AE106" s="204">
        <f>Z102</f>
        <v>4.0087843387787254</v>
      </c>
      <c r="AF106" s="205">
        <f>V103*X103*Y103*E103</f>
        <v>196211.9031118234</v>
      </c>
    </row>
    <row r="107" spans="3:34" ht="20" thickBot="1">
      <c r="C107" s="199">
        <f t="shared" si="11"/>
        <v>700</v>
      </c>
      <c r="D107" s="301">
        <f t="shared" si="9"/>
        <v>1.0001030597667218</v>
      </c>
      <c r="E107" s="302">
        <f t="shared" si="12"/>
        <v>1.0001030597667218</v>
      </c>
      <c r="F107" s="188"/>
      <c r="G107" s="188"/>
      <c r="H107" s="188"/>
      <c r="I107" s="188"/>
      <c r="U107" s="199">
        <f t="shared" si="13"/>
        <v>700</v>
      </c>
      <c r="V107" s="197">
        <f t="shared" si="5"/>
        <v>949564.42167925066</v>
      </c>
      <c r="W107" s="66">
        <f t="shared" si="6"/>
        <v>1.0152358742546573E-2</v>
      </c>
      <c r="X107" s="140">
        <f t="shared" si="10"/>
        <v>4.0097718660877852</v>
      </c>
      <c r="Y107" s="198">
        <f t="shared" si="7"/>
        <v>1</v>
      </c>
      <c r="Z107" s="303">
        <f t="shared" si="8"/>
        <v>38655.478535156093</v>
      </c>
      <c r="AD107" s="161" t="s">
        <v>86</v>
      </c>
      <c r="AE107" s="206">
        <f>$P35</f>
        <v>4.0125400000000004</v>
      </c>
      <c r="AF107" s="197"/>
    </row>
    <row r="108" spans="3:34" ht="22">
      <c r="C108" s="199">
        <f t="shared" si="11"/>
        <v>800</v>
      </c>
      <c r="D108" s="301">
        <f t="shared" si="9"/>
        <v>1.0003247542664466</v>
      </c>
      <c r="E108" s="302">
        <f t="shared" si="12"/>
        <v>1.0003247542664466</v>
      </c>
      <c r="F108" s="188"/>
      <c r="G108" s="188"/>
      <c r="H108" s="188"/>
      <c r="I108" s="188"/>
      <c r="U108" s="199">
        <f t="shared" si="13"/>
        <v>800</v>
      </c>
      <c r="V108" s="197">
        <f t="shared" si="5"/>
        <v>1325880.2500641872</v>
      </c>
      <c r="W108" s="66">
        <f t="shared" si="6"/>
        <v>1.802386561701599E-2</v>
      </c>
      <c r="X108" s="140">
        <f t="shared" si="10"/>
        <v>4.582596418386041</v>
      </c>
      <c r="Y108" s="198">
        <f t="shared" si="7"/>
        <v>1</v>
      </c>
      <c r="Z108" s="303">
        <f t="shared" si="8"/>
        <v>109512.54040326814</v>
      </c>
      <c r="AD108" s="163" t="s">
        <v>87</v>
      </c>
      <c r="AE108" s="164">
        <f>ABS(AE106-AE107)/AE106</f>
        <v>9.3685788605409992E-4</v>
      </c>
      <c r="AF108" s="207"/>
    </row>
    <row r="109" spans="3:34" ht="19">
      <c r="C109" s="199">
        <f t="shared" si="11"/>
        <v>900</v>
      </c>
      <c r="D109" s="301">
        <f t="shared" si="9"/>
        <v>1.0007931930047049</v>
      </c>
      <c r="E109" s="302">
        <f t="shared" si="12"/>
        <v>1.0007931930047049</v>
      </c>
      <c r="F109" s="188"/>
      <c r="G109" s="188"/>
      <c r="H109" s="188"/>
      <c r="I109" s="188"/>
      <c r="U109" s="199">
        <f t="shared" si="13"/>
        <v>900</v>
      </c>
      <c r="V109" s="197">
        <f t="shared" si="5"/>
        <v>1779859.0355811976</v>
      </c>
      <c r="W109" s="66">
        <f t="shared" si="6"/>
        <v>2.8174849775067505E-2</v>
      </c>
      <c r="X109" s="140">
        <f t="shared" si="10"/>
        <v>5.1554209706842959</v>
      </c>
      <c r="Y109" s="198">
        <f t="shared" si="7"/>
        <v>1</v>
      </c>
      <c r="Z109" s="303">
        <f t="shared" si="8"/>
        <v>258530.24071522686</v>
      </c>
    </row>
    <row r="110" spans="3:34" ht="19">
      <c r="C110" s="199">
        <f t="shared" si="11"/>
        <v>1000</v>
      </c>
      <c r="D110" s="301">
        <f t="shared" si="9"/>
        <v>1.001621192493636</v>
      </c>
      <c r="E110" s="302">
        <f t="shared" si="12"/>
        <v>1.001621192493636</v>
      </c>
      <c r="F110" s="188"/>
      <c r="G110" s="188"/>
      <c r="H110" s="188"/>
      <c r="I110" s="188"/>
      <c r="U110" s="199">
        <f t="shared" si="13"/>
        <v>1000</v>
      </c>
      <c r="V110" s="197">
        <f t="shared" si="5"/>
        <v>2316217.475912435</v>
      </c>
      <c r="W110" s="66">
        <f t="shared" si="6"/>
        <v>4.0296659399229343E-2</v>
      </c>
      <c r="X110" s="140">
        <f t="shared" si="10"/>
        <v>5.7282455229825509</v>
      </c>
      <c r="Y110" s="198">
        <f t="shared" si="7"/>
        <v>1</v>
      </c>
      <c r="Z110" s="303">
        <f t="shared" si="8"/>
        <v>534650.53155065491</v>
      </c>
    </row>
    <row r="111" spans="3:34" ht="19">
      <c r="C111" s="199">
        <f t="shared" si="11"/>
        <v>1100</v>
      </c>
      <c r="D111" s="301">
        <f t="shared" si="9"/>
        <v>1.0029114479107326</v>
      </c>
      <c r="E111" s="302">
        <f t="shared" si="12"/>
        <v>1.0029114479107326</v>
      </c>
      <c r="F111" s="188"/>
      <c r="G111" s="188"/>
      <c r="H111" s="188"/>
      <c r="I111" s="188"/>
      <c r="U111" s="199">
        <f t="shared" si="13"/>
        <v>1100</v>
      </c>
      <c r="V111" s="197">
        <f t="shared" si="5"/>
        <v>2939415.9534582081</v>
      </c>
      <c r="W111" s="66">
        <f t="shared" si="6"/>
        <v>5.4036325186577173E-2</v>
      </c>
      <c r="X111" s="140">
        <f t="shared" si="10"/>
        <v>6.3010700752808058</v>
      </c>
      <c r="Y111" s="198">
        <f t="shared" si="7"/>
        <v>1</v>
      </c>
      <c r="Z111" s="303">
        <f t="shared" si="8"/>
        <v>1000831.954474094</v>
      </c>
    </row>
    <row r="112" spans="3:34" ht="19">
      <c r="C112" s="199">
        <f t="shared" si="11"/>
        <v>1200</v>
      </c>
      <c r="D112" s="301">
        <f t="shared" si="9"/>
        <v>1.0047460488773623</v>
      </c>
      <c r="E112" s="302">
        <f t="shared" si="12"/>
        <v>1.0047460488773623</v>
      </c>
      <c r="F112" s="188"/>
      <c r="G112" s="188"/>
      <c r="H112" s="188"/>
      <c r="I112" s="188"/>
      <c r="U112" s="199">
        <f t="shared" si="13"/>
        <v>1200</v>
      </c>
      <c r="V112" s="197">
        <f t="shared" si="5"/>
        <v>3653696.3317773752</v>
      </c>
      <c r="W112" s="66">
        <f t="shared" si="6"/>
        <v>6.9054861214171911E-2</v>
      </c>
      <c r="X112" s="140">
        <f t="shared" si="10"/>
        <v>6.8738946275790607</v>
      </c>
      <c r="Y112" s="198">
        <f t="shared" si="7"/>
        <v>1</v>
      </c>
      <c r="Z112" s="303">
        <f t="shared" si="8"/>
        <v>1734321.3735948729</v>
      </c>
    </row>
    <row r="113" spans="2:26" ht="19">
      <c r="C113" s="199">
        <f t="shared" si="11"/>
        <v>1300</v>
      </c>
      <c r="D113" s="301">
        <f t="shared" si="9"/>
        <v>1.0071826714022107</v>
      </c>
      <c r="E113" s="302">
        <f t="shared" si="12"/>
        <v>1.0071826714022107</v>
      </c>
      <c r="F113" s="188"/>
      <c r="G113" s="188"/>
      <c r="H113" s="188"/>
      <c r="I113" s="188"/>
      <c r="U113" s="199">
        <f t="shared" si="13"/>
        <v>1300</v>
      </c>
      <c r="V113" s="197">
        <f t="shared" si="5"/>
        <v>4463111.27442268</v>
      </c>
      <c r="W113" s="66">
        <f t="shared" si="6"/>
        <v>8.5054465906752003E-2</v>
      </c>
      <c r="X113" s="140">
        <f t="shared" si="10"/>
        <v>7.4467191798773165</v>
      </c>
      <c r="Y113" s="198">
        <f t="shared" si="7"/>
        <v>1</v>
      </c>
      <c r="Z113" s="303">
        <f t="shared" si="8"/>
        <v>2826830.7916020132</v>
      </c>
    </row>
    <row r="114" spans="2:26" ht="19">
      <c r="C114" s="199">
        <f t="shared" si="11"/>
        <v>1400</v>
      </c>
      <c r="D114" s="301">
        <f t="shared" si="9"/>
        <v>1.0102554185092685</v>
      </c>
      <c r="E114" s="302">
        <f t="shared" si="12"/>
        <v>1.0102554185092685</v>
      </c>
      <c r="F114" s="188"/>
      <c r="G114" s="188"/>
      <c r="H114" s="188"/>
      <c r="I114" s="188"/>
      <c r="U114" s="199">
        <f t="shared" si="13"/>
        <v>1400</v>
      </c>
      <c r="V114" s="197">
        <f t="shared" si="5"/>
        <v>5371547.5339429826</v>
      </c>
      <c r="W114" s="66">
        <f t="shared" si="6"/>
        <v>0.10178699385515157</v>
      </c>
      <c r="X114" s="140">
        <f t="shared" si="10"/>
        <v>8.0195437321755705</v>
      </c>
      <c r="Y114" s="198">
        <f t="shared" si="7"/>
        <v>1</v>
      </c>
      <c r="Z114" s="303">
        <f t="shared" si="8"/>
        <v>4384715.0140473042</v>
      </c>
    </row>
    <row r="115" spans="2:26" ht="19">
      <c r="C115" s="199">
        <f t="shared" si="11"/>
        <v>1500</v>
      </c>
      <c r="D115" s="301">
        <f t="shared" si="9"/>
        <v>1.013978137584411</v>
      </c>
      <c r="E115" s="302">
        <f t="shared" si="12"/>
        <v>1.013978137584411</v>
      </c>
      <c r="F115" s="188"/>
      <c r="G115" s="188"/>
      <c r="H115" s="188"/>
      <c r="I115" s="188"/>
      <c r="U115" s="199">
        <f t="shared" si="13"/>
        <v>1500</v>
      </c>
      <c r="V115" s="197">
        <f t="shared" si="5"/>
        <v>6382744.8179655354</v>
      </c>
      <c r="W115" s="66">
        <f t="shared" si="6"/>
        <v>0.1190526182607495</v>
      </c>
      <c r="X115" s="140">
        <f t="shared" si="10"/>
        <v>8.5923682844738263</v>
      </c>
      <c r="Y115" s="198">
        <f t="shared" si="7"/>
        <v>1</v>
      </c>
      <c r="Z115" s="303">
        <f t="shared" si="8"/>
        <v>6529190.1405756408</v>
      </c>
    </row>
    <row r="116" spans="2:26" ht="19">
      <c r="C116" s="199">
        <f t="shared" si="11"/>
        <v>1600</v>
      </c>
      <c r="D116" s="301">
        <f t="shared" si="9"/>
        <v>1.0183486198834626</v>
      </c>
      <c r="E116" s="302">
        <f t="shared" si="12"/>
        <v>1.0183486198834626</v>
      </c>
      <c r="F116" s="188"/>
      <c r="G116" s="188"/>
      <c r="H116" s="188"/>
      <c r="I116" s="188"/>
      <c r="U116" s="199">
        <f t="shared" si="13"/>
        <v>1600</v>
      </c>
      <c r="V116" s="197">
        <f t="shared" si="5"/>
        <v>7500311.326893637</v>
      </c>
      <c r="W116" s="66">
        <f t="shared" si="6"/>
        <v>0.1366941539901779</v>
      </c>
      <c r="X116" s="140">
        <f t="shared" si="10"/>
        <v>9.1651928367720821</v>
      </c>
      <c r="Y116" s="198">
        <f t="shared" si="7"/>
        <v>1</v>
      </c>
      <c r="Z116" s="303">
        <f t="shared" si="8"/>
        <v>9396602.1464824658</v>
      </c>
    </row>
    <row r="117" spans="2:26" ht="19">
      <c r="C117" s="199">
        <f t="shared" si="11"/>
        <v>1700</v>
      </c>
      <c r="D117" s="301">
        <f t="shared" si="9"/>
        <v>1.0233527351716376</v>
      </c>
      <c r="E117" s="302">
        <f t="shared" si="12"/>
        <v>1.0233527351716376</v>
      </c>
      <c r="F117" s="188"/>
      <c r="G117" s="188"/>
      <c r="H117" s="188"/>
      <c r="I117" s="188"/>
      <c r="U117" s="199">
        <f t="shared" si="13"/>
        <v>1700</v>
      </c>
      <c r="V117" s="197">
        <f t="shared" si="5"/>
        <v>8727736.7320857942</v>
      </c>
      <c r="W117" s="66">
        <f t="shared" si="6"/>
        <v>0.15459005599207945</v>
      </c>
      <c r="X117" s="140">
        <f t="shared" si="10"/>
        <v>9.7380173890703361</v>
      </c>
      <c r="Y117" s="198">
        <f t="shared" si="7"/>
        <v>1</v>
      </c>
      <c r="Z117" s="303">
        <f t="shared" si="8"/>
        <v>13138740.579431489</v>
      </c>
    </row>
    <row r="118" spans="2:26" ht="19">
      <c r="C118" s="199">
        <f t="shared" si="11"/>
        <v>1800</v>
      </c>
      <c r="D118" s="301">
        <f t="shared" si="9"/>
        <v>1.0289680427797723</v>
      </c>
      <c r="E118" s="302">
        <f t="shared" si="12"/>
        <v>1.0289680427797723</v>
      </c>
      <c r="F118" s="188"/>
      <c r="G118" s="188"/>
      <c r="H118" s="188"/>
      <c r="I118" s="188"/>
      <c r="U118" s="199">
        <f t="shared" si="13"/>
        <v>1800</v>
      </c>
      <c r="V118" s="197">
        <f t="shared" si="5"/>
        <v>10068403.148924792</v>
      </c>
      <c r="W118" s="66">
        <f t="shared" si="6"/>
        <v>0.17264758985361808</v>
      </c>
      <c r="X118" s="140">
        <f t="shared" si="10"/>
        <v>10.310841941368592</v>
      </c>
      <c r="Y118" s="198">
        <f t="shared" si="7"/>
        <v>1</v>
      </c>
      <c r="Z118" s="303">
        <f t="shared" si="8"/>
        <v>17923187.424443047</v>
      </c>
    </row>
    <row r="119" spans="2:26" ht="19">
      <c r="C119" s="199">
        <f t="shared" si="11"/>
        <v>1900</v>
      </c>
      <c r="D119" s="301">
        <f t="shared" si="9"/>
        <v>1.0351667248954137</v>
      </c>
      <c r="E119" s="302">
        <f t="shared" si="12"/>
        <v>1.0351667248954137</v>
      </c>
      <c r="F119" s="188"/>
      <c r="G119" s="188"/>
      <c r="H119" s="188"/>
      <c r="I119" s="188"/>
      <c r="U119" s="199">
        <f t="shared" si="13"/>
        <v>1900</v>
      </c>
      <c r="V119" s="197">
        <f t="shared" si="5"/>
        <v>11525594.513639903</v>
      </c>
      <c r="W119" s="66">
        <f t="shared" si="6"/>
        <v>0.19079681191069045</v>
      </c>
      <c r="X119" s="140">
        <f t="shared" si="10"/>
        <v>10.883666493666846</v>
      </c>
      <c r="Y119" s="198">
        <f t="shared" si="7"/>
        <v>1</v>
      </c>
      <c r="Z119" s="303">
        <f t="shared" si="8"/>
        <v>23933690.762483649</v>
      </c>
    </row>
    <row r="120" spans="2:26" ht="20" thickBot="1">
      <c r="C120" s="208">
        <f t="shared" si="11"/>
        <v>2000</v>
      </c>
      <c r="D120" s="301">
        <f t="shared" si="9"/>
        <v>1.0419178518928653</v>
      </c>
      <c r="E120" s="305">
        <f t="shared" si="12"/>
        <v>1.0419178518928653</v>
      </c>
      <c r="F120" s="188"/>
      <c r="G120" s="188"/>
      <c r="H120" s="188"/>
      <c r="I120" s="188"/>
      <c r="U120" s="208">
        <f t="shared" si="13"/>
        <v>2000</v>
      </c>
      <c r="V120" s="211">
        <f t="shared" si="5"/>
        <v>13102504.671363808</v>
      </c>
      <c r="W120" s="212">
        <f t="shared" si="6"/>
        <v>0.20898554543359601</v>
      </c>
      <c r="X120" s="213">
        <f>$D155</f>
        <v>11.456491045965102</v>
      </c>
      <c r="Y120" s="214">
        <f t="shared" si="7"/>
        <v>1</v>
      </c>
      <c r="Z120" s="306">
        <f t="shared" si="8"/>
        <v>31370554.279895131</v>
      </c>
    </row>
    <row r="122" spans="2:26" ht="17" thickBot="1"/>
    <row r="123" spans="2:26" ht="32" thickBot="1">
      <c r="C123" s="215" t="s">
        <v>107</v>
      </c>
      <c r="D123" s="216">
        <v>1</v>
      </c>
      <c r="E123" s="176" t="s">
        <v>95</v>
      </c>
    </row>
    <row r="124" spans="2:26" ht="20" thickBot="1">
      <c r="C124" s="174">
        <v>298.14999999999998</v>
      </c>
      <c r="D124" s="218">
        <f>EXP(-($B$14*D$98)/(2*$B$8*$C124))/(1-EXP(-($B$14*D$98)/($B$8*$C124)))</f>
        <v>2.0878047762589872E-5</v>
      </c>
      <c r="E124" s="219">
        <f>D124</f>
        <v>2.0878047762589872E-5</v>
      </c>
    </row>
    <row r="127" spans="2:26" ht="19">
      <c r="B127" s="66"/>
      <c r="C127" s="66"/>
      <c r="D127" s="66"/>
      <c r="E127" s="66"/>
      <c r="F127" s="66" t="s">
        <v>78</v>
      </c>
      <c r="G127" s="66"/>
      <c r="H127" s="66"/>
      <c r="I127" s="66"/>
      <c r="J127" s="66"/>
      <c r="K127" s="66"/>
      <c r="L127" s="66"/>
      <c r="M127" s="66"/>
      <c r="N127" s="66"/>
      <c r="O127" s="66"/>
    </row>
    <row r="128" spans="2:26"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1">
      <c r="B130" s="66"/>
      <c r="C130" s="470" t="s">
        <v>140</v>
      </c>
      <c r="D130" s="472"/>
      <c r="E130" s="66"/>
      <c r="F130" s="66"/>
      <c r="G130" s="66"/>
      <c r="H130" s="66"/>
      <c r="I130" s="66"/>
      <c r="J130" s="66"/>
      <c r="K130" s="66"/>
      <c r="L130" s="66"/>
      <c r="M130" s="66"/>
      <c r="N130" s="66"/>
      <c r="O130" s="66"/>
    </row>
    <row r="131" spans="2:15" ht="20" thickBot="1">
      <c r="B131" s="66"/>
      <c r="C131" s="483">
        <f>(D132*D133)/(D132+D133)*(D134^2)</f>
        <v>4.6141325616772751E-48</v>
      </c>
      <c r="D131" s="484"/>
      <c r="E131" s="123"/>
      <c r="F131" s="123"/>
      <c r="G131" s="66"/>
      <c r="H131" s="66"/>
      <c r="I131" s="66"/>
      <c r="J131" s="66"/>
      <c r="K131" s="66"/>
      <c r="L131" s="66"/>
      <c r="M131" s="66"/>
      <c r="N131" s="66"/>
      <c r="O131" s="66"/>
    </row>
    <row r="132" spans="2:15" ht="22" thickBot="1">
      <c r="B132" s="66"/>
      <c r="C132" s="308" t="s">
        <v>141</v>
      </c>
      <c r="D132" s="309">
        <f>(A28/2)*$U$9</f>
        <v>1.6729894999999998E-27</v>
      </c>
      <c r="E132" s="140"/>
      <c r="F132" s="140"/>
      <c r="G132" s="66"/>
      <c r="H132" s="66"/>
      <c r="I132" s="66"/>
      <c r="J132" s="66"/>
      <c r="K132" s="66"/>
      <c r="L132" s="66"/>
      <c r="M132" s="66"/>
      <c r="N132" s="66"/>
      <c r="O132" s="66"/>
    </row>
    <row r="133" spans="2:15" ht="22" thickBot="1">
      <c r="B133" s="66"/>
      <c r="C133" s="172" t="s">
        <v>142</v>
      </c>
      <c r="D133" s="309">
        <f>(A28/2)*$U$9</f>
        <v>1.6729894999999998E-27</v>
      </c>
      <c r="E133" s="66"/>
      <c r="F133" s="66"/>
      <c r="G133" s="66"/>
      <c r="H133" s="66"/>
      <c r="I133" s="66"/>
      <c r="J133" s="66"/>
      <c r="K133" s="66"/>
      <c r="L133" s="66"/>
      <c r="M133" s="66"/>
      <c r="N133" s="66"/>
      <c r="O133" s="66"/>
    </row>
    <row r="134" spans="2:15" ht="22" thickBot="1">
      <c r="B134" s="66"/>
      <c r="C134" s="172" t="s">
        <v>143</v>
      </c>
      <c r="D134" s="309">
        <f xml:space="preserve"> 0.7427*10^-10</f>
        <v>7.4270000000000006E-11</v>
      </c>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144</v>
      </c>
      <c r="E136" s="222"/>
      <c r="F136" s="66"/>
      <c r="G136" s="66"/>
      <c r="H136" s="151" t="s">
        <v>83</v>
      </c>
      <c r="I136" s="152"/>
      <c r="J136" s="152"/>
      <c r="K136" s="152"/>
      <c r="L136" s="152"/>
      <c r="M136" s="152"/>
      <c r="N136" s="152"/>
      <c r="O136" s="66"/>
    </row>
    <row r="137" spans="2:15" ht="20" thickBot="1">
      <c r="B137" s="66"/>
      <c r="C137" s="153">
        <v>298.14999999999998</v>
      </c>
      <c r="D137" s="155">
        <f>(8*PI()^2*$B$8*C137*$C$131)/($H$139*$B$14^2)</f>
        <v>1.7078764026772475</v>
      </c>
      <c r="E137" s="140"/>
      <c r="F137" s="140"/>
      <c r="G137" s="66"/>
      <c r="H137" s="66"/>
      <c r="I137" s="66"/>
      <c r="J137" s="66"/>
      <c r="K137" s="66"/>
      <c r="L137" s="66"/>
      <c r="M137" s="66"/>
      <c r="N137" s="66"/>
      <c r="O137" s="66"/>
    </row>
    <row r="138" spans="2:15" ht="20" thickBot="1">
      <c r="B138" s="66"/>
      <c r="C138" s="153">
        <v>300</v>
      </c>
      <c r="D138" s="155">
        <f>(8*PI()^2*$B$8*C138*$C$131)/($H$139*$B$14^2)</f>
        <v>1.7184736568947652</v>
      </c>
      <c r="E138" s="140"/>
      <c r="F138" s="66"/>
      <c r="G138" s="66"/>
      <c r="L138" s="149" t="s">
        <v>145</v>
      </c>
      <c r="M138" s="222"/>
      <c r="N138" s="66"/>
      <c r="O138" s="66"/>
    </row>
    <row r="139" spans="2:15" ht="20" thickBot="1">
      <c r="B139" s="66"/>
      <c r="C139" s="156">
        <f>C138+100</f>
        <v>400</v>
      </c>
      <c r="D139" s="158">
        <f>(8*PI()^2*$B$8*C139*$C$131)/($H$139*$B$14^2)</f>
        <v>2.2912982091930205</v>
      </c>
      <c r="E139" s="140"/>
      <c r="F139" s="66"/>
      <c r="G139" s="109" t="s">
        <v>146</v>
      </c>
      <c r="H139" s="310">
        <v>2</v>
      </c>
      <c r="K139" s="159" t="s">
        <v>85</v>
      </c>
      <c r="L139" s="160">
        <f>$D$137</f>
        <v>1.7078764026772475</v>
      </c>
      <c r="M139" s="140"/>
      <c r="N139" s="66"/>
      <c r="O139" s="66"/>
    </row>
    <row r="140" spans="2:15" ht="20" thickBot="1">
      <c r="B140" s="66"/>
      <c r="C140" s="156">
        <f t="shared" ref="C140:C155" si="15">C139+100</f>
        <v>500</v>
      </c>
      <c r="D140" s="158">
        <f t="shared" ref="D140:D155" si="16">(8*PI()^2*$B$8*C140*$C$131)/($H$139*$B$14^2)</f>
        <v>2.8641227614912754</v>
      </c>
      <c r="E140" s="140"/>
      <c r="F140" s="66"/>
      <c r="G140" s="66"/>
      <c r="K140" s="161" t="s">
        <v>86</v>
      </c>
      <c r="L140" s="162">
        <f>P34</f>
        <v>1.70861</v>
      </c>
      <c r="M140" s="140"/>
      <c r="N140" s="66"/>
      <c r="O140" s="66"/>
    </row>
    <row r="141" spans="2:15" ht="22">
      <c r="B141" s="66"/>
      <c r="C141" s="156">
        <f t="shared" si="15"/>
        <v>600</v>
      </c>
      <c r="D141" s="158">
        <f t="shared" si="16"/>
        <v>3.4369473137895303</v>
      </c>
      <c r="E141" s="140"/>
      <c r="F141" s="66"/>
      <c r="G141" s="66"/>
      <c r="H141" s="66"/>
      <c r="I141" s="66"/>
      <c r="K141" s="163" t="s">
        <v>87</v>
      </c>
      <c r="L141" s="164">
        <f>ABS(L139-L140)/L139</f>
        <v>4.295377122152911E-4</v>
      </c>
      <c r="M141" s="223"/>
      <c r="N141" s="66"/>
      <c r="O141" s="66"/>
    </row>
    <row r="142" spans="2:15" ht="19">
      <c r="B142" s="66"/>
      <c r="C142" s="156">
        <f t="shared" si="15"/>
        <v>700</v>
      </c>
      <c r="D142" s="158">
        <f t="shared" si="16"/>
        <v>4.0097718660877852</v>
      </c>
      <c r="E142" s="140"/>
      <c r="F142" s="66"/>
      <c r="G142" s="66"/>
    </row>
    <row r="143" spans="2:15" ht="19">
      <c r="B143" s="66"/>
      <c r="C143" s="156">
        <f t="shared" si="15"/>
        <v>800</v>
      </c>
      <c r="D143" s="158">
        <f t="shared" si="16"/>
        <v>4.582596418386041</v>
      </c>
      <c r="E143" s="140"/>
      <c r="F143" s="66"/>
      <c r="G143" s="66"/>
    </row>
    <row r="144" spans="2:15" ht="19">
      <c r="B144" s="66"/>
      <c r="C144" s="156">
        <f t="shared" si="15"/>
        <v>900</v>
      </c>
      <c r="D144" s="158">
        <f t="shared" si="16"/>
        <v>5.1554209706842959</v>
      </c>
      <c r="E144" s="140"/>
      <c r="F144" s="66"/>
      <c r="G144" s="66"/>
    </row>
    <row r="145" spans="3:5" ht="19">
      <c r="C145" s="156">
        <f t="shared" si="15"/>
        <v>1000</v>
      </c>
      <c r="D145" s="158">
        <f t="shared" si="16"/>
        <v>5.7282455229825509</v>
      </c>
      <c r="E145" s="140"/>
    </row>
    <row r="146" spans="3:5" ht="19">
      <c r="C146" s="156">
        <f t="shared" si="15"/>
        <v>1100</v>
      </c>
      <c r="D146" s="158">
        <f t="shared" si="16"/>
        <v>6.3010700752808058</v>
      </c>
      <c r="E146" s="140"/>
    </row>
    <row r="147" spans="3:5" ht="19">
      <c r="C147" s="156">
        <f t="shared" si="15"/>
        <v>1200</v>
      </c>
      <c r="D147" s="158">
        <f t="shared" si="16"/>
        <v>6.8738946275790607</v>
      </c>
      <c r="E147" s="140"/>
    </row>
    <row r="148" spans="3:5" ht="19">
      <c r="C148" s="156">
        <f t="shared" si="15"/>
        <v>1300</v>
      </c>
      <c r="D148" s="158">
        <f t="shared" si="16"/>
        <v>7.4467191798773165</v>
      </c>
      <c r="E148" s="140"/>
    </row>
    <row r="149" spans="3:5" ht="19">
      <c r="C149" s="156">
        <f t="shared" si="15"/>
        <v>1400</v>
      </c>
      <c r="D149" s="158">
        <f t="shared" si="16"/>
        <v>8.0195437321755705</v>
      </c>
      <c r="E149" s="140"/>
    </row>
    <row r="150" spans="3:5" ht="19">
      <c r="C150" s="156">
        <f t="shared" si="15"/>
        <v>1500</v>
      </c>
      <c r="D150" s="158">
        <f t="shared" si="16"/>
        <v>8.5923682844738263</v>
      </c>
      <c r="E150" s="140"/>
    </row>
    <row r="151" spans="3:5" ht="19">
      <c r="C151" s="156">
        <f t="shared" si="15"/>
        <v>1600</v>
      </c>
      <c r="D151" s="158">
        <f t="shared" si="16"/>
        <v>9.1651928367720821</v>
      </c>
      <c r="E151" s="140"/>
    </row>
    <row r="152" spans="3:5" ht="19">
      <c r="C152" s="156">
        <f t="shared" si="15"/>
        <v>1700</v>
      </c>
      <c r="D152" s="158">
        <f t="shared" si="16"/>
        <v>9.7380173890703361</v>
      </c>
      <c r="E152" s="140"/>
    </row>
    <row r="153" spans="3:5" ht="19">
      <c r="C153" s="156">
        <f t="shared" si="15"/>
        <v>1800</v>
      </c>
      <c r="D153" s="158">
        <f t="shared" si="16"/>
        <v>10.310841941368592</v>
      </c>
      <c r="E153" s="140"/>
    </row>
    <row r="154" spans="3:5" ht="19">
      <c r="C154" s="156">
        <f t="shared" si="15"/>
        <v>1900</v>
      </c>
      <c r="D154" s="158">
        <f t="shared" si="16"/>
        <v>10.883666493666846</v>
      </c>
      <c r="E154" s="140"/>
    </row>
    <row r="155" spans="3:5" ht="20" thickBot="1">
      <c r="C155" s="165">
        <f t="shared" si="15"/>
        <v>2000</v>
      </c>
      <c r="D155" s="167">
        <f t="shared" si="16"/>
        <v>11.456491045965102</v>
      </c>
      <c r="E155" s="140"/>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291">
        <f>D167+1</f>
        <v>2</v>
      </c>
      <c r="F167" s="143" t="s">
        <v>113</v>
      </c>
      <c r="G167" s="66"/>
      <c r="H167" s="66"/>
      <c r="I167" s="66"/>
      <c r="J167" s="66"/>
      <c r="K167" s="66"/>
      <c r="L167" s="66"/>
      <c r="M167" s="66"/>
      <c r="N167" s="66"/>
      <c r="O167" s="66"/>
    </row>
    <row r="168" spans="2:16" ht="20" thickBot="1">
      <c r="B168" s="66"/>
      <c r="C168" s="225" t="s">
        <v>114</v>
      </c>
      <c r="D168" s="226">
        <f>J$46</f>
        <v>-1.1785340066400001</v>
      </c>
      <c r="E168" s="226">
        <f t="shared" ref="E168" si="17">K$46</f>
        <v>-1.1785393340799999</v>
      </c>
      <c r="F168" s="226">
        <f>L$46</f>
        <v>-1.1785393340799999</v>
      </c>
      <c r="G168" s="66"/>
      <c r="H168" s="66"/>
      <c r="I168" s="66"/>
      <c r="J168" s="66"/>
      <c r="K168" s="66"/>
      <c r="L168" s="66"/>
      <c r="M168" s="66"/>
      <c r="N168" s="66"/>
      <c r="O168" s="66"/>
    </row>
    <row r="169" spans="2:16" ht="20" thickBot="1">
      <c r="B169" s="66"/>
      <c r="C169" s="228" t="s">
        <v>115</v>
      </c>
      <c r="D169" s="173">
        <f>D168*$K$7</f>
        <v>-5.1384082689504001E-18</v>
      </c>
      <c r="E169" s="173">
        <f t="shared" ref="E169" si="18">E168*$K$7</f>
        <v>-5.1384314965887994E-18</v>
      </c>
      <c r="F169" s="173">
        <f>F168*$K$7</f>
        <v>-5.1384314965887994E-18</v>
      </c>
      <c r="G169" s="66"/>
      <c r="H169" s="66"/>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F169+L23</f>
        <v>-5.0940684965887995E-18</v>
      </c>
      <c r="F172" s="66"/>
      <c r="G172" s="66"/>
      <c r="H172" s="151" t="s">
        <v>83</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84</v>
      </c>
      <c r="M174" s="66"/>
      <c r="N174" s="66"/>
      <c r="O174" s="66"/>
    </row>
    <row r="175" spans="2:16" ht="20" thickBot="1">
      <c r="B175" s="66"/>
      <c r="C175" s="153">
        <v>298.14999999999998</v>
      </c>
      <c r="D175" s="155">
        <f>1</f>
        <v>1</v>
      </c>
      <c r="F175" s="66"/>
      <c r="G175" s="66"/>
      <c r="K175" s="159" t="s">
        <v>85</v>
      </c>
      <c r="L175" s="160">
        <f>1</f>
        <v>1</v>
      </c>
      <c r="M175" s="66"/>
      <c r="N175" s="66"/>
      <c r="O175" s="66"/>
    </row>
    <row r="176" spans="2:16" ht="20" thickBot="1">
      <c r="B176" s="66"/>
      <c r="C176" s="153">
        <v>300</v>
      </c>
      <c r="D176" s="155">
        <v>1</v>
      </c>
      <c r="F176" s="66"/>
      <c r="G176" s="66"/>
      <c r="K176" s="161" t="s">
        <v>86</v>
      </c>
      <c r="L176" s="162">
        <f>P32</f>
        <v>1</v>
      </c>
      <c r="M176" s="66"/>
      <c r="N176" s="66"/>
      <c r="O176" s="66"/>
    </row>
    <row r="177" spans="2:15" ht="22">
      <c r="B177" s="66"/>
      <c r="C177" s="156">
        <f>C176+100</f>
        <v>400</v>
      </c>
      <c r="D177" s="158">
        <v>1</v>
      </c>
      <c r="F177" s="66"/>
      <c r="G177" s="66"/>
      <c r="H177" s="66"/>
      <c r="I177" s="66"/>
      <c r="K177" s="163" t="s">
        <v>87</v>
      </c>
      <c r="L177" s="164">
        <f>ABS(L175-L176)/L175</f>
        <v>0</v>
      </c>
      <c r="M177" s="66"/>
      <c r="N177" s="66"/>
      <c r="O177" s="66"/>
    </row>
    <row r="178" spans="2:15" ht="19">
      <c r="B178" s="66"/>
      <c r="C178" s="156">
        <f t="shared" ref="C178:C193" si="19">C177+100</f>
        <v>500</v>
      </c>
      <c r="D178" s="158">
        <v>1</v>
      </c>
      <c r="F178" s="66"/>
      <c r="G178" s="66"/>
    </row>
    <row r="179" spans="2:15" ht="19">
      <c r="B179" s="66"/>
      <c r="C179" s="156">
        <f t="shared" si="19"/>
        <v>600</v>
      </c>
      <c r="D179" s="158">
        <v>1</v>
      </c>
      <c r="F179" s="66"/>
      <c r="G179" s="66"/>
    </row>
    <row r="180" spans="2:15" ht="19">
      <c r="B180" s="66"/>
      <c r="C180" s="156">
        <f t="shared" si="19"/>
        <v>700</v>
      </c>
      <c r="D180" s="158">
        <v>1</v>
      </c>
      <c r="F180" s="66"/>
      <c r="G180" s="66"/>
    </row>
    <row r="181" spans="2:15" ht="19">
      <c r="C181" s="156">
        <f t="shared" si="19"/>
        <v>800</v>
      </c>
      <c r="D181" s="158">
        <v>1</v>
      </c>
    </row>
    <row r="182" spans="2:15" ht="19">
      <c r="C182" s="156">
        <f t="shared" si="19"/>
        <v>900</v>
      </c>
      <c r="D182" s="158">
        <v>1</v>
      </c>
    </row>
    <row r="183" spans="2:15" ht="19">
      <c r="C183" s="156">
        <f t="shared" si="19"/>
        <v>1000</v>
      </c>
      <c r="D183" s="158">
        <v>1</v>
      </c>
    </row>
    <row r="184" spans="2:15" ht="19">
      <c r="C184" s="156">
        <f t="shared" si="19"/>
        <v>1100</v>
      </c>
      <c r="D184" s="158">
        <v>1</v>
      </c>
    </row>
    <row r="185" spans="2:15" ht="19">
      <c r="C185" s="156">
        <f t="shared" si="19"/>
        <v>1200</v>
      </c>
      <c r="D185" s="158">
        <v>1</v>
      </c>
    </row>
    <row r="186" spans="2:15" ht="19">
      <c r="C186" s="156">
        <f t="shared" si="19"/>
        <v>1300</v>
      </c>
      <c r="D186" s="158">
        <v>1</v>
      </c>
    </row>
    <row r="187" spans="2:15" ht="19">
      <c r="C187" s="156">
        <f t="shared" si="19"/>
        <v>1400</v>
      </c>
      <c r="D187" s="158">
        <v>1</v>
      </c>
    </row>
    <row r="188" spans="2:15" ht="19">
      <c r="C188" s="156">
        <f t="shared" si="19"/>
        <v>1500</v>
      </c>
      <c r="D188" s="158">
        <v>1</v>
      </c>
    </row>
    <row r="189" spans="2:15" ht="19">
      <c r="C189" s="156">
        <f t="shared" si="19"/>
        <v>1600</v>
      </c>
      <c r="D189" s="158">
        <v>1</v>
      </c>
    </row>
    <row r="190" spans="2:15" ht="19">
      <c r="C190" s="156">
        <f t="shared" si="19"/>
        <v>1700</v>
      </c>
      <c r="D190" s="158">
        <v>1</v>
      </c>
    </row>
    <row r="191" spans="2:15" ht="19">
      <c r="C191" s="156">
        <f t="shared" si="19"/>
        <v>1800</v>
      </c>
      <c r="D191" s="158">
        <v>1</v>
      </c>
    </row>
    <row r="192" spans="2:15" ht="19">
      <c r="C192" s="156">
        <f t="shared" si="19"/>
        <v>1900</v>
      </c>
      <c r="D192" s="158">
        <v>1</v>
      </c>
    </row>
    <row r="193" spans="3:11" ht="20" thickBot="1">
      <c r="C193" s="165">
        <f t="shared" si="19"/>
        <v>2000</v>
      </c>
      <c r="D193" s="167">
        <v>1</v>
      </c>
    </row>
    <row r="197" spans="3:11" ht="17" thickBot="1"/>
    <row r="198" spans="3:11" ht="20" thickBot="1">
      <c r="E198" s="66"/>
      <c r="F198" s="66" t="s">
        <v>78</v>
      </c>
      <c r="G198" s="66"/>
      <c r="H198" s="470" t="s">
        <v>118</v>
      </c>
      <c r="I198" s="471"/>
      <c r="J198" s="471"/>
      <c r="K198" s="472"/>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65" t="s">
        <v>124</v>
      </c>
      <c r="E203" s="466"/>
    </row>
    <row r="204" spans="3:11" ht="20" thickBot="1">
      <c r="D204" s="172" t="s">
        <v>125</v>
      </c>
      <c r="E204" s="232" t="s">
        <v>126</v>
      </c>
    </row>
    <row r="205" spans="3:11" ht="19">
      <c r="C205" s="92" t="s">
        <v>45</v>
      </c>
      <c r="D205" s="233">
        <f>$Q23</f>
        <v>4.968</v>
      </c>
      <c r="E205" s="160">
        <f>D205*4.184</f>
        <v>20.786111999999999</v>
      </c>
    </row>
    <row r="206" spans="3:11" ht="19">
      <c r="C206" s="100" t="s">
        <v>48</v>
      </c>
      <c r="D206" s="234">
        <f t="shared" ref="D206:D209" si="20">$Q24</f>
        <v>0</v>
      </c>
      <c r="E206" s="235">
        <f t="shared" ref="E206:E209" si="21">D206*4.184</f>
        <v>0</v>
      </c>
    </row>
    <row r="207" spans="3:11" ht="19">
      <c r="C207" s="100" t="s">
        <v>50</v>
      </c>
      <c r="D207" s="234">
        <f t="shared" si="20"/>
        <v>2.9809999999999999</v>
      </c>
      <c r="E207" s="235">
        <f t="shared" si="21"/>
        <v>12.472504000000001</v>
      </c>
    </row>
    <row r="208" spans="3:11" ht="19">
      <c r="C208" s="100" t="s">
        <v>52</v>
      </c>
      <c r="D208" s="234">
        <f t="shared" si="20"/>
        <v>1.9870000000000001</v>
      </c>
      <c r="E208" s="235">
        <f t="shared" si="21"/>
        <v>8.3136080000000003</v>
      </c>
    </row>
    <row r="209" spans="3:16" ht="20" thickBot="1">
      <c r="C209" s="105" t="s">
        <v>55</v>
      </c>
      <c r="D209" s="102">
        <f t="shared" si="20"/>
        <v>0</v>
      </c>
      <c r="E209" s="162">
        <f t="shared" si="21"/>
        <v>0</v>
      </c>
    </row>
    <row r="210" spans="3:16" ht="24" customHeight="1"/>
    <row r="211" spans="3:16" ht="17" thickBot="1"/>
    <row r="212" spans="3:16" ht="23" thickBot="1">
      <c r="D212" s="467" t="s">
        <v>126</v>
      </c>
      <c r="E212" s="468"/>
      <c r="F212" s="468"/>
      <c r="G212" s="468"/>
      <c r="H212" s="469"/>
      <c r="J212" s="151" t="s">
        <v>83</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311">
        <f>3*$B$7/2</f>
        <v>12.471599999999999</v>
      </c>
      <c r="E214" s="312">
        <f>$B$7*SUM(($D$42*$D$42)*EXP($D$42/$C214)/($C214^2*(EXP($D$42/$C214)-1)^2))</f>
        <v>1.6837155562279454E-6</v>
      </c>
      <c r="F214" s="313">
        <f>$B$7</f>
        <v>8.3143999999999991</v>
      </c>
      <c r="G214" s="314">
        <v>0</v>
      </c>
      <c r="H214" s="241">
        <f t="shared" ref="H214:H232" si="22">SUM(D214:G214)</f>
        <v>20.786001683715554</v>
      </c>
      <c r="K214" s="236" t="s">
        <v>127</v>
      </c>
      <c r="L214" s="237" t="s">
        <v>128</v>
      </c>
      <c r="M214" s="237" t="s">
        <v>129</v>
      </c>
      <c r="N214" s="238" t="s">
        <v>130</v>
      </c>
      <c r="O214" s="203" t="s">
        <v>131</v>
      </c>
      <c r="P214" s="66"/>
    </row>
    <row r="215" spans="3:16" ht="19">
      <c r="C215" s="153">
        <v>300</v>
      </c>
      <c r="D215" s="311">
        <f>3*$B$7/2</f>
        <v>12.471599999999999</v>
      </c>
      <c r="E215" s="312">
        <f>$B$7*SUM(($D$42*$D$42)*EXP($D$42/$C215)/($C215^2*(EXP($D$42/$C215)-1)^2))</f>
        <v>1.899413624350746E-6</v>
      </c>
      <c r="F215" s="312">
        <v>8.3143999999999991</v>
      </c>
      <c r="G215" s="314">
        <v>0</v>
      </c>
      <c r="H215" s="241">
        <f t="shared" si="22"/>
        <v>20.78600189941362</v>
      </c>
      <c r="J215" s="159" t="s">
        <v>85</v>
      </c>
      <c r="K215" s="160">
        <f>D$214</f>
        <v>12.471599999999999</v>
      </c>
      <c r="L215" s="160">
        <f t="shared" ref="L215:O215" si="23">E$214</f>
        <v>1.6837155562279454E-6</v>
      </c>
      <c r="M215" s="160">
        <f t="shared" si="23"/>
        <v>8.3143999999999991</v>
      </c>
      <c r="N215" s="160">
        <f t="shared" si="23"/>
        <v>0</v>
      </c>
      <c r="O215" s="160">
        <f t="shared" si="23"/>
        <v>20.786001683715554</v>
      </c>
      <c r="P215" s="66"/>
    </row>
    <row r="216" spans="3:16" ht="20" thickBot="1">
      <c r="C216" s="156">
        <f>C215+100</f>
        <v>400</v>
      </c>
      <c r="D216" s="315">
        <f t="shared" ref="D216:D232" si="24">3*$B$7/2</f>
        <v>12.471599999999999</v>
      </c>
      <c r="E216" s="281">
        <f>$B$7*SUM(($D$42*$D$42)*EXP($D$42/$C216)/($C216^2*(EXP($D$42/$C216)-1)^2))</f>
        <v>2.26183801869387E-4</v>
      </c>
      <c r="F216" s="281">
        <v>8.3143999999999991</v>
      </c>
      <c r="G216" s="316">
        <v>0</v>
      </c>
      <c r="H216" s="245">
        <f t="shared" si="22"/>
        <v>20.786226183801865</v>
      </c>
      <c r="J216" s="161" t="s">
        <v>86</v>
      </c>
      <c r="K216" s="162">
        <f>E207</f>
        <v>12.472504000000001</v>
      </c>
      <c r="L216" s="162">
        <f>E209</f>
        <v>0</v>
      </c>
      <c r="M216" s="162">
        <f>E208</f>
        <v>8.3136080000000003</v>
      </c>
      <c r="N216" s="162">
        <f>E206</f>
        <v>0</v>
      </c>
      <c r="O216" s="162">
        <f>E205</f>
        <v>20.786111999999999</v>
      </c>
      <c r="P216" s="66"/>
    </row>
    <row r="217" spans="3:16" ht="22">
      <c r="C217" s="156">
        <f t="shared" ref="C217:C232" si="25">C216+100</f>
        <v>500</v>
      </c>
      <c r="D217" s="315">
        <f t="shared" si="24"/>
        <v>12.471599999999999</v>
      </c>
      <c r="E217" s="281">
        <f t="shared" ref="E217:E231" si="26">$B$7*SUM(($D$42*$D$42)*EXP($D$42/$C217)/($C217^2*(EXP($D$42/$C217)-1)^2))</f>
        <v>3.5981168040515594E-3</v>
      </c>
      <c r="F217" s="281">
        <v>8.3143999999999991</v>
      </c>
      <c r="G217" s="316">
        <v>0</v>
      </c>
      <c r="H217" s="245">
        <f t="shared" si="22"/>
        <v>20.789598116804051</v>
      </c>
      <c r="J217" s="163" t="s">
        <v>87</v>
      </c>
      <c r="K217" s="164">
        <f>IFERROR(ABS(K215-K216)/K215,0)</f>
        <v>7.2484685204946797E-5</v>
      </c>
      <c r="L217" s="164">
        <f t="shared" ref="L217:O217" si="27">IFERROR(ABS(L215-L216)/L215,0)</f>
        <v>1</v>
      </c>
      <c r="M217" s="164">
        <f t="shared" si="27"/>
        <v>9.5256422591984244E-5</v>
      </c>
      <c r="N217" s="164">
        <f t="shared" si="27"/>
        <v>0</v>
      </c>
      <c r="O217" s="164">
        <f t="shared" si="27"/>
        <v>5.3072392720702393E-6</v>
      </c>
      <c r="P217" s="66"/>
    </row>
    <row r="218" spans="3:16" ht="19">
      <c r="C218" s="156">
        <f t="shared" si="25"/>
        <v>600</v>
      </c>
      <c r="D218" s="315">
        <f t="shared" si="24"/>
        <v>12.471599999999999</v>
      </c>
      <c r="E218" s="281">
        <f t="shared" si="26"/>
        <v>2.1282253126146292E-2</v>
      </c>
      <c r="F218" s="281">
        <v>8.3143999999999991</v>
      </c>
      <c r="G218" s="316">
        <v>0</v>
      </c>
      <c r="H218" s="245">
        <f t="shared" si="22"/>
        <v>20.807282253126147</v>
      </c>
    </row>
    <row r="219" spans="3:16" ht="19">
      <c r="C219" s="156">
        <f t="shared" si="25"/>
        <v>700</v>
      </c>
      <c r="D219" s="315">
        <f t="shared" si="24"/>
        <v>12.471599999999999</v>
      </c>
      <c r="E219" s="281">
        <f t="shared" si="26"/>
        <v>7.2224641609260107E-2</v>
      </c>
      <c r="F219" s="281">
        <v>8.3143999999999991</v>
      </c>
      <c r="G219" s="316">
        <v>0</v>
      </c>
      <c r="H219" s="245">
        <f t="shared" si="22"/>
        <v>20.858224641609258</v>
      </c>
    </row>
    <row r="220" spans="3:16" ht="19">
      <c r="C220" s="156">
        <f t="shared" si="25"/>
        <v>800</v>
      </c>
      <c r="D220" s="315">
        <f t="shared" si="24"/>
        <v>12.471599999999999</v>
      </c>
      <c r="E220" s="281">
        <f t="shared" si="26"/>
        <v>0.17428598016852392</v>
      </c>
      <c r="F220" s="281">
        <v>8.3143999999999991</v>
      </c>
      <c r="G220" s="316">
        <v>0</v>
      </c>
      <c r="H220" s="245">
        <f t="shared" si="22"/>
        <v>20.960285980168521</v>
      </c>
    </row>
    <row r="221" spans="3:16" ht="19">
      <c r="C221" s="156">
        <f t="shared" si="25"/>
        <v>900</v>
      </c>
      <c r="D221" s="315">
        <f t="shared" si="24"/>
        <v>12.471599999999999</v>
      </c>
      <c r="E221" s="281">
        <f t="shared" si="26"/>
        <v>0.33649913796522074</v>
      </c>
      <c r="F221" s="281">
        <v>8.3143999999999991</v>
      </c>
      <c r="G221" s="316">
        <v>0</v>
      </c>
      <c r="H221" s="245">
        <f t="shared" si="22"/>
        <v>21.122499137965221</v>
      </c>
    </row>
    <row r="222" spans="3:16" ht="19">
      <c r="C222" s="156">
        <f t="shared" si="25"/>
        <v>1000</v>
      </c>
      <c r="D222" s="315">
        <f t="shared" si="24"/>
        <v>12.471599999999999</v>
      </c>
      <c r="E222" s="281">
        <f t="shared" si="26"/>
        <v>0.55754922761233772</v>
      </c>
      <c r="F222" s="281">
        <v>8.3143999999999991</v>
      </c>
      <c r="G222" s="316">
        <v>0</v>
      </c>
      <c r="H222" s="245">
        <f t="shared" si="22"/>
        <v>21.343549227612336</v>
      </c>
    </row>
    <row r="223" spans="3:16" ht="19">
      <c r="C223" s="156">
        <f t="shared" si="25"/>
        <v>1100</v>
      </c>
      <c r="D223" s="315">
        <f t="shared" si="24"/>
        <v>12.471599999999999</v>
      </c>
      <c r="E223" s="281">
        <f t="shared" si="26"/>
        <v>0.82857316539847137</v>
      </c>
      <c r="F223" s="281">
        <v>8.3143999999999991</v>
      </c>
      <c r="G223" s="316">
        <v>0</v>
      </c>
      <c r="H223" s="245">
        <f t="shared" si="22"/>
        <v>21.614573165398468</v>
      </c>
    </row>
    <row r="224" spans="3:16" ht="19">
      <c r="C224" s="156">
        <f t="shared" si="25"/>
        <v>1200</v>
      </c>
      <c r="D224" s="315">
        <f t="shared" si="24"/>
        <v>12.471599999999999</v>
      </c>
      <c r="E224" s="281">
        <f t="shared" si="26"/>
        <v>1.1370255507256912</v>
      </c>
      <c r="F224" s="281">
        <v>8.3143999999999991</v>
      </c>
      <c r="G224" s="316">
        <v>0</v>
      </c>
      <c r="H224" s="245">
        <f t="shared" si="22"/>
        <v>21.92302555072569</v>
      </c>
    </row>
    <row r="225" spans="3:11" ht="19">
      <c r="C225" s="156">
        <f t="shared" si="25"/>
        <v>1300</v>
      </c>
      <c r="D225" s="315">
        <f t="shared" si="24"/>
        <v>12.471599999999999</v>
      </c>
      <c r="E225" s="281">
        <f t="shared" si="26"/>
        <v>1.4697768168410157</v>
      </c>
      <c r="F225" s="281">
        <v>8.3143999999999991</v>
      </c>
      <c r="G225" s="316">
        <v>0</v>
      </c>
      <c r="H225" s="245">
        <f t="shared" si="22"/>
        <v>22.255776816841013</v>
      </c>
    </row>
    <row r="226" spans="3:11" ht="19">
      <c r="C226" s="156">
        <f t="shared" si="25"/>
        <v>1400</v>
      </c>
      <c r="D226" s="315">
        <f t="shared" si="24"/>
        <v>12.471599999999999</v>
      </c>
      <c r="E226" s="281">
        <f t="shared" si="26"/>
        <v>1.8149809257481151</v>
      </c>
      <c r="F226" s="281">
        <v>8.3143999999999991</v>
      </c>
      <c r="G226" s="316">
        <v>0</v>
      </c>
      <c r="H226" s="245">
        <f t="shared" si="22"/>
        <v>22.600980925748111</v>
      </c>
    </row>
    <row r="227" spans="3:11" ht="19">
      <c r="C227" s="156">
        <f t="shared" si="25"/>
        <v>1500</v>
      </c>
      <c r="D227" s="315">
        <f t="shared" si="24"/>
        <v>12.471599999999999</v>
      </c>
      <c r="E227" s="281">
        <f t="shared" si="26"/>
        <v>2.1629112248710061</v>
      </c>
      <c r="F227" s="281">
        <v>8.3143999999999991</v>
      </c>
      <c r="G227" s="316">
        <v>0</v>
      </c>
      <c r="H227" s="245">
        <f t="shared" si="22"/>
        <v>22.948911224871004</v>
      </c>
    </row>
    <row r="228" spans="3:11" ht="19">
      <c r="C228" s="156">
        <f t="shared" si="25"/>
        <v>1600</v>
      </c>
      <c r="D228" s="315">
        <f t="shared" si="24"/>
        <v>12.471599999999999</v>
      </c>
      <c r="E228" s="281">
        <f t="shared" si="26"/>
        <v>2.5061266473523518</v>
      </c>
      <c r="F228" s="281">
        <v>8.3143999999999991</v>
      </c>
      <c r="G228" s="316">
        <v>0</v>
      </c>
      <c r="H228" s="245">
        <f t="shared" si="22"/>
        <v>23.292126647352347</v>
      </c>
    </row>
    <row r="229" spans="3:11" ht="19">
      <c r="C229" s="156">
        <f t="shared" si="25"/>
        <v>1700</v>
      </c>
      <c r="D229" s="315">
        <f t="shared" si="24"/>
        <v>12.471599999999999</v>
      </c>
      <c r="E229" s="281">
        <f t="shared" si="26"/>
        <v>2.8392797077426954</v>
      </c>
      <c r="F229" s="281">
        <v>8.3143999999999991</v>
      </c>
      <c r="G229" s="316">
        <v>0</v>
      </c>
      <c r="H229" s="245">
        <f t="shared" si="22"/>
        <v>23.625279707742692</v>
      </c>
    </row>
    <row r="230" spans="3:11" ht="19">
      <c r="C230" s="156">
        <f t="shared" si="25"/>
        <v>1800</v>
      </c>
      <c r="D230" s="315">
        <f t="shared" si="24"/>
        <v>12.471599999999999</v>
      </c>
      <c r="E230" s="281">
        <f t="shared" si="26"/>
        <v>3.1587756547703738</v>
      </c>
      <c r="F230" s="281">
        <v>8.3143999999999991</v>
      </c>
      <c r="G230" s="316">
        <v>0</v>
      </c>
      <c r="H230" s="245">
        <f t="shared" si="22"/>
        <v>23.944775654770371</v>
      </c>
    </row>
    <row r="231" spans="3:11" ht="19">
      <c r="C231" s="156">
        <f t="shared" si="25"/>
        <v>1900</v>
      </c>
      <c r="D231" s="315">
        <f t="shared" si="24"/>
        <v>12.471599999999999</v>
      </c>
      <c r="E231" s="281">
        <f t="shared" si="26"/>
        <v>3.462403181185759</v>
      </c>
      <c r="F231" s="281">
        <v>8.3143999999999991</v>
      </c>
      <c r="G231" s="316">
        <v>0</v>
      </c>
      <c r="H231" s="245">
        <f t="shared" si="22"/>
        <v>24.248403181185758</v>
      </c>
    </row>
    <row r="232" spans="3:11" ht="20" thickBot="1">
      <c r="C232" s="165">
        <f t="shared" si="25"/>
        <v>2000</v>
      </c>
      <c r="D232" s="317">
        <f t="shared" si="24"/>
        <v>12.471599999999999</v>
      </c>
      <c r="E232" s="318">
        <f>$B$7*SUM(($D$42*$D$42)*EXP($D$42/$C232)/($C232^2*(EXP($D$42/$C232)-1)^2))</f>
        <v>3.7489961710958579</v>
      </c>
      <c r="F232" s="318">
        <v>8.3143999999999991</v>
      </c>
      <c r="G232" s="307">
        <v>0</v>
      </c>
      <c r="H232" s="249">
        <f t="shared" si="22"/>
        <v>24.534996171095855</v>
      </c>
    </row>
    <row r="238" spans="3:11" ht="17" thickBot="1"/>
    <row r="239" spans="3:11" ht="20" thickBot="1">
      <c r="E239" s="66"/>
      <c r="F239" s="66" t="s">
        <v>78</v>
      </c>
      <c r="G239" s="66"/>
      <c r="H239" s="470" t="s">
        <v>118</v>
      </c>
      <c r="I239" s="471"/>
      <c r="J239" s="471"/>
      <c r="K239" s="472"/>
    </row>
    <row r="240" spans="3:11" ht="28" thickBot="1">
      <c r="C240" s="147" t="s">
        <v>132</v>
      </c>
      <c r="D240" s="148"/>
      <c r="E240" s="66"/>
      <c r="F240" s="66"/>
      <c r="G240" s="66"/>
      <c r="H240" s="137" t="s">
        <v>120</v>
      </c>
      <c r="I240" s="137" t="s">
        <v>121</v>
      </c>
      <c r="J240" s="137" t="s">
        <v>122</v>
      </c>
      <c r="K240" s="137" t="s">
        <v>123</v>
      </c>
    </row>
    <row r="244" spans="3:10" ht="20" thickBot="1">
      <c r="D244" s="473"/>
      <c r="E244" s="473"/>
    </row>
    <row r="245" spans="3:10" ht="20" thickBot="1">
      <c r="D245" s="465" t="s">
        <v>133</v>
      </c>
      <c r="E245" s="466"/>
    </row>
    <row r="246" spans="3:10" ht="20" thickBot="1">
      <c r="D246" s="172" t="s">
        <v>125</v>
      </c>
      <c r="E246" s="232" t="s">
        <v>126</v>
      </c>
    </row>
    <row r="247" spans="3:10" ht="19">
      <c r="C247" s="92" t="s">
        <v>45</v>
      </c>
      <c r="D247" s="204">
        <f>$R23</f>
        <v>31.132000000000001</v>
      </c>
      <c r="E247" s="160">
        <f>D247*4.184</f>
        <v>130.25628800000001</v>
      </c>
    </row>
    <row r="248" spans="3:10" ht="19">
      <c r="C248" s="100" t="s">
        <v>48</v>
      </c>
      <c r="D248" s="250">
        <f t="shared" ref="D248:D251" si="28">$R24</f>
        <v>0</v>
      </c>
      <c r="E248" s="235">
        <f t="shared" ref="E248:E251" si="29">D248*4.184</f>
        <v>0</v>
      </c>
    </row>
    <row r="249" spans="3:10" ht="19">
      <c r="C249" s="100" t="s">
        <v>50</v>
      </c>
      <c r="D249" s="250">
        <f t="shared" si="28"/>
        <v>28.08</v>
      </c>
      <c r="E249" s="235">
        <f t="shared" si="29"/>
        <v>117.48671999999999</v>
      </c>
    </row>
    <row r="250" spans="3:10" ht="19">
      <c r="C250" s="100" t="s">
        <v>52</v>
      </c>
      <c r="D250" s="250">
        <f t="shared" si="28"/>
        <v>3.052</v>
      </c>
      <c r="E250" s="235">
        <f t="shared" si="29"/>
        <v>12.769568000000001</v>
      </c>
    </row>
    <row r="251" spans="3:10" ht="20" thickBot="1">
      <c r="C251" s="105" t="s">
        <v>55</v>
      </c>
      <c r="D251" s="251">
        <f t="shared" si="28"/>
        <v>0</v>
      </c>
      <c r="E251" s="162">
        <f t="shared" si="29"/>
        <v>0</v>
      </c>
    </row>
    <row r="253" spans="3:10" ht="17" thickBot="1"/>
    <row r="254" spans="3:10" ht="20" thickBot="1">
      <c r="C254" s="67" t="s">
        <v>34</v>
      </c>
      <c r="D254" s="252"/>
      <c r="E254" s="252"/>
      <c r="F254" s="252"/>
      <c r="G254" s="253"/>
      <c r="I254" s="76" t="s">
        <v>134</v>
      </c>
      <c r="J254" s="254">
        <f>($B$14^2)/(8*PI()*PI()*C131*$B$8)</f>
        <v>87.286761364178176</v>
      </c>
    </row>
    <row r="255" spans="3:10" ht="20" thickBot="1">
      <c r="C255" s="255"/>
      <c r="D255" s="73" t="s">
        <v>37</v>
      </c>
      <c r="E255" s="74" t="s">
        <v>38</v>
      </c>
      <c r="F255" s="75" t="s">
        <v>39</v>
      </c>
      <c r="G255" s="203"/>
      <c r="I255" s="123"/>
      <c r="J255" s="123"/>
    </row>
    <row r="256" spans="3:10" ht="22" thickBot="1">
      <c r="C256" s="84" t="s">
        <v>44</v>
      </c>
      <c r="D256" s="256">
        <f>D$23</f>
        <v>0</v>
      </c>
      <c r="E256" s="86">
        <f t="shared" ref="E256:F256" si="30">E$23</f>
        <v>0.99270999999999998</v>
      </c>
      <c r="F256" s="257">
        <f t="shared" si="30"/>
        <v>0.99270999999999998</v>
      </c>
      <c r="G256" s="193"/>
      <c r="J256" s="123"/>
    </row>
    <row r="257" spans="1:18" ht="22" thickBot="1">
      <c r="C257" s="96" t="s">
        <v>47</v>
      </c>
      <c r="D257" s="97">
        <f>D256*$U$9</f>
        <v>0</v>
      </c>
      <c r="E257" s="98">
        <f t="shared" ref="E257:F257" si="31">E256*$U$9</f>
        <v>1.6478986E-27</v>
      </c>
      <c r="F257" s="258">
        <f t="shared" si="31"/>
        <v>1.6478986E-27</v>
      </c>
      <c r="G257" s="193"/>
    </row>
    <row r="258" spans="1:18" ht="22" thickBot="1">
      <c r="C258" s="101" t="s">
        <v>49</v>
      </c>
      <c r="D258" s="102">
        <f>D257*($Q$8)^2</f>
        <v>0</v>
      </c>
      <c r="E258" s="103">
        <f>E257*($Q$8)^2</f>
        <v>1.6478986000000003E-47</v>
      </c>
      <c r="F258" s="259">
        <f t="shared" ref="F258" si="32">F257*($Q$8)^2</f>
        <v>1.6478986000000003E-47</v>
      </c>
      <c r="G258" s="193"/>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83</v>
      </c>
      <c r="M261" s="152"/>
      <c r="N261" s="152"/>
      <c r="O261" s="152"/>
      <c r="P261" s="152"/>
      <c r="Q261" s="152"/>
    </row>
    <row r="262" spans="1:18" ht="20" thickBot="1">
      <c r="C262" s="174">
        <v>298.14999999999998</v>
      </c>
      <c r="D262" s="267">
        <f>$B$7*C262/$B$16</f>
        <v>2.4465219442388352E-2</v>
      </c>
      <c r="E262" s="268">
        <f>((2*PI()*$A$28*$U$9*$B$8*$C262)/($B$14*$B$14))^(3/2)</f>
        <v>2.7673530575375749E+30</v>
      </c>
      <c r="F262" s="269">
        <f t="shared" ref="F262:F280" si="33">$B$7*LN(($D262/$B$6)*EXP(5/2)*E262)</f>
        <v>117.4828168554847</v>
      </c>
      <c r="G262" s="319">
        <f>$B$7*SUM((($D$42)/$C262)/(EXP($D$42/$C262)-1)-LN(1-EXP(-$D$42/$C262)))</f>
        <v>8.1742020844215608E-8</v>
      </c>
      <c r="H262" s="270">
        <f>$B$7*LN(EXP(1)*$C262/($A$31*$J$254))</f>
        <v>12.764688660997145</v>
      </c>
      <c r="I262" s="320">
        <f>0</f>
        <v>0</v>
      </c>
      <c r="J262" s="272">
        <f t="shared" ref="J262:J280" si="34">SUM(F262:I262)</f>
        <v>130.24750559822385</v>
      </c>
      <c r="L262" s="66"/>
      <c r="M262" s="66"/>
      <c r="N262" s="66"/>
      <c r="O262" s="66"/>
      <c r="P262" s="66"/>
      <c r="Q262" s="66"/>
    </row>
    <row r="263" spans="1:18" ht="20" thickBot="1">
      <c r="C263" s="153">
        <v>300</v>
      </c>
      <c r="D263" s="267">
        <f>$B$7*C263/$B$16</f>
        <v>2.4617024426350848E-2</v>
      </c>
      <c r="E263" s="268">
        <f>((2*PI()*$A$28*$U$9*$B$8*$C263)/($B$14*$B$14))^(3/2)</f>
        <v>2.7931498208674397E+30</v>
      </c>
      <c r="F263" s="239">
        <f t="shared" si="33"/>
        <v>117.61139404386878</v>
      </c>
      <c r="G263" s="313">
        <f>$B$7*SUM((($D$42)/$C263)/(EXP($D$42/$C263)-1)-LN(1-EXP(-$D$42/$C263)))</f>
        <v>9.2811567220227496E-8</v>
      </c>
      <c r="H263" s="240">
        <f>$B$7*LN(EXP(1)*$C263/($A$31*$J$254))</f>
        <v>12.816119536350815</v>
      </c>
      <c r="I263" s="314">
        <v>0</v>
      </c>
      <c r="J263" s="272">
        <f t="shared" si="34"/>
        <v>130.42751367303117</v>
      </c>
      <c r="N263" s="236" t="s">
        <v>127</v>
      </c>
      <c r="O263" s="237" t="s">
        <v>128</v>
      </c>
      <c r="P263" s="237" t="s">
        <v>129</v>
      </c>
      <c r="Q263" s="238" t="s">
        <v>130</v>
      </c>
      <c r="R263" s="203" t="s">
        <v>131</v>
      </c>
    </row>
    <row r="264" spans="1:18" ht="20" thickBot="1">
      <c r="C264" s="156">
        <f>C263+100</f>
        <v>400</v>
      </c>
      <c r="D264" s="273">
        <f t="shared" ref="D264:D280" si="35">$B$7*C264/$B$16</f>
        <v>3.2822699235134464E-2</v>
      </c>
      <c r="E264" s="274">
        <f t="shared" ref="E264:E280" si="36">(2*PI()*$A$28*$U$9*$B$8*$C264/($B$14)^2)^(3/2)</f>
        <v>4.3003354692394289E+30</v>
      </c>
      <c r="F264" s="229">
        <f t="shared" si="33"/>
        <v>123.59115360185157</v>
      </c>
      <c r="G264" s="321">
        <f>$B$7*SUM((($D$42)/$C264)/(EXP($D$42/$C264)-1)-LN(1-EXP(-$D$42/$C264)))</f>
        <v>1.495519144227562E-5</v>
      </c>
      <c r="H264" s="243">
        <f>$B$7*LN(EXP(1)*$C264/($A$31*$J$254))</f>
        <v>15.208023359543901</v>
      </c>
      <c r="I264" s="316">
        <v>0</v>
      </c>
      <c r="J264" s="275">
        <f t="shared" si="34"/>
        <v>138.79919191658692</v>
      </c>
      <c r="M264" s="159" t="s">
        <v>85</v>
      </c>
      <c r="N264" s="276">
        <f>F$262</f>
        <v>117.4828168554847</v>
      </c>
      <c r="O264" s="276">
        <f>G$262</f>
        <v>8.1742020844215608E-8</v>
      </c>
      <c r="P264" s="276">
        <f>H$262</f>
        <v>12.764688660997145</v>
      </c>
      <c r="Q264" s="276">
        <f>I$262</f>
        <v>0</v>
      </c>
      <c r="R264" s="276">
        <f>J$262</f>
        <v>130.24750559822385</v>
      </c>
    </row>
    <row r="265" spans="1:18" ht="20" thickBot="1">
      <c r="C265" s="156">
        <f t="shared" ref="C265:C280" si="37">C264+100</f>
        <v>500</v>
      </c>
      <c r="D265" s="273">
        <f t="shared" si="35"/>
        <v>4.1028374043918084E-2</v>
      </c>
      <c r="E265" s="274">
        <f t="shared" si="36"/>
        <v>6.0099015220455467E+30</v>
      </c>
      <c r="F265" s="229">
        <f t="shared" si="33"/>
        <v>128.22941545946878</v>
      </c>
      <c r="G265" s="321">
        <f t="shared" ref="G265:G279" si="38">$B$7*SUM((($D$42)/$C265)/(EXP($D$42/$C265)-1)-LN(1-EXP(-$D$42/$C265)))</f>
        <v>3.0173843636825773E-4</v>
      </c>
      <c r="H265" s="243">
        <f t="shared" ref="H265:H279" si="39">$B$7*LN(EXP(1)*$C265/($A$31*$J$254))</f>
        <v>17.063328102590766</v>
      </c>
      <c r="I265" s="316">
        <v>0</v>
      </c>
      <c r="J265" s="275">
        <f t="shared" si="34"/>
        <v>145.29304530049592</v>
      </c>
      <c r="M265" s="161" t="s">
        <v>86</v>
      </c>
      <c r="N265" s="276">
        <f>E249</f>
        <v>117.48671999999999</v>
      </c>
      <c r="O265" s="276">
        <f>E251</f>
        <v>0</v>
      </c>
      <c r="P265" s="276">
        <f>E250</f>
        <v>12.769568000000001</v>
      </c>
      <c r="Q265" s="276">
        <f>E248</f>
        <v>0</v>
      </c>
      <c r="R265" s="276">
        <f>E247</f>
        <v>130.25628800000001</v>
      </c>
    </row>
    <row r="266" spans="1:18" ht="22">
      <c r="C266" s="156">
        <f t="shared" si="37"/>
        <v>600</v>
      </c>
      <c r="D266" s="273">
        <f t="shared" si="35"/>
        <v>4.9234048852701696E-2</v>
      </c>
      <c r="E266" s="274">
        <f t="shared" si="36"/>
        <v>7.90022071682145E+30</v>
      </c>
      <c r="F266" s="229">
        <f t="shared" si="33"/>
        <v>132.01915133898783</v>
      </c>
      <c r="G266" s="321">
        <f t="shared" si="38"/>
        <v>2.172555013585336E-3</v>
      </c>
      <c r="H266" s="243">
        <f t="shared" si="39"/>
        <v>18.579222454398426</v>
      </c>
      <c r="I266" s="316">
        <v>0</v>
      </c>
      <c r="J266" s="275">
        <f t="shared" si="34"/>
        <v>150.60054634839983</v>
      </c>
      <c r="L266" s="66"/>
      <c r="M266" s="163" t="s">
        <v>87</v>
      </c>
      <c r="N266" s="164">
        <f>IFERROR(ABS(N264-N265)/N264,0)</f>
        <v>3.3223109725848237E-5</v>
      </c>
      <c r="O266" s="164">
        <f t="shared" ref="O266:R266" si="40">IFERROR(ABS(O264-O265)/O264,0)</f>
        <v>1</v>
      </c>
      <c r="P266" s="164">
        <f t="shared" si="40"/>
        <v>3.8225287999116709E-4</v>
      </c>
      <c r="Q266" s="164">
        <f t="shared" si="40"/>
        <v>0</v>
      </c>
      <c r="R266" s="164">
        <f t="shared" si="40"/>
        <v>6.7428560230936503E-5</v>
      </c>
    </row>
    <row r="267" spans="1:18" ht="19">
      <c r="A267" s="188"/>
      <c r="C267" s="156">
        <f t="shared" si="37"/>
        <v>700</v>
      </c>
      <c r="D267" s="273">
        <f t="shared" si="35"/>
        <v>5.7439723661485309E-2</v>
      </c>
      <c r="E267" s="274">
        <f t="shared" si="36"/>
        <v>9.955415930038137E+30</v>
      </c>
      <c r="F267" s="229">
        <f t="shared" si="33"/>
        <v>135.22332736987735</v>
      </c>
      <c r="G267" s="321">
        <f t="shared" si="38"/>
        <v>8.7234045158709108E-3</v>
      </c>
      <c r="H267" s="243">
        <f t="shared" si="39"/>
        <v>19.860892866754181</v>
      </c>
      <c r="I267" s="316">
        <v>0</v>
      </c>
      <c r="J267" s="275">
        <f t="shared" si="34"/>
        <v>155.0929436411474</v>
      </c>
    </row>
    <row r="268" spans="1:18" ht="19">
      <c r="A268" s="188"/>
      <c r="C268" s="156">
        <f t="shared" si="37"/>
        <v>800</v>
      </c>
      <c r="D268" s="273">
        <f t="shared" si="35"/>
        <v>6.5645398470268929E-2</v>
      </c>
      <c r="E268" s="274">
        <f t="shared" si="36"/>
        <v>1.2163185486704971E+31</v>
      </c>
      <c r="F268" s="229">
        <f t="shared" si="33"/>
        <v>137.99891089697064</v>
      </c>
      <c r="G268" s="321">
        <f t="shared" si="38"/>
        <v>2.438962472298431E-2</v>
      </c>
      <c r="H268" s="243">
        <f t="shared" si="39"/>
        <v>20.971126277591512</v>
      </c>
      <c r="I268" s="316">
        <v>0</v>
      </c>
      <c r="J268" s="275">
        <f t="shared" si="34"/>
        <v>158.99442679928512</v>
      </c>
    </row>
    <row r="269" spans="1:18" ht="19">
      <c r="C269" s="156">
        <f t="shared" si="37"/>
        <v>900</v>
      </c>
      <c r="D269" s="273">
        <f t="shared" si="35"/>
        <v>7.3851073279052548E-2</v>
      </c>
      <c r="E269" s="274">
        <f t="shared" si="36"/>
        <v>1.4513632208683096E+31</v>
      </c>
      <c r="F269" s="229">
        <f t="shared" si="33"/>
        <v>140.44714907612419</v>
      </c>
      <c r="G269" s="321">
        <f t="shared" si="38"/>
        <v>5.3682318409350629E-2</v>
      </c>
      <c r="H269" s="243">
        <f t="shared" si="39"/>
        <v>21.950421549252944</v>
      </c>
      <c r="I269" s="316">
        <v>0</v>
      </c>
      <c r="J269" s="275">
        <f t="shared" si="34"/>
        <v>162.4512529437865</v>
      </c>
    </row>
    <row r="270" spans="1:18" ht="19">
      <c r="C270" s="156">
        <f t="shared" si="37"/>
        <v>1000</v>
      </c>
      <c r="D270" s="273">
        <f t="shared" si="35"/>
        <v>8.2056748087836168E-2</v>
      </c>
      <c r="E270" s="274">
        <f t="shared" si="36"/>
        <v>1.6998568482006842E+31</v>
      </c>
      <c r="F270" s="229">
        <f t="shared" si="33"/>
        <v>142.63717275458771</v>
      </c>
      <c r="G270" s="321">
        <f t="shared" si="38"/>
        <v>0.10008995944831635</v>
      </c>
      <c r="H270" s="243">
        <f t="shared" si="39"/>
        <v>22.826431020638378</v>
      </c>
      <c r="I270" s="316">
        <v>0</v>
      </c>
      <c r="J270" s="275">
        <f t="shared" si="34"/>
        <v>165.56369373467442</v>
      </c>
    </row>
    <row r="271" spans="1:18" ht="19">
      <c r="C271" s="156">
        <f t="shared" si="37"/>
        <v>1100</v>
      </c>
      <c r="D271" s="273">
        <f t="shared" si="35"/>
        <v>9.0262422896619773E-2</v>
      </c>
      <c r="E271" s="274">
        <f t="shared" si="36"/>
        <v>1.9611073933170669E+31</v>
      </c>
      <c r="F271" s="229">
        <f t="shared" si="33"/>
        <v>144.61829015200047</v>
      </c>
      <c r="G271" s="321">
        <f t="shared" si="38"/>
        <v>0.16559071865192521</v>
      </c>
      <c r="H271" s="243">
        <f t="shared" si="39"/>
        <v>23.618877979603454</v>
      </c>
      <c r="I271" s="316">
        <v>0</v>
      </c>
      <c r="J271" s="275">
        <f t="shared" si="34"/>
        <v>168.40275885025585</v>
      </c>
    </row>
    <row r="272" spans="1:18" ht="19">
      <c r="C272" s="156">
        <f t="shared" si="37"/>
        <v>1200</v>
      </c>
      <c r="D272" s="273">
        <f t="shared" si="35"/>
        <v>9.8468097705403393E-2</v>
      </c>
      <c r="E272" s="274">
        <f t="shared" si="36"/>
        <v>2.2345198566939639E+31</v>
      </c>
      <c r="F272" s="229">
        <f t="shared" si="33"/>
        <v>146.42690863410689</v>
      </c>
      <c r="G272" s="321">
        <f t="shared" si="38"/>
        <v>0.25068778264961988</v>
      </c>
      <c r="H272" s="243">
        <f t="shared" si="39"/>
        <v>24.34232537244603</v>
      </c>
      <c r="I272" s="316">
        <v>0</v>
      </c>
      <c r="J272" s="275">
        <f t="shared" si="34"/>
        <v>171.01992178920253</v>
      </c>
    </row>
    <row r="273" spans="3:10" ht="19">
      <c r="C273" s="156">
        <f t="shared" si="37"/>
        <v>1300</v>
      </c>
      <c r="D273" s="273">
        <f t="shared" si="35"/>
        <v>0.10667377251418701</v>
      </c>
      <c r="E273" s="274">
        <f t="shared" si="36"/>
        <v>2.5195755058563723E+31</v>
      </c>
      <c r="F273" s="229">
        <f t="shared" si="33"/>
        <v>148.09067635580899</v>
      </c>
      <c r="G273" s="321">
        <f t="shared" si="38"/>
        <v>0.35471754910532549</v>
      </c>
      <c r="H273" s="243">
        <f t="shared" si="39"/>
        <v>25.007832461126881</v>
      </c>
      <c r="I273" s="316">
        <v>0</v>
      </c>
      <c r="J273" s="275">
        <f t="shared" si="34"/>
        <v>173.45322636604118</v>
      </c>
    </row>
    <row r="274" spans="3:10" ht="19">
      <c r="C274" s="156">
        <f t="shared" si="37"/>
        <v>1400</v>
      </c>
      <c r="D274" s="273">
        <f t="shared" si="35"/>
        <v>0.11487944732297062</v>
      </c>
      <c r="E274" s="274">
        <f t="shared" si="36"/>
        <v>2.8158168454649867E+31</v>
      </c>
      <c r="F274" s="229">
        <f t="shared" si="33"/>
        <v>149.63108466499625</v>
      </c>
      <c r="G274" s="321">
        <f t="shared" si="38"/>
        <v>0.47622861545450601</v>
      </c>
      <c r="H274" s="243">
        <f t="shared" si="39"/>
        <v>25.623995784801789</v>
      </c>
      <c r="I274" s="316">
        <v>0</v>
      </c>
      <c r="J274" s="275">
        <f t="shared" si="34"/>
        <v>175.73130906525256</v>
      </c>
    </row>
    <row r="275" spans="3:10" ht="19">
      <c r="C275" s="156">
        <f t="shared" si="37"/>
        <v>1500</v>
      </c>
      <c r="D275" s="273">
        <f t="shared" si="35"/>
        <v>0.12308512213175424</v>
      </c>
      <c r="E275" s="274">
        <f t="shared" si="36"/>
        <v>3.1228364354005132E+31</v>
      </c>
      <c r="F275" s="229">
        <f t="shared" si="33"/>
        <v>151.06517049172407</v>
      </c>
      <c r="G275" s="321">
        <f t="shared" si="38"/>
        <v>0.61332173944003021</v>
      </c>
      <c r="H275" s="243">
        <f t="shared" si="39"/>
        <v>26.197630115492895</v>
      </c>
      <c r="I275" s="316">
        <v>0</v>
      </c>
      <c r="J275" s="275">
        <f t="shared" si="34"/>
        <v>177.87612234665701</v>
      </c>
    </row>
    <row r="276" spans="3:10" ht="19">
      <c r="C276" s="156">
        <f t="shared" si="37"/>
        <v>1600</v>
      </c>
      <c r="D276" s="273">
        <f t="shared" si="35"/>
        <v>0.13129079694053786</v>
      </c>
      <c r="E276" s="274">
        <f t="shared" si="36"/>
        <v>3.4402683753915625E+31</v>
      </c>
      <c r="F276" s="229">
        <f t="shared" si="33"/>
        <v>152.40666819208965</v>
      </c>
      <c r="G276" s="321">
        <f t="shared" si="38"/>
        <v>0.76391062877035532</v>
      </c>
      <c r="H276" s="243">
        <f t="shared" si="39"/>
        <v>26.734229195639116</v>
      </c>
      <c r="I276" s="316">
        <v>0</v>
      </c>
      <c r="J276" s="275">
        <f t="shared" si="34"/>
        <v>179.90480801649915</v>
      </c>
    </row>
    <row r="277" spans="3:10" ht="19">
      <c r="C277" s="156">
        <f t="shared" si="37"/>
        <v>1700</v>
      </c>
      <c r="D277" s="273">
        <f t="shared" si="35"/>
        <v>0.13949647174932148</v>
      </c>
      <c r="E277" s="274">
        <f t="shared" si="36"/>
        <v>3.7677816901186478E+31</v>
      </c>
      <c r="F277" s="229">
        <f t="shared" si="33"/>
        <v>153.666811581166</v>
      </c>
      <c r="G277" s="321">
        <f t="shared" si="38"/>
        <v>0.92590155720670464</v>
      </c>
      <c r="H277" s="243">
        <f t="shared" si="39"/>
        <v>27.238286551269685</v>
      </c>
      <c r="I277" s="316">
        <v>0</v>
      </c>
      <c r="J277" s="275">
        <f t="shared" si="34"/>
        <v>181.8309996896424</v>
      </c>
    </row>
    <row r="278" spans="3:10" ht="19">
      <c r="C278" s="156">
        <f t="shared" si="37"/>
        <v>1800</v>
      </c>
      <c r="D278" s="273">
        <f t="shared" si="35"/>
        <v>0.1477021465581051</v>
      </c>
      <c r="E278" s="274">
        <f t="shared" si="36"/>
        <v>4.1050751017628756E+31</v>
      </c>
      <c r="F278" s="229">
        <f t="shared" si="33"/>
        <v>154.85490637124312</v>
      </c>
      <c r="G278" s="321">
        <f t="shared" si="38"/>
        <v>1.097305594325777</v>
      </c>
      <c r="H278" s="243">
        <f t="shared" si="39"/>
        <v>27.713524467300555</v>
      </c>
      <c r="I278" s="316">
        <v>0</v>
      </c>
      <c r="J278" s="275">
        <f t="shared" si="34"/>
        <v>183.66573643286944</v>
      </c>
    </row>
    <row r="279" spans="3:10" ht="19">
      <c r="C279" s="156">
        <f t="shared" si="37"/>
        <v>1900</v>
      </c>
      <c r="D279" s="273">
        <f t="shared" si="35"/>
        <v>0.15590782136688872</v>
      </c>
      <c r="E279" s="274">
        <f t="shared" si="36"/>
        <v>4.4518728367628634E+31</v>
      </c>
      <c r="F279" s="229">
        <f t="shared" si="33"/>
        <v>155.97874763256723</v>
      </c>
      <c r="G279" s="321">
        <f t="shared" si="38"/>
        <v>1.2763008511081246</v>
      </c>
      <c r="H279" s="243">
        <f t="shared" si="39"/>
        <v>28.163060971830134</v>
      </c>
      <c r="I279" s="316">
        <v>0</v>
      </c>
      <c r="J279" s="275">
        <f t="shared" si="34"/>
        <v>185.41810945550549</v>
      </c>
    </row>
    <row r="280" spans="3:10" ht="20" thickBot="1">
      <c r="C280" s="165">
        <f t="shared" si="37"/>
        <v>2000</v>
      </c>
      <c r="D280" s="277">
        <f t="shared" si="35"/>
        <v>0.16411349617567234</v>
      </c>
      <c r="E280" s="278">
        <f t="shared" si="36"/>
        <v>4.8079212176363959E+31</v>
      </c>
      <c r="F280" s="246">
        <f t="shared" si="33"/>
        <v>157.04493004970675</v>
      </c>
      <c r="G280" s="322">
        <f>$B$7*SUM((($D$42)/$C280)/(EXP($D$42/$C280)-1)-LN(1-EXP(-$D$42/$C280)))</f>
        <v>1.4612604027687357</v>
      </c>
      <c r="H280" s="247">
        <f>$B$7*LN(EXP(1)*$C280/($A$31*$J$254))</f>
        <v>28.589533938685985</v>
      </c>
      <c r="I280" s="307">
        <v>0</v>
      </c>
      <c r="J280" s="279">
        <f t="shared" si="34"/>
        <v>187.09572439116147</v>
      </c>
    </row>
  </sheetData>
  <mergeCells count="13">
    <mergeCell ref="C130:D130"/>
    <mergeCell ref="A18:V18"/>
    <mergeCell ref="A53:V53"/>
    <mergeCell ref="U93:W93"/>
    <mergeCell ref="C100:D100"/>
    <mergeCell ref="AB101:AH101"/>
    <mergeCell ref="D245:E245"/>
    <mergeCell ref="C131:D131"/>
    <mergeCell ref="H198:K198"/>
    <mergeCell ref="D203:E203"/>
    <mergeCell ref="D212:H212"/>
    <mergeCell ref="H239:K239"/>
    <mergeCell ref="D244:E24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DC9C-4302-D24F-93C6-DF4F73763D10}">
  <dimension ref="A3:AP280"/>
  <sheetViews>
    <sheetView topLeftCell="A82" zoomScale="67" workbookViewId="0">
      <selection activeCell="AL106" sqref="AL106"/>
    </sheetView>
  </sheetViews>
  <sheetFormatPr baseColWidth="10" defaultRowHeight="16"/>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7.8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19" max="19" width="16.5" customWidth="1"/>
    <col min="20" max="20" width="16.1640625"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29" max="29" width="19" customWidth="1"/>
    <col min="30" max="30" width="15.33203125" customWidth="1"/>
    <col min="31" max="31" width="15.5" customWidth="1"/>
    <col min="32" max="32" width="17.5" customWidth="1"/>
    <col min="33" max="33" width="11.33203125" bestFit="1" customWidth="1"/>
    <col min="34" max="34" width="16.83203125" bestFit="1" customWidth="1"/>
    <col min="39" max="39" width="12.1640625" bestFit="1" customWidth="1"/>
    <col min="40" max="40" width="18" customWidth="1"/>
    <col min="41" max="41" width="12.83203125" customWidth="1"/>
  </cols>
  <sheetData>
    <row r="3" spans="1:22">
      <c r="A3" s="1"/>
      <c r="B3" s="1"/>
    </row>
    <row r="4" spans="1:22" ht="20" thickBot="1">
      <c r="A4" s="2"/>
      <c r="B4" s="2"/>
    </row>
    <row r="5" spans="1:22" ht="23" customHeight="1" thickBot="1">
      <c r="A5" s="3" t="s">
        <v>0</v>
      </c>
      <c r="B5" s="4"/>
      <c r="D5" s="5" t="s">
        <v>1</v>
      </c>
      <c r="E5" s="6"/>
      <c r="F5" s="6"/>
      <c r="G5" s="6"/>
      <c r="H5" s="6"/>
      <c r="I5" s="6"/>
      <c r="J5" s="6"/>
      <c r="K5" s="6"/>
      <c r="L5" s="7"/>
      <c r="N5" s="8" t="s">
        <v>2</v>
      </c>
      <c r="O5" s="9"/>
      <c r="P5" s="9"/>
      <c r="Q5" s="10"/>
      <c r="S5" s="11" t="s">
        <v>3</v>
      </c>
      <c r="T5" s="12"/>
      <c r="U5" s="12"/>
      <c r="V5" s="13"/>
    </row>
    <row r="6" spans="1:22" ht="32" customHeight="1">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c r="A7" s="26" t="s">
        <v>21</v>
      </c>
      <c r="B7" s="27">
        <v>8.3143999999999991</v>
      </c>
      <c r="D7" s="28" t="s">
        <v>6</v>
      </c>
      <c r="E7" s="29">
        <v>1</v>
      </c>
      <c r="F7" s="30">
        <v>27.210699999999999</v>
      </c>
      <c r="G7" s="30">
        <v>219474.63</v>
      </c>
      <c r="H7" s="30">
        <v>627.50300000000004</v>
      </c>
      <c r="I7" s="30">
        <v>2625.5</v>
      </c>
      <c r="J7" s="30">
        <v>315777</v>
      </c>
      <c r="K7" s="30">
        <v>4.3599999999999999E-18</v>
      </c>
      <c r="L7" s="31">
        <v>6579660000000000</v>
      </c>
      <c r="N7" s="32" t="s">
        <v>15</v>
      </c>
      <c r="O7" s="33">
        <v>1</v>
      </c>
      <c r="P7" s="33">
        <v>0.52917999956390005</v>
      </c>
      <c r="Q7" s="34">
        <v>5.2917999999999999E-11</v>
      </c>
      <c r="S7" s="35" t="s">
        <v>18</v>
      </c>
      <c r="T7" s="36">
        <v>1</v>
      </c>
      <c r="U7" s="37">
        <v>9.1093800000000005E-31</v>
      </c>
      <c r="V7" s="38">
        <f>U7*V8</f>
        <v>5.4875783132530122E-4</v>
      </c>
    </row>
    <row r="8" spans="1:22" ht="22">
      <c r="A8" s="39" t="s">
        <v>22</v>
      </c>
      <c r="B8" s="40">
        <v>1.38065E-23</v>
      </c>
      <c r="D8" s="28" t="s">
        <v>7</v>
      </c>
      <c r="E8" s="41">
        <v>3.6750199999999997E-2</v>
      </c>
      <c r="F8" s="42">
        <v>1</v>
      </c>
      <c r="G8" s="42">
        <v>8065.73</v>
      </c>
      <c r="H8" s="42">
        <v>23.0609</v>
      </c>
      <c r="I8" s="42">
        <v>96.486900000000006</v>
      </c>
      <c r="J8" s="42">
        <v>11604.9</v>
      </c>
      <c r="K8" s="43">
        <v>1.5999999999999999E-19</v>
      </c>
      <c r="L8" s="44">
        <v>241804000000000</v>
      </c>
      <c r="N8" s="32" t="s">
        <v>16</v>
      </c>
      <c r="O8" s="45">
        <v>1.8897299999999999</v>
      </c>
      <c r="P8" s="33">
        <v>1</v>
      </c>
      <c r="Q8" s="34">
        <v>1E-10</v>
      </c>
      <c r="S8" s="35" t="s">
        <v>19</v>
      </c>
      <c r="T8" s="37">
        <v>1.098E+30</v>
      </c>
      <c r="U8" s="36">
        <v>1</v>
      </c>
      <c r="V8" s="38">
        <f>1/U9</f>
        <v>6.0240963855421691E+26</v>
      </c>
    </row>
    <row r="9" spans="1:22" ht="22" thickBot="1">
      <c r="A9" s="26" t="s">
        <v>23</v>
      </c>
      <c r="B9" s="46">
        <v>1.6021760000000001E-16</v>
      </c>
      <c r="D9" s="28" t="s">
        <v>8</v>
      </c>
      <c r="E9" s="41">
        <v>4.5563300000000003E-6</v>
      </c>
      <c r="F9" s="42">
        <v>1.23981E-4</v>
      </c>
      <c r="G9" s="42">
        <v>1</v>
      </c>
      <c r="H9" s="42">
        <v>2.8590999999999998E-3</v>
      </c>
      <c r="I9" s="42">
        <v>1.1963E-2</v>
      </c>
      <c r="J9" s="42">
        <v>1.42879</v>
      </c>
      <c r="K9" s="42">
        <v>1.9863000000000001E-23</v>
      </c>
      <c r="L9" s="44">
        <v>29979300000</v>
      </c>
      <c r="N9" s="47" t="s">
        <v>17</v>
      </c>
      <c r="O9" s="48">
        <v>18900000000</v>
      </c>
      <c r="P9" s="48">
        <v>10000000000</v>
      </c>
      <c r="Q9" s="49">
        <v>1</v>
      </c>
      <c r="S9" s="50" t="s">
        <v>20</v>
      </c>
      <c r="T9" s="51">
        <f>U9*T8</f>
        <v>1822.6799999999998</v>
      </c>
      <c r="U9" s="51">
        <v>1.6599999999999999E-27</v>
      </c>
      <c r="V9" s="52">
        <v>1</v>
      </c>
    </row>
    <row r="10" spans="1:22" ht="21">
      <c r="A10" s="53" t="s">
        <v>24</v>
      </c>
      <c r="B10" s="54">
        <v>9.1092999999999998E-31</v>
      </c>
      <c r="D10" s="28" t="s">
        <v>9</v>
      </c>
      <c r="E10" s="41">
        <v>1.59362E-3</v>
      </c>
      <c r="F10" s="42">
        <v>4.3363400000000003E-2</v>
      </c>
      <c r="G10" s="42">
        <v>349.75700000000001</v>
      </c>
      <c r="H10" s="42">
        <v>1</v>
      </c>
      <c r="I10" s="42">
        <v>4.1840000000000002</v>
      </c>
      <c r="J10" s="42">
        <v>503.22800000000001</v>
      </c>
      <c r="K10" s="42">
        <v>6.9500000000000005E-21</v>
      </c>
      <c r="L10" s="44">
        <v>10485400000000</v>
      </c>
    </row>
    <row r="11" spans="1:22" ht="22">
      <c r="A11" s="26" t="s">
        <v>25</v>
      </c>
      <c r="B11" s="55">
        <v>8.8541799999999997E-12</v>
      </c>
      <c r="D11" s="28" t="s">
        <v>10</v>
      </c>
      <c r="E11" s="41">
        <v>3.8088E-4</v>
      </c>
      <c r="F11" s="42">
        <v>1.0364099999999999E-2</v>
      </c>
      <c r="G11" s="42">
        <v>83.593000000000004</v>
      </c>
      <c r="H11" s="42">
        <v>0.23900099999999999</v>
      </c>
      <c r="I11" s="42">
        <v>1</v>
      </c>
      <c r="J11" s="42">
        <v>120.274</v>
      </c>
      <c r="K11" s="42">
        <v>1.6599999999999999E-21</v>
      </c>
      <c r="L11" s="44">
        <v>2506070000000</v>
      </c>
    </row>
    <row r="12" spans="1:22" ht="22">
      <c r="A12" s="53" t="s">
        <v>26</v>
      </c>
      <c r="B12" s="54">
        <v>5.2917700000000002E-12</v>
      </c>
      <c r="D12" s="56" t="s">
        <v>11</v>
      </c>
      <c r="E12" s="41">
        <v>3.1667800000000002E-6</v>
      </c>
      <c r="F12" s="42">
        <v>8.6170500000000004E-5</v>
      </c>
      <c r="G12" s="42">
        <v>0.69502799999999998</v>
      </c>
      <c r="H12" s="42">
        <v>1.9872000000000002E-3</v>
      </c>
      <c r="I12" s="42">
        <v>8.3140000000000002E-3</v>
      </c>
      <c r="J12" s="42">
        <v>1</v>
      </c>
      <c r="K12" s="42">
        <v>1.38054E-23</v>
      </c>
      <c r="L12" s="44">
        <v>20836400000</v>
      </c>
    </row>
    <row r="13" spans="1:22" ht="19">
      <c r="A13" s="26" t="s">
        <v>27</v>
      </c>
      <c r="B13" s="57">
        <f>298.15</f>
        <v>298.14999999999998</v>
      </c>
      <c r="D13" s="28" t="s">
        <v>12</v>
      </c>
      <c r="E13" s="41">
        <v>2.294E+17</v>
      </c>
      <c r="F13" s="42">
        <v>6.24181E+18</v>
      </c>
      <c r="G13" s="42">
        <v>5.0344500000000003E+22</v>
      </c>
      <c r="H13" s="42">
        <v>1.44E+20</v>
      </c>
      <c r="I13" s="42">
        <v>6.02E+20</v>
      </c>
      <c r="J13" s="42">
        <v>7.2435399999999999E+22</v>
      </c>
      <c r="K13" s="42">
        <v>1</v>
      </c>
      <c r="L13" s="44">
        <v>1.5093E+33</v>
      </c>
    </row>
    <row r="14" spans="1:22" ht="20" thickBot="1">
      <c r="A14" s="26" t="s">
        <v>28</v>
      </c>
      <c r="B14" s="58">
        <v>6.626068E-34</v>
      </c>
      <c r="D14" s="59" t="s">
        <v>13</v>
      </c>
      <c r="E14" s="60">
        <v>1.5198300000000001E-16</v>
      </c>
      <c r="F14" s="61">
        <v>4.13558E-15</v>
      </c>
      <c r="G14" s="61">
        <v>3.3356499999999997E-11</v>
      </c>
      <c r="H14" s="61">
        <v>9.5370000000000002E-14</v>
      </c>
      <c r="I14" s="61"/>
      <c r="J14" s="61">
        <v>4.7993E-11</v>
      </c>
      <c r="K14" s="61">
        <v>6.62561E-34</v>
      </c>
      <c r="L14" s="62">
        <v>1</v>
      </c>
    </row>
    <row r="15" spans="1:22" ht="19">
      <c r="A15" s="53" t="s">
        <v>29</v>
      </c>
      <c r="B15" s="63">
        <v>1</v>
      </c>
    </row>
    <row r="16" spans="1:22" ht="19">
      <c r="A16" s="26" t="s">
        <v>30</v>
      </c>
      <c r="B16" s="57">
        <v>101325</v>
      </c>
    </row>
    <row r="17" spans="1:27" ht="21">
      <c r="A17" s="14" t="s">
        <v>31</v>
      </c>
      <c r="B17" s="64">
        <v>299792459</v>
      </c>
    </row>
    <row r="18" spans="1:27" ht="34" thickBot="1">
      <c r="A18" s="474" t="s">
        <v>148</v>
      </c>
      <c r="B18" s="474"/>
      <c r="C18" s="474"/>
      <c r="D18" s="474"/>
      <c r="E18" s="474"/>
      <c r="F18" s="474"/>
      <c r="G18" s="474"/>
      <c r="H18" s="474"/>
      <c r="I18" s="474"/>
      <c r="J18" s="474"/>
      <c r="K18" s="474"/>
      <c r="L18" s="474"/>
      <c r="M18" s="474"/>
      <c r="N18" s="474"/>
      <c r="O18" s="474"/>
      <c r="P18" s="474"/>
      <c r="Q18" s="474"/>
      <c r="R18" s="474"/>
      <c r="S18" s="474"/>
      <c r="T18" s="474"/>
      <c r="U18" s="474"/>
      <c r="V18" s="474"/>
    </row>
    <row r="19" spans="1:27" ht="17" thickTop="1"/>
    <row r="20" spans="1:27" ht="17" thickBot="1"/>
    <row r="21" spans="1:27" ht="20" thickBot="1">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c r="A22" s="71">
        <v>300</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c r="A23" s="66"/>
      <c r="B23" s="66"/>
      <c r="C23" s="84" t="s">
        <v>44</v>
      </c>
      <c r="D23" s="85">
        <v>7.2406699999999997</v>
      </c>
      <c r="E23" s="86">
        <v>23.22364</v>
      </c>
      <c r="F23" s="87">
        <v>25.343810000000001</v>
      </c>
      <c r="G23" s="66"/>
      <c r="H23" s="88">
        <v>3.2774999999999999E-2</v>
      </c>
      <c r="I23" s="89">
        <f>H23*$H$7</f>
        <v>20.566410825000002</v>
      </c>
      <c r="J23" s="89">
        <f>H23*$I$7</f>
        <v>86.05076249999999</v>
      </c>
      <c r="K23" s="90">
        <f>H23*$F$7</f>
        <v>0.89183069249999991</v>
      </c>
      <c r="L23" s="91">
        <f>H23*$K$7</f>
        <v>1.4289899999999998E-19</v>
      </c>
      <c r="M23" s="66"/>
      <c r="N23" s="66"/>
      <c r="O23" s="92" t="s">
        <v>45</v>
      </c>
      <c r="P23" s="93">
        <v>22.521999999999998</v>
      </c>
      <c r="Q23" s="94">
        <v>8.1050000000000004</v>
      </c>
      <c r="R23" s="95">
        <v>52.853000000000002</v>
      </c>
      <c r="S23" s="66"/>
      <c r="T23" s="66"/>
      <c r="U23" s="66"/>
      <c r="V23" s="66"/>
      <c r="W23" s="66"/>
      <c r="X23" s="66"/>
      <c r="Y23" s="66"/>
      <c r="Z23" s="66"/>
      <c r="AA23" s="66"/>
    </row>
    <row r="24" spans="1:27" ht="22" thickBot="1">
      <c r="A24" s="65" t="s">
        <v>46</v>
      </c>
      <c r="B24" s="66"/>
      <c r="C24" s="96" t="s">
        <v>47</v>
      </c>
      <c r="D24" s="97">
        <f>D23*$U$9</f>
        <v>1.2019512199999998E-26</v>
      </c>
      <c r="E24" s="98">
        <f t="shared" ref="E24:F24" si="0">E23*$U$9</f>
        <v>3.8551242399999999E-26</v>
      </c>
      <c r="F24" s="99">
        <f t="shared" si="0"/>
        <v>4.2070724599999997E-26</v>
      </c>
      <c r="G24" s="66"/>
      <c r="M24" s="66"/>
      <c r="N24" s="66"/>
      <c r="O24" s="100" t="s">
        <v>48</v>
      </c>
      <c r="P24" s="93">
        <v>0</v>
      </c>
      <c r="Q24" s="94">
        <v>0</v>
      </c>
      <c r="R24" s="95">
        <v>1.377</v>
      </c>
      <c r="S24" s="66"/>
      <c r="T24" s="66"/>
      <c r="U24" s="66"/>
      <c r="V24" s="66"/>
      <c r="W24" s="66"/>
      <c r="X24" s="66"/>
      <c r="Y24" s="66"/>
      <c r="Z24" s="66"/>
      <c r="AA24" s="66"/>
    </row>
    <row r="25" spans="1:27" ht="22" thickBot="1">
      <c r="A25" s="71">
        <v>1</v>
      </c>
      <c r="B25" s="66"/>
      <c r="C25" s="101" t="s">
        <v>49</v>
      </c>
      <c r="D25" s="102">
        <f>D24*($Q$8)^2</f>
        <v>1.2019512199999999E-46</v>
      </c>
      <c r="E25" s="103">
        <f>E24*($Q$8)^2</f>
        <v>3.85512424E-46</v>
      </c>
      <c r="F25" s="104">
        <f t="shared" ref="F25" si="1">F24*($Q$8)^2</f>
        <v>4.2070724599999998E-46</v>
      </c>
      <c r="G25" s="66"/>
      <c r="M25" s="66"/>
      <c r="N25" s="66"/>
      <c r="O25" s="100" t="s">
        <v>50</v>
      </c>
      <c r="P25" s="93">
        <v>0.89400000000000002</v>
      </c>
      <c r="Q25" s="94">
        <v>2.9809999999999999</v>
      </c>
      <c r="R25" s="95">
        <v>34.643000000000001</v>
      </c>
      <c r="S25" s="66"/>
      <c r="T25" s="66"/>
      <c r="U25" s="66"/>
      <c r="V25" s="66"/>
      <c r="W25" s="66"/>
      <c r="X25" s="66"/>
      <c r="Y25" s="66"/>
      <c r="Z25" s="66"/>
      <c r="AA25" s="66"/>
    </row>
    <row r="26" spans="1:27" ht="20" thickBot="1">
      <c r="A26" s="66"/>
      <c r="B26" s="66"/>
      <c r="C26" s="66"/>
      <c r="D26" s="66"/>
      <c r="E26" s="66"/>
      <c r="F26" s="66"/>
      <c r="G26" s="66"/>
      <c r="H26" s="65" t="s">
        <v>51</v>
      </c>
      <c r="I26" s="66"/>
      <c r="J26" s="66"/>
      <c r="K26" s="66"/>
      <c r="M26" s="66"/>
      <c r="N26" s="66"/>
      <c r="O26" s="100" t="s">
        <v>52</v>
      </c>
      <c r="P26" s="93">
        <v>0.89400000000000002</v>
      </c>
      <c r="Q26" s="94">
        <v>2.9809999999999999</v>
      </c>
      <c r="R26" s="95">
        <v>16.125</v>
      </c>
      <c r="S26" s="66"/>
      <c r="T26" s="66"/>
      <c r="U26" s="66"/>
      <c r="V26" s="66"/>
      <c r="W26" s="66"/>
      <c r="X26" s="66"/>
      <c r="Y26" s="66"/>
      <c r="Z26" s="66"/>
      <c r="AA26" s="66"/>
    </row>
    <row r="27" spans="1:27" ht="20" thickBot="1">
      <c r="A27" s="65" t="s">
        <v>53</v>
      </c>
      <c r="B27" s="66"/>
      <c r="C27" s="65" t="s">
        <v>54</v>
      </c>
      <c r="D27" s="66"/>
      <c r="E27" s="66"/>
      <c r="F27" s="66"/>
      <c r="G27" s="66"/>
      <c r="H27" s="76" t="s">
        <v>40</v>
      </c>
      <c r="I27" s="77" t="s">
        <v>9</v>
      </c>
      <c r="J27" s="77" t="s">
        <v>10</v>
      </c>
      <c r="K27" s="78" t="s">
        <v>7</v>
      </c>
      <c r="L27" s="79" t="s">
        <v>12</v>
      </c>
      <c r="M27" s="66"/>
      <c r="N27" s="66"/>
      <c r="O27" s="376" t="s">
        <v>55</v>
      </c>
      <c r="P27" s="377">
        <v>20.734000000000002</v>
      </c>
      <c r="Q27" s="378">
        <v>2.1440000000000001</v>
      </c>
      <c r="R27" s="379">
        <v>0.70699999999999996</v>
      </c>
      <c r="S27" s="66"/>
      <c r="T27" s="66"/>
      <c r="U27" s="66"/>
      <c r="V27" s="66"/>
      <c r="W27" s="66"/>
      <c r="X27" s="66"/>
      <c r="Y27" s="66"/>
      <c r="Z27" s="66"/>
      <c r="AA27" s="66"/>
    </row>
    <row r="28" spans="1:27" ht="20" thickBot="1">
      <c r="A28" s="71">
        <v>18.034369999999999</v>
      </c>
      <c r="B28" s="66"/>
      <c r="C28" s="109" t="s">
        <v>37</v>
      </c>
      <c r="D28" s="110" t="s">
        <v>38</v>
      </c>
      <c r="E28" s="111" t="s">
        <v>39</v>
      </c>
      <c r="F28" s="66"/>
      <c r="G28" s="66"/>
      <c r="H28" s="112">
        <v>3.5890999999999999E-2</v>
      </c>
      <c r="I28" s="89">
        <f>H28*$H$7</f>
        <v>22.521710173000002</v>
      </c>
      <c r="J28" s="89">
        <f>H28*$I$7</f>
        <v>94.231820499999998</v>
      </c>
      <c r="K28" s="113">
        <f>H28*$F$7</f>
        <v>0.97661923369999992</v>
      </c>
      <c r="L28" s="91">
        <f>H28*$K$7</f>
        <v>1.5648475999999998E-19</v>
      </c>
      <c r="M28" s="66"/>
      <c r="N28" s="66"/>
      <c r="O28" s="402"/>
      <c r="P28" s="190"/>
      <c r="Q28" s="190"/>
      <c r="R28" s="190"/>
      <c r="S28" s="66"/>
      <c r="T28" s="66"/>
      <c r="U28" s="66"/>
      <c r="V28" s="66"/>
      <c r="W28" s="66"/>
      <c r="X28" s="66"/>
      <c r="Y28" s="66"/>
      <c r="Z28" s="66"/>
      <c r="AA28" s="66"/>
    </row>
    <row r="29" spans="1:27" ht="20" thickBot="1">
      <c r="A29" s="66"/>
      <c r="B29" s="66"/>
      <c r="C29" s="112">
        <v>11.96213</v>
      </c>
      <c r="D29" s="323">
        <v>3.7295500000000001</v>
      </c>
      <c r="E29" s="310">
        <v>3.4175499999999999</v>
      </c>
      <c r="F29" s="66"/>
      <c r="G29" s="66"/>
      <c r="L29" s="66"/>
      <c r="M29" s="66"/>
      <c r="N29" s="66"/>
      <c r="O29" s="74"/>
      <c r="P29" s="212"/>
      <c r="Q29" s="212"/>
      <c r="R29" s="212"/>
      <c r="S29" s="66"/>
      <c r="T29" s="66"/>
      <c r="U29" s="66"/>
      <c r="V29" s="66"/>
      <c r="W29" s="66"/>
      <c r="X29" s="66"/>
      <c r="Y29" s="66"/>
      <c r="Z29" s="66"/>
      <c r="AA29" s="66"/>
    </row>
    <row r="30" spans="1:27" ht="20" thickBot="1">
      <c r="A30" s="65" t="s">
        <v>57</v>
      </c>
      <c r="B30" s="66"/>
      <c r="F30" s="66"/>
      <c r="G30" s="66"/>
      <c r="M30" s="66"/>
      <c r="O30" s="380" t="s">
        <v>58</v>
      </c>
      <c r="P30" s="381"/>
      <c r="Q30" s="381"/>
      <c r="R30" s="372"/>
      <c r="S30" s="66"/>
      <c r="T30" s="66"/>
      <c r="U30" s="66"/>
      <c r="V30" s="66"/>
      <c r="W30" s="66"/>
      <c r="X30" s="66"/>
      <c r="Y30" s="66"/>
      <c r="Z30" s="66"/>
      <c r="AA30" s="66"/>
    </row>
    <row r="31" spans="1:27" ht="20" thickBot="1">
      <c r="A31" s="71">
        <v>1</v>
      </c>
      <c r="B31" s="66"/>
      <c r="C31" s="65" t="s">
        <v>59</v>
      </c>
      <c r="D31" s="66"/>
      <c r="E31" s="66"/>
      <c r="F31" s="66"/>
      <c r="G31" s="66"/>
      <c r="H31" s="65" t="s">
        <v>60</v>
      </c>
      <c r="I31" s="66"/>
      <c r="J31" s="66"/>
      <c r="K31" s="66"/>
      <c r="L31" s="66"/>
      <c r="M31" s="66"/>
      <c r="N31" s="66"/>
      <c r="O31" s="119"/>
      <c r="P31" s="120" t="s">
        <v>61</v>
      </c>
      <c r="Q31" s="121" t="s">
        <v>62</v>
      </c>
      <c r="R31" s="122" t="s">
        <v>63</v>
      </c>
      <c r="S31" s="66"/>
      <c r="T31" s="66"/>
      <c r="U31" s="66"/>
      <c r="V31" s="66"/>
      <c r="W31" s="66"/>
      <c r="X31" s="66"/>
      <c r="Y31" s="66"/>
      <c r="Z31" s="66"/>
      <c r="AA31" s="66"/>
    </row>
    <row r="32" spans="1:27" ht="20" thickBot="1">
      <c r="A32" s="66"/>
      <c r="B32" s="66"/>
      <c r="C32" s="123" t="s">
        <v>37</v>
      </c>
      <c r="D32" s="123" t="s">
        <v>38</v>
      </c>
      <c r="E32" s="123" t="s">
        <v>39</v>
      </c>
      <c r="F32" s="66"/>
      <c r="G32" s="66"/>
      <c r="H32" s="76" t="s">
        <v>40</v>
      </c>
      <c r="I32" s="77" t="s">
        <v>9</v>
      </c>
      <c r="J32" s="77" t="s">
        <v>10</v>
      </c>
      <c r="K32" s="78" t="s">
        <v>7</v>
      </c>
      <c r="L32" s="79" t="s">
        <v>12</v>
      </c>
      <c r="M32" s="66"/>
      <c r="N32" s="66"/>
      <c r="O32" s="92" t="s">
        <v>48</v>
      </c>
      <c r="P32" s="124">
        <v>2</v>
      </c>
      <c r="Q32" s="125">
        <v>0.30103000000000002</v>
      </c>
      <c r="R32" s="125">
        <v>0.69314699999999996</v>
      </c>
      <c r="S32" s="66"/>
      <c r="T32" s="66"/>
      <c r="U32" s="66"/>
      <c r="V32" s="66"/>
      <c r="W32" s="66"/>
      <c r="X32" s="66"/>
      <c r="Y32" s="66"/>
      <c r="Z32" s="66"/>
      <c r="AA32" s="66"/>
    </row>
    <row r="33" spans="1:27" ht="20" thickBot="1">
      <c r="A33" s="66"/>
      <c r="B33" s="66"/>
      <c r="C33" s="282">
        <v>249.25074000000001</v>
      </c>
      <c r="D33" s="283">
        <v>77.711380000000005</v>
      </c>
      <c r="E33" s="284">
        <v>71.210340000000002</v>
      </c>
      <c r="F33" s="66"/>
      <c r="G33" s="66"/>
      <c r="H33" s="112">
        <v>3.6840999999999999E-2</v>
      </c>
      <c r="I33" s="89">
        <f>H33*$H$7</f>
        <v>23.117838023000001</v>
      </c>
      <c r="J33" s="89">
        <f>H33*$I$7</f>
        <v>96.726045499999998</v>
      </c>
      <c r="K33" s="113">
        <f>H33*$F$7</f>
        <v>1.0024693987</v>
      </c>
      <c r="L33" s="91">
        <f>H33*$K$7</f>
        <v>1.6062675999999998E-19</v>
      </c>
      <c r="M33" s="66"/>
      <c r="N33" s="66"/>
      <c r="O33" s="100" t="s">
        <v>50</v>
      </c>
      <c r="P33" s="93">
        <v>3057190</v>
      </c>
      <c r="Q33" s="94">
        <v>6.4853230000000002</v>
      </c>
      <c r="R33" s="94">
        <v>14.933007999999999</v>
      </c>
      <c r="S33" s="66"/>
      <c r="T33" s="66"/>
      <c r="U33" s="66"/>
      <c r="V33" s="66"/>
      <c r="W33" s="66"/>
      <c r="X33" s="66"/>
      <c r="Y33" s="66"/>
      <c r="Z33" s="66"/>
      <c r="AA33" s="66"/>
    </row>
    <row r="34" spans="1:27" ht="19">
      <c r="A34" s="66"/>
      <c r="B34" s="66"/>
      <c r="E34" s="66"/>
      <c r="F34" s="66"/>
      <c r="G34" s="66"/>
      <c r="M34" s="66"/>
      <c r="N34" s="66"/>
      <c r="O34" s="100" t="s">
        <v>52</v>
      </c>
      <c r="P34" s="93">
        <v>745.87599999999998</v>
      </c>
      <c r="Q34" s="94">
        <v>2.8726660000000002</v>
      </c>
      <c r="R34" s="94">
        <v>6.6145589999999999</v>
      </c>
      <c r="S34" s="66"/>
      <c r="T34" s="66"/>
      <c r="U34" s="66"/>
      <c r="V34" s="66"/>
      <c r="W34" s="66"/>
      <c r="X34" s="66"/>
      <c r="Y34" s="66"/>
      <c r="Z34" s="66"/>
      <c r="AA34" s="66"/>
    </row>
    <row r="35" spans="1:27" ht="19">
      <c r="A35" s="66"/>
      <c r="B35" s="66"/>
      <c r="E35" s="66"/>
      <c r="F35" s="66"/>
      <c r="H35" s="66"/>
      <c r="I35" s="66"/>
      <c r="J35" s="66"/>
      <c r="K35" s="66"/>
      <c r="L35" s="66"/>
      <c r="M35" s="66"/>
      <c r="N35" s="66"/>
      <c r="O35" s="100" t="s">
        <v>64</v>
      </c>
      <c r="P35" s="93">
        <v>5.1228600000000003E-6</v>
      </c>
      <c r="Q35" s="94">
        <v>-5.2904869999999997</v>
      </c>
      <c r="R35" s="94">
        <v>-12.181797</v>
      </c>
      <c r="S35" s="66"/>
      <c r="T35" s="66"/>
      <c r="U35" s="66"/>
      <c r="V35" s="66"/>
      <c r="W35" s="66"/>
      <c r="X35" s="66"/>
      <c r="Y35" s="66"/>
      <c r="Z35" s="66"/>
      <c r="AA35" s="66"/>
    </row>
    <row r="36" spans="1:27" ht="20" thickBot="1">
      <c r="A36" s="66"/>
      <c r="B36" s="66"/>
      <c r="C36" s="65" t="s">
        <v>65</v>
      </c>
      <c r="D36" s="66"/>
      <c r="E36" s="66"/>
      <c r="F36" s="66"/>
      <c r="H36" s="65" t="s">
        <v>66</v>
      </c>
      <c r="I36" s="66"/>
      <c r="J36" s="66"/>
      <c r="K36" s="66"/>
      <c r="L36" s="66"/>
      <c r="M36" s="66"/>
      <c r="N36" s="66"/>
      <c r="O36" s="100" t="s">
        <v>67</v>
      </c>
      <c r="P36" s="93">
        <v>4922400000</v>
      </c>
      <c r="Q36" s="94">
        <v>9.6921769999999992</v>
      </c>
      <c r="R36" s="94">
        <v>22.317060999999999</v>
      </c>
      <c r="S36" s="66"/>
      <c r="T36" s="66"/>
      <c r="U36" s="66"/>
      <c r="V36" s="66"/>
      <c r="W36" s="66"/>
      <c r="X36" s="66"/>
      <c r="Y36" s="66"/>
      <c r="Z36" s="66"/>
      <c r="AA36" s="66"/>
    </row>
    <row r="37" spans="1:27" ht="20" thickBot="1">
      <c r="A37" s="66"/>
      <c r="B37" s="66"/>
      <c r="C37" s="128" t="s">
        <v>68</v>
      </c>
      <c r="D37" s="129">
        <v>86051.9</v>
      </c>
      <c r="E37" s="66"/>
      <c r="F37" s="66"/>
      <c r="H37" s="76" t="s">
        <v>40</v>
      </c>
      <c r="I37" s="77" t="s">
        <v>9</v>
      </c>
      <c r="J37" s="77" t="s">
        <v>10</v>
      </c>
      <c r="K37" s="79" t="s">
        <v>7</v>
      </c>
      <c r="L37" s="79" t="s">
        <v>12</v>
      </c>
      <c r="M37" s="66"/>
      <c r="N37" s="66"/>
      <c r="O37" s="100" t="s">
        <v>69</v>
      </c>
      <c r="P37" s="93">
        <v>1.12329E-15</v>
      </c>
      <c r="Q37" s="94">
        <v>-14.949506</v>
      </c>
      <c r="R37" s="94">
        <v>-34.422511</v>
      </c>
      <c r="S37" s="66"/>
      <c r="T37" s="66"/>
      <c r="U37" s="66"/>
      <c r="V37" s="66"/>
      <c r="W37" s="66"/>
      <c r="X37" s="66"/>
      <c r="Y37" s="66"/>
      <c r="Z37" s="66"/>
      <c r="AA37" s="66"/>
    </row>
    <row r="38" spans="1:27" ht="20" thickBot="1">
      <c r="A38" s="66"/>
      <c r="B38" s="66"/>
      <c r="C38" s="130" t="s">
        <v>70</v>
      </c>
      <c r="D38" s="131">
        <v>20.56691</v>
      </c>
      <c r="E38" s="66"/>
      <c r="F38" s="66"/>
      <c r="H38" s="112">
        <v>1.1573E-2</v>
      </c>
      <c r="I38" s="89">
        <f>H38*$H$7</f>
        <v>7.2620922190000003</v>
      </c>
      <c r="J38" s="89">
        <f>H38*$I$7</f>
        <v>30.384911500000001</v>
      </c>
      <c r="K38" s="113">
        <f>H38*$F$7</f>
        <v>0.31490943109999997</v>
      </c>
      <c r="L38" s="91">
        <f>H38*$K$7</f>
        <v>5.0458279999999999E-20</v>
      </c>
      <c r="M38" s="66"/>
      <c r="N38" s="66"/>
      <c r="O38" s="376" t="s">
        <v>71</v>
      </c>
      <c r="P38" s="377">
        <v>1.07934</v>
      </c>
      <c r="Q38" s="378">
        <v>3.3156999999999999E-2</v>
      </c>
      <c r="R38" s="378">
        <v>7.6347999999999999E-2</v>
      </c>
      <c r="S38" s="66"/>
      <c r="T38" s="66"/>
      <c r="U38" s="66"/>
      <c r="V38" s="66"/>
      <c r="W38" s="66"/>
      <c r="X38" s="66"/>
      <c r="Y38" s="66"/>
      <c r="Z38" s="66"/>
      <c r="AA38" s="66"/>
    </row>
    <row r="39" spans="1:27" ht="19">
      <c r="A39" s="66"/>
      <c r="B39" s="66"/>
      <c r="C39" s="66"/>
      <c r="D39" s="66"/>
      <c r="E39" s="66"/>
      <c r="F39" s="66"/>
      <c r="J39" s="66"/>
      <c r="K39" s="66"/>
      <c r="L39" s="66"/>
      <c r="M39" s="66"/>
      <c r="N39" s="66"/>
      <c r="O39" s="403"/>
      <c r="P39" s="190"/>
      <c r="Q39" s="190"/>
      <c r="R39" s="190"/>
      <c r="S39" s="66"/>
      <c r="T39" s="66"/>
      <c r="U39" s="66"/>
      <c r="V39" s="66"/>
      <c r="W39" s="66"/>
      <c r="X39" s="66"/>
      <c r="Y39" s="66"/>
      <c r="Z39" s="66"/>
      <c r="AA39" s="66"/>
    </row>
    <row r="40" spans="1:27" ht="20" thickBot="1">
      <c r="A40" s="66"/>
      <c r="B40" s="66"/>
      <c r="C40" s="66"/>
      <c r="D40" s="66"/>
      <c r="E40" s="66"/>
      <c r="F40" s="66"/>
      <c r="J40" s="66"/>
      <c r="K40" s="66"/>
      <c r="L40" s="66"/>
      <c r="M40" s="66"/>
      <c r="N40" s="66"/>
      <c r="O40" s="132"/>
      <c r="P40" s="66"/>
      <c r="Q40" s="66"/>
      <c r="R40" s="66"/>
      <c r="S40" s="66"/>
      <c r="T40" s="66"/>
      <c r="U40" s="66"/>
      <c r="V40" s="66"/>
      <c r="W40" s="66"/>
      <c r="X40" s="66"/>
      <c r="Y40" s="66"/>
      <c r="Z40" s="66"/>
      <c r="AA40" s="66"/>
    </row>
    <row r="41" spans="1:27" ht="64" customHeight="1" thickBot="1">
      <c r="A41" s="66"/>
      <c r="B41" s="66"/>
      <c r="D41" s="382" t="s">
        <v>72</v>
      </c>
      <c r="E41" s="135" t="s">
        <v>73</v>
      </c>
      <c r="F41" s="135" t="s">
        <v>74</v>
      </c>
      <c r="G41" s="383" t="s">
        <v>75</v>
      </c>
      <c r="I41" s="66"/>
      <c r="J41" s="66"/>
      <c r="K41" s="66"/>
      <c r="L41" s="66"/>
      <c r="M41" s="66"/>
      <c r="N41" s="66"/>
      <c r="O41" s="123"/>
      <c r="P41" s="66"/>
      <c r="Q41" s="66"/>
      <c r="R41" s="66"/>
      <c r="S41" s="66"/>
      <c r="T41" s="66"/>
      <c r="U41" s="66"/>
      <c r="V41" s="66"/>
      <c r="W41" s="66"/>
      <c r="X41" s="66"/>
      <c r="Y41" s="66"/>
      <c r="Z41" s="66"/>
      <c r="AA41" s="66"/>
    </row>
    <row r="42" spans="1:27" ht="19">
      <c r="A42" s="66"/>
      <c r="B42" s="66"/>
      <c r="C42" s="194">
        <v>1</v>
      </c>
      <c r="D42" s="384" t="s">
        <v>56</v>
      </c>
      <c r="E42" s="385">
        <v>-1365.604</v>
      </c>
      <c r="F42" s="386">
        <f>E42*$L$9</f>
        <v>-40939851997200</v>
      </c>
      <c r="G42" s="385">
        <v>1.0901000000000001</v>
      </c>
      <c r="H42" s="139"/>
      <c r="K42" s="66"/>
      <c r="L42" s="66"/>
      <c r="M42" s="66"/>
      <c r="N42" s="66"/>
      <c r="O42" s="123"/>
      <c r="P42" s="66"/>
      <c r="Q42" s="66"/>
      <c r="R42" s="66"/>
      <c r="S42" s="66"/>
      <c r="T42" s="66"/>
      <c r="U42" s="66"/>
      <c r="V42" s="66"/>
      <c r="W42" s="66"/>
      <c r="X42" s="66"/>
      <c r="Y42" s="66"/>
      <c r="Z42" s="66"/>
      <c r="AA42" s="66"/>
    </row>
    <row r="43" spans="1:27" ht="19">
      <c r="A43" s="66"/>
      <c r="B43" s="66"/>
      <c r="C43" s="199">
        <f>C42+1</f>
        <v>2</v>
      </c>
      <c r="D43" s="387">
        <v>1001.13</v>
      </c>
      <c r="E43" s="388">
        <v>695.82069999999999</v>
      </c>
      <c r="F43" s="389">
        <f t="shared" ref="F43:F50" si="2">E43*$L$9</f>
        <v>20860217511510</v>
      </c>
      <c r="G43" s="388">
        <v>1.0139</v>
      </c>
      <c r="H43" s="139"/>
      <c r="K43" s="66"/>
      <c r="L43" s="66"/>
      <c r="M43" s="66"/>
      <c r="N43" s="66"/>
      <c r="O43" s="66"/>
      <c r="P43" s="66"/>
      <c r="Q43" s="66"/>
      <c r="R43" s="66"/>
      <c r="S43" s="66"/>
      <c r="T43" s="66"/>
      <c r="U43" s="66"/>
      <c r="V43" s="66"/>
      <c r="W43" s="66"/>
      <c r="X43" s="66"/>
      <c r="Y43" s="66"/>
      <c r="Z43" s="66"/>
      <c r="AA43" s="66"/>
    </row>
    <row r="44" spans="1:27" ht="20" thickBot="1">
      <c r="A44" s="66"/>
      <c r="B44" s="66"/>
      <c r="C44" s="199">
        <f t="shared" ref="C44:C50" si="3">C43+1</f>
        <v>3</v>
      </c>
      <c r="D44" s="387">
        <v>1027.52</v>
      </c>
      <c r="E44" s="388">
        <v>714.16210000000001</v>
      </c>
      <c r="F44" s="389">
        <f t="shared" si="2"/>
        <v>21410079844530</v>
      </c>
      <c r="G44" s="388">
        <v>1.0304</v>
      </c>
      <c r="H44" s="139"/>
      <c r="J44" s="141" t="s">
        <v>76</v>
      </c>
      <c r="M44" s="66"/>
      <c r="N44" s="66"/>
      <c r="O44" s="66"/>
      <c r="P44" s="66"/>
      <c r="Q44" s="66"/>
      <c r="R44" s="66"/>
      <c r="S44" s="66"/>
      <c r="T44" s="66"/>
      <c r="U44" s="66"/>
      <c r="V44" s="66"/>
      <c r="W44" s="66"/>
      <c r="X44" s="66"/>
      <c r="Y44" s="66"/>
      <c r="Z44" s="66"/>
      <c r="AA44" s="66"/>
    </row>
    <row r="45" spans="1:27" ht="20" thickBot="1">
      <c r="A45" s="66"/>
      <c r="B45" s="66"/>
      <c r="C45" s="199">
        <f t="shared" si="3"/>
        <v>4</v>
      </c>
      <c r="D45" s="387">
        <v>1619.84</v>
      </c>
      <c r="E45" s="388">
        <v>1125.8463999999999</v>
      </c>
      <c r="F45" s="389">
        <f t="shared" si="2"/>
        <v>33752086979519.996</v>
      </c>
      <c r="G45" s="388">
        <v>1.1209</v>
      </c>
      <c r="H45" s="139"/>
      <c r="J45" s="142">
        <v>1</v>
      </c>
      <c r="K45" s="291">
        <f>J45+1</f>
        <v>2</v>
      </c>
      <c r="L45" s="143">
        <f>K45+1</f>
        <v>3</v>
      </c>
      <c r="M45" s="143">
        <f t="shared" ref="M45:N45" si="4">L45+1</f>
        <v>4</v>
      </c>
      <c r="N45" s="143">
        <f t="shared" si="4"/>
        <v>5</v>
      </c>
      <c r="O45" s="66"/>
      <c r="P45" s="66"/>
      <c r="Q45" s="66"/>
      <c r="R45" s="66"/>
      <c r="S45" s="66"/>
      <c r="T45" s="66"/>
      <c r="U45" s="66"/>
      <c r="V45" s="66"/>
      <c r="W45" s="66"/>
      <c r="X45" s="66"/>
      <c r="Y45" s="66"/>
      <c r="Z45" s="66"/>
      <c r="AA45" s="66"/>
    </row>
    <row r="46" spans="1:27" ht="20" thickBot="1">
      <c r="A46" s="66"/>
      <c r="B46" s="66"/>
      <c r="C46" s="199">
        <f t="shared" si="3"/>
        <v>5</v>
      </c>
      <c r="D46" s="387">
        <v>1868.9</v>
      </c>
      <c r="E46" s="388">
        <v>1298.9522999999999</v>
      </c>
      <c r="F46" s="389">
        <f t="shared" si="2"/>
        <v>38941680687390</v>
      </c>
      <c r="G46" s="388">
        <v>1.0398000000000001</v>
      </c>
      <c r="H46" s="139"/>
      <c r="J46" s="144">
        <v>-57.021193874200002</v>
      </c>
      <c r="K46" s="292">
        <v>-57.0211047791</v>
      </c>
      <c r="L46" s="145">
        <v>-57.021102487599997</v>
      </c>
      <c r="M46" s="131">
        <v>-57.021102517899998</v>
      </c>
      <c r="N46" s="131">
        <v>-57.021102517899998</v>
      </c>
      <c r="O46" s="66"/>
      <c r="P46" s="66"/>
      <c r="Q46" s="66"/>
      <c r="R46" s="66"/>
      <c r="S46" s="66"/>
      <c r="T46" s="66"/>
      <c r="U46" s="66"/>
      <c r="V46" s="66"/>
      <c r="W46" s="66"/>
      <c r="X46" s="66"/>
      <c r="Y46" s="66"/>
      <c r="Z46" s="66"/>
      <c r="AA46" s="66"/>
    </row>
    <row r="47" spans="1:27" ht="19">
      <c r="A47" s="66"/>
      <c r="B47" s="66"/>
      <c r="C47" s="199">
        <f t="shared" si="3"/>
        <v>6</v>
      </c>
      <c r="D47" s="387">
        <v>2284.44</v>
      </c>
      <c r="E47" s="388">
        <v>1587.7669000000001</v>
      </c>
      <c r="F47" s="389">
        <f t="shared" si="2"/>
        <v>47600140225170</v>
      </c>
      <c r="G47" s="388">
        <v>1.077</v>
      </c>
      <c r="H47" s="139"/>
      <c r="K47" s="66"/>
      <c r="L47" s="66"/>
      <c r="M47" s="66"/>
      <c r="N47" s="66"/>
      <c r="O47" s="66"/>
      <c r="P47" s="66"/>
      <c r="Q47" s="66"/>
      <c r="R47" s="66"/>
      <c r="S47" s="66"/>
      <c r="T47" s="66"/>
      <c r="U47" s="66"/>
      <c r="V47" s="66"/>
      <c r="W47" s="66"/>
      <c r="X47" s="66"/>
      <c r="Y47" s="66"/>
      <c r="Z47" s="66"/>
      <c r="AA47" s="66"/>
    </row>
    <row r="48" spans="1:27" ht="19">
      <c r="A48" s="66"/>
      <c r="B48" s="66"/>
      <c r="C48" s="199">
        <f t="shared" si="3"/>
        <v>7</v>
      </c>
      <c r="D48" s="387">
        <v>2840.13</v>
      </c>
      <c r="E48" s="388">
        <v>1973.9925000000001</v>
      </c>
      <c r="F48" s="389">
        <f t="shared" si="2"/>
        <v>59178913355250</v>
      </c>
      <c r="G48" s="388">
        <v>1.048</v>
      </c>
      <c r="H48" s="139"/>
      <c r="O48" s="66"/>
      <c r="P48" s="66"/>
      <c r="Q48" s="66"/>
      <c r="R48" s="66"/>
      <c r="S48" s="66"/>
      <c r="T48" s="66"/>
      <c r="U48" s="66"/>
      <c r="V48" s="66"/>
      <c r="W48" s="66"/>
      <c r="X48" s="66"/>
      <c r="Y48" s="66"/>
      <c r="Z48" s="66"/>
      <c r="AA48" s="66"/>
    </row>
    <row r="49" spans="1:27" ht="19">
      <c r="A49" s="66"/>
      <c r="B49" s="66"/>
      <c r="C49" s="199">
        <f t="shared" si="3"/>
        <v>8</v>
      </c>
      <c r="D49" s="387">
        <v>4952.8900000000003</v>
      </c>
      <c r="E49" s="388">
        <v>3442.4375</v>
      </c>
      <c r="F49" s="389">
        <f t="shared" si="2"/>
        <v>103201866543750</v>
      </c>
      <c r="G49" s="388">
        <v>1.0501</v>
      </c>
      <c r="H49" s="139"/>
      <c r="K49" s="66"/>
      <c r="L49" s="66"/>
      <c r="M49" s="66"/>
      <c r="N49" s="66"/>
      <c r="O49" s="66"/>
      <c r="P49" s="66"/>
      <c r="Q49" s="66"/>
      <c r="R49" s="66"/>
      <c r="S49" s="66"/>
      <c r="T49" s="66"/>
      <c r="U49" s="66"/>
      <c r="V49" s="66"/>
      <c r="W49" s="66"/>
      <c r="X49" s="66"/>
      <c r="Y49" s="66"/>
      <c r="Z49" s="66"/>
      <c r="AA49" s="66"/>
    </row>
    <row r="50" spans="1:27" ht="20" thickBot="1">
      <c r="A50" s="66"/>
      <c r="B50" s="66"/>
      <c r="C50" s="404">
        <f t="shared" si="3"/>
        <v>9</v>
      </c>
      <c r="D50" s="405">
        <v>5104.46</v>
      </c>
      <c r="E50" s="406">
        <v>3547.7831000000001</v>
      </c>
      <c r="F50" s="407">
        <f t="shared" si="2"/>
        <v>106360053889830</v>
      </c>
      <c r="G50" s="406">
        <v>1.0898000000000001</v>
      </c>
      <c r="H50" s="139"/>
      <c r="K50" s="66"/>
      <c r="L50" s="66"/>
      <c r="M50" s="66"/>
      <c r="N50" s="66"/>
      <c r="O50" s="66"/>
      <c r="P50" s="66"/>
      <c r="Q50" s="66"/>
      <c r="R50" s="66"/>
      <c r="S50" s="66"/>
      <c r="T50" s="66"/>
      <c r="U50" s="66"/>
      <c r="V50" s="66"/>
      <c r="W50" s="66"/>
      <c r="X50" s="66"/>
      <c r="Y50" s="66"/>
      <c r="Z50" s="66"/>
      <c r="AA50" s="66"/>
    </row>
    <row r="51" spans="1:27" ht="19">
      <c r="A51" s="66"/>
      <c r="B51" s="66"/>
      <c r="C51" s="402"/>
      <c r="D51" s="408"/>
      <c r="E51" s="408"/>
      <c r="F51" s="409"/>
      <c r="G51" s="408"/>
      <c r="H51" s="66"/>
      <c r="K51" s="66"/>
      <c r="L51" s="66"/>
      <c r="M51" s="66"/>
      <c r="N51" s="66"/>
      <c r="O51" s="66"/>
      <c r="P51" s="66"/>
      <c r="Q51" s="66"/>
      <c r="R51" s="66"/>
      <c r="S51" s="66"/>
      <c r="T51" s="66"/>
      <c r="U51" s="66"/>
      <c r="V51" s="66"/>
      <c r="W51" s="66"/>
      <c r="X51" s="66"/>
      <c r="Y51" s="66"/>
      <c r="Z51" s="66"/>
      <c r="AA51" s="66"/>
    </row>
    <row r="52" spans="1:27" ht="19">
      <c r="A52" s="66"/>
      <c r="B52" s="66"/>
      <c r="C52" s="123"/>
      <c r="D52" s="2"/>
      <c r="E52" s="2"/>
      <c r="F52" s="410"/>
      <c r="G52" s="2"/>
      <c r="H52" s="66"/>
      <c r="I52" s="66"/>
      <c r="J52" s="66"/>
      <c r="K52" s="66"/>
      <c r="L52" s="66"/>
      <c r="M52" s="66"/>
      <c r="N52" s="66"/>
      <c r="O52" s="66"/>
      <c r="P52" s="66"/>
      <c r="Q52" s="66"/>
      <c r="R52" s="66"/>
      <c r="S52" s="66"/>
      <c r="T52" s="66"/>
      <c r="U52" s="66"/>
      <c r="V52" s="66"/>
      <c r="W52" s="66"/>
      <c r="X52" s="66"/>
      <c r="Y52" s="66"/>
      <c r="Z52" s="66"/>
      <c r="AA52" s="66"/>
    </row>
    <row r="53" spans="1:27" ht="19">
      <c r="C53" s="123"/>
      <c r="D53" s="2"/>
      <c r="E53" s="2"/>
      <c r="F53" s="410"/>
      <c r="G53" s="2"/>
      <c r="W53" s="66"/>
      <c r="X53" s="66"/>
      <c r="Y53" s="66"/>
      <c r="Z53" s="66"/>
      <c r="AA53" s="66"/>
    </row>
    <row r="54" spans="1:27" ht="34" thickBot="1">
      <c r="A54" s="474" t="s">
        <v>139</v>
      </c>
      <c r="B54" s="474"/>
      <c r="C54" s="474"/>
      <c r="D54" s="474"/>
      <c r="E54" s="474"/>
      <c r="F54" s="474"/>
      <c r="G54" s="474"/>
      <c r="H54" s="474"/>
      <c r="I54" s="474"/>
      <c r="J54" s="474"/>
      <c r="K54" s="474"/>
      <c r="L54" s="474"/>
      <c r="M54" s="474"/>
      <c r="N54" s="474"/>
      <c r="O54" s="474"/>
      <c r="P54" s="474"/>
      <c r="Q54" s="474"/>
      <c r="R54" s="474"/>
      <c r="S54" s="474"/>
      <c r="T54" s="474"/>
      <c r="U54" s="474"/>
      <c r="V54" s="474"/>
      <c r="W54" s="66"/>
      <c r="X54" s="66"/>
      <c r="Y54" s="66"/>
      <c r="Z54" s="66"/>
      <c r="AA54" s="66"/>
    </row>
    <row r="55" spans="1:27" ht="20" thickTop="1">
      <c r="A55" s="66"/>
      <c r="B55" s="66"/>
      <c r="C55" s="66"/>
      <c r="D55" s="66"/>
      <c r="E55" s="66"/>
      <c r="F55" s="66" t="s">
        <v>78</v>
      </c>
      <c r="G55" s="66"/>
      <c r="H55" s="66"/>
      <c r="I55" s="66"/>
      <c r="J55" s="66"/>
      <c r="K55" s="66"/>
      <c r="L55" s="66"/>
      <c r="M55" s="66"/>
      <c r="N55" s="66"/>
      <c r="O55" s="66"/>
      <c r="Q55" s="66"/>
      <c r="R55" s="66"/>
      <c r="S55" s="66"/>
      <c r="T55" s="66"/>
      <c r="U55" s="66"/>
      <c r="V55" s="66"/>
      <c r="W55" s="66"/>
      <c r="X55" s="66"/>
      <c r="Y55" s="66"/>
      <c r="Z55" s="66"/>
      <c r="AA55" s="66"/>
    </row>
    <row r="56" spans="1:27" ht="27">
      <c r="B56" s="66"/>
      <c r="C56" s="147" t="s">
        <v>79</v>
      </c>
      <c r="D56" s="148"/>
      <c r="E56" s="66"/>
      <c r="F56" s="66"/>
      <c r="G56" s="66"/>
      <c r="H56" s="66"/>
      <c r="I56" s="66"/>
      <c r="J56" s="66"/>
      <c r="K56" s="66"/>
      <c r="L56" s="66"/>
      <c r="M56" s="66"/>
      <c r="N56" s="66"/>
      <c r="O56" s="66"/>
      <c r="Q56" s="66"/>
      <c r="R56" s="66"/>
      <c r="S56" s="66"/>
      <c r="T56" s="66"/>
      <c r="U56" s="66"/>
      <c r="V56" s="66"/>
      <c r="W56" s="66"/>
      <c r="X56" s="66"/>
      <c r="Y56" s="66"/>
      <c r="Z56" s="66"/>
      <c r="AA56" s="66"/>
    </row>
    <row r="57" spans="1:27" ht="19">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c r="B64" s="66"/>
      <c r="C64" s="181" t="s">
        <v>80</v>
      </c>
      <c r="D64" s="293" t="s">
        <v>81</v>
      </c>
      <c r="E64" s="181" t="s">
        <v>82</v>
      </c>
      <c r="F64" s="66"/>
      <c r="G64" s="66"/>
      <c r="H64" s="151" t="s">
        <v>160</v>
      </c>
      <c r="I64" s="152"/>
      <c r="J64" s="152"/>
      <c r="K64" s="152"/>
      <c r="L64" s="152"/>
      <c r="M64" s="152"/>
      <c r="N64" s="152"/>
      <c r="O64" s="66"/>
      <c r="Q64" s="66"/>
      <c r="R64" s="66"/>
      <c r="S64" s="66"/>
      <c r="T64" s="66"/>
      <c r="U64" s="66"/>
      <c r="V64" s="66"/>
      <c r="W64" s="66"/>
      <c r="X64" s="66"/>
      <c r="Y64" s="66"/>
      <c r="Z64" s="66"/>
      <c r="AA64" s="66"/>
    </row>
    <row r="65" spans="2:27" ht="20" thickBot="1">
      <c r="B65" s="66"/>
      <c r="C65" s="109">
        <v>298.14999999999998</v>
      </c>
      <c r="D65" s="294">
        <f t="shared" ref="D65:D83" si="5">C65*$B$8/$B$16</f>
        <v>4.0625788058228471E-26</v>
      </c>
      <c r="E65" s="295">
        <f xml:space="preserve"> (2*PI()*$A$28*$U$9*$B$8*C65/($B$14^2))^(3/2)*D65</f>
        <v>3008812.6567749339</v>
      </c>
      <c r="F65" s="140"/>
      <c r="G65" s="66"/>
      <c r="H65" s="66"/>
      <c r="I65" s="66"/>
      <c r="J65" s="66"/>
      <c r="K65" s="66"/>
      <c r="L65" s="66"/>
      <c r="M65" s="66"/>
      <c r="N65" s="66"/>
      <c r="O65" s="66"/>
      <c r="Q65" s="66"/>
      <c r="R65" s="66"/>
      <c r="S65" s="66"/>
      <c r="T65" s="66"/>
      <c r="U65" s="66"/>
      <c r="V65" s="66"/>
      <c r="W65" s="66"/>
      <c r="X65" s="66"/>
      <c r="Y65" s="66"/>
      <c r="Z65" s="66"/>
      <c r="AA65" s="66"/>
    </row>
    <row r="66" spans="2:27" ht="20" thickBot="1">
      <c r="B66" s="66"/>
      <c r="C66" s="153">
        <v>300</v>
      </c>
      <c r="D66" s="154">
        <f t="shared" si="5"/>
        <v>4.0877868245743891E-26</v>
      </c>
      <c r="E66" s="155">
        <f xml:space="preserve"> (2*PI()*$A$28*$U$9*$B$8*C66/($B$14^2))^(3/2)*D66</f>
        <v>3055703.7692763014</v>
      </c>
      <c r="F66" s="66"/>
      <c r="G66" s="66"/>
      <c r="L66" s="149" t="s">
        <v>161</v>
      </c>
      <c r="M66" s="66"/>
      <c r="N66" s="66"/>
      <c r="O66" s="66"/>
      <c r="Q66" s="66"/>
      <c r="R66" s="66"/>
      <c r="S66" s="66"/>
      <c r="T66" s="66"/>
      <c r="U66" s="66"/>
      <c r="V66" s="66"/>
      <c r="W66" s="66"/>
      <c r="X66" s="66"/>
      <c r="Y66" s="66"/>
      <c r="Z66" s="66"/>
      <c r="AA66" s="66"/>
    </row>
    <row r="67" spans="2:27" ht="19">
      <c r="B67" s="66"/>
      <c r="C67" s="156">
        <f>C66+100</f>
        <v>400</v>
      </c>
      <c r="D67" s="157">
        <f t="shared" si="5"/>
        <v>5.4503824327658529E-26</v>
      </c>
      <c r="E67" s="158">
        <f t="shared" ref="E67:E83" si="6" xml:space="preserve"> (2*PI()*$A$28*$U$9*$B$8*C67/($B$14^2))^(3/2)*D67</f>
        <v>6272751.6222414859</v>
      </c>
      <c r="F67" s="66"/>
      <c r="G67" s="66"/>
      <c r="K67" s="159" t="s">
        <v>85</v>
      </c>
      <c r="L67" s="160">
        <f>$E$66</f>
        <v>3055703.7692763014</v>
      </c>
      <c r="M67" s="66"/>
      <c r="N67" s="66"/>
      <c r="O67" s="66"/>
      <c r="Q67" s="66"/>
      <c r="R67" s="66"/>
      <c r="S67" s="66"/>
      <c r="T67" s="66"/>
      <c r="U67" s="66"/>
      <c r="V67" s="66"/>
      <c r="W67" s="66"/>
      <c r="X67" s="66"/>
      <c r="Y67" s="66"/>
      <c r="Z67" s="66"/>
      <c r="AA67" s="66"/>
    </row>
    <row r="68" spans="2:27" ht="20" thickBot="1">
      <c r="B68" s="66"/>
      <c r="C68" s="156">
        <f t="shared" ref="C68:C83" si="7">C67+100</f>
        <v>500</v>
      </c>
      <c r="D68" s="157">
        <f t="shared" si="5"/>
        <v>6.812978040957315E-26</v>
      </c>
      <c r="E68" s="158">
        <f t="shared" si="6"/>
        <v>10958046.119768845</v>
      </c>
      <c r="F68" s="66"/>
      <c r="G68" s="66"/>
      <c r="K68" s="161" t="s">
        <v>86</v>
      </c>
      <c r="L68" s="162">
        <f>P33</f>
        <v>3057190</v>
      </c>
      <c r="M68" s="66"/>
      <c r="N68" s="66"/>
      <c r="O68" s="66"/>
      <c r="Q68" s="66"/>
      <c r="R68" s="66"/>
      <c r="S68" s="66"/>
      <c r="T68" s="66"/>
      <c r="U68" s="66"/>
      <c r="V68" s="66"/>
      <c r="W68" s="66"/>
      <c r="X68" s="66"/>
      <c r="Y68" s="66"/>
      <c r="Z68" s="66"/>
      <c r="AA68" s="66"/>
    </row>
    <row r="69" spans="2:27" ht="22">
      <c r="B69" s="66"/>
      <c r="C69" s="156">
        <f t="shared" si="7"/>
        <v>600</v>
      </c>
      <c r="D69" s="157">
        <f t="shared" si="5"/>
        <v>8.1755736491487783E-26</v>
      </c>
      <c r="E69" s="158">
        <f t="shared" si="6"/>
        <v>17285670.85242058</v>
      </c>
      <c r="F69" s="66"/>
      <c r="G69" s="66"/>
      <c r="H69" s="66"/>
      <c r="I69" s="66"/>
      <c r="K69" s="163" t="s">
        <v>87</v>
      </c>
      <c r="L69" s="164">
        <f>ABS(L67-L68)/L67</f>
        <v>4.863791898422848E-4</v>
      </c>
      <c r="M69" s="66"/>
      <c r="N69" s="66"/>
      <c r="O69" s="66"/>
      <c r="Q69" s="66"/>
      <c r="R69" s="66"/>
      <c r="S69" s="66"/>
      <c r="T69" s="66"/>
      <c r="U69" s="66"/>
      <c r="V69" s="66"/>
      <c r="W69" s="66"/>
      <c r="X69" s="66"/>
      <c r="Y69" s="66"/>
      <c r="Z69" s="66"/>
      <c r="AA69" s="66"/>
    </row>
    <row r="70" spans="2:27" ht="19">
      <c r="B70" s="66"/>
      <c r="C70" s="156">
        <f t="shared" si="7"/>
        <v>700</v>
      </c>
      <c r="D70" s="157">
        <f t="shared" si="5"/>
        <v>9.5381692573402415E-26</v>
      </c>
      <c r="E70" s="158">
        <f t="shared" si="6"/>
        <v>25412840.643683624</v>
      </c>
      <c r="F70" s="66"/>
      <c r="G70" s="66"/>
      <c r="Q70" s="66"/>
      <c r="R70" s="66"/>
      <c r="S70" s="66"/>
      <c r="T70" s="66"/>
      <c r="U70" s="66"/>
      <c r="V70" s="66"/>
      <c r="W70" s="66"/>
      <c r="X70" s="66"/>
      <c r="Y70" s="66"/>
      <c r="Z70" s="66"/>
      <c r="AA70" s="66"/>
    </row>
    <row r="71" spans="2:27" ht="19">
      <c r="B71" s="66"/>
      <c r="C71" s="156">
        <f t="shared" si="7"/>
        <v>800</v>
      </c>
      <c r="D71" s="157">
        <f t="shared" si="5"/>
        <v>1.0900764865531706E-25</v>
      </c>
      <c r="E71" s="158">
        <f t="shared" si="6"/>
        <v>35484041.670287065</v>
      </c>
      <c r="F71" s="66"/>
      <c r="G71" s="66"/>
      <c r="Q71" s="66"/>
      <c r="R71" s="66"/>
      <c r="S71" s="66"/>
      <c r="T71" s="66"/>
      <c r="U71" s="66"/>
      <c r="V71" s="66"/>
      <c r="W71" s="66"/>
      <c r="X71" s="66"/>
      <c r="Y71" s="66"/>
      <c r="Z71" s="66"/>
      <c r="AA71" s="66"/>
    </row>
    <row r="72" spans="2:27" ht="19">
      <c r="B72" s="66"/>
      <c r="C72" s="156">
        <f t="shared" si="7"/>
        <v>900</v>
      </c>
      <c r="D72" s="157">
        <f t="shared" si="5"/>
        <v>1.2263360473723168E-25</v>
      </c>
      <c r="E72" s="158">
        <f t="shared" si="6"/>
        <v>47633707.631396353</v>
      </c>
      <c r="F72" s="66"/>
      <c r="G72" s="66"/>
      <c r="Q72" s="66"/>
      <c r="R72" s="66"/>
      <c r="S72" s="66"/>
      <c r="T72" s="66"/>
      <c r="U72" s="66"/>
      <c r="V72" s="66"/>
      <c r="W72" s="66"/>
      <c r="X72" s="66"/>
      <c r="Y72" s="66"/>
      <c r="Z72" s="66"/>
      <c r="AA72" s="66"/>
    </row>
    <row r="73" spans="2:27" ht="19">
      <c r="C73" s="156">
        <f t="shared" si="7"/>
        <v>1000</v>
      </c>
      <c r="D73" s="157">
        <f t="shared" si="5"/>
        <v>1.362595608191463E-25</v>
      </c>
      <c r="E73" s="158">
        <f t="shared" si="6"/>
        <v>61988069.758748062</v>
      </c>
    </row>
    <row r="74" spans="2:27" ht="19">
      <c r="C74" s="156">
        <f t="shared" si="7"/>
        <v>1100</v>
      </c>
      <c r="D74" s="157">
        <f t="shared" si="5"/>
        <v>1.4988551690106094E-25</v>
      </c>
      <c r="E74" s="158">
        <f t="shared" si="6"/>
        <v>78666499.6131953</v>
      </c>
    </row>
    <row r="75" spans="2:27" ht="19">
      <c r="C75" s="156">
        <f t="shared" si="7"/>
        <v>1200</v>
      </c>
      <c r="D75" s="157">
        <f t="shared" si="5"/>
        <v>1.6351147298297557E-25</v>
      </c>
      <c r="E75" s="158">
        <f t="shared" si="6"/>
        <v>97782520.616842195</v>
      </c>
    </row>
    <row r="76" spans="2:27" ht="19">
      <c r="C76" s="156">
        <f t="shared" si="7"/>
        <v>1300</v>
      </c>
      <c r="D76" s="157">
        <f t="shared" si="5"/>
        <v>1.7713742906489019E-25</v>
      </c>
      <c r="E76" s="158">
        <f t="shared" si="6"/>
        <v>119444592.70215228</v>
      </c>
    </row>
    <row r="77" spans="2:27" ht="19">
      <c r="C77" s="156">
        <f t="shared" si="7"/>
        <v>1400</v>
      </c>
      <c r="D77" s="157">
        <f t="shared" si="5"/>
        <v>1.9076338514680483E-25</v>
      </c>
      <c r="E77" s="158">
        <f t="shared" si="6"/>
        <v>143756735.58689478</v>
      </c>
    </row>
    <row r="78" spans="2:27" ht="19">
      <c r="C78" s="156">
        <f t="shared" si="7"/>
        <v>1500</v>
      </c>
      <c r="D78" s="157">
        <f t="shared" si="5"/>
        <v>2.043893412287195E-25</v>
      </c>
      <c r="E78" s="158">
        <f t="shared" si="6"/>
        <v>170819033.68010557</v>
      </c>
    </row>
    <row r="79" spans="2:27" ht="19">
      <c r="C79" s="156">
        <f t="shared" si="7"/>
        <v>1600</v>
      </c>
      <c r="D79" s="157">
        <f t="shared" si="5"/>
        <v>2.1801529731063412E-25</v>
      </c>
      <c r="E79" s="158">
        <f t="shared" si="6"/>
        <v>200728051.91172868</v>
      </c>
    </row>
    <row r="80" spans="2:27" ht="19">
      <c r="C80" s="156">
        <f t="shared" si="7"/>
        <v>1700</v>
      </c>
      <c r="D80" s="157">
        <f t="shared" si="5"/>
        <v>2.3164125339254876E-25</v>
      </c>
      <c r="E80" s="158">
        <f t="shared" si="6"/>
        <v>233577183.06282544</v>
      </c>
    </row>
    <row r="81" spans="3:34" ht="19">
      <c r="C81" s="156">
        <f t="shared" si="7"/>
        <v>1800</v>
      </c>
      <c r="D81" s="157">
        <f t="shared" si="5"/>
        <v>2.4526720947446336E-25</v>
      </c>
      <c r="E81" s="158">
        <f t="shared" si="6"/>
        <v>269456941.43374282</v>
      </c>
    </row>
    <row r="82" spans="3:34" ht="19">
      <c r="C82" s="156">
        <f t="shared" si="7"/>
        <v>1900</v>
      </c>
      <c r="D82" s="157">
        <f t="shared" si="5"/>
        <v>2.58893165556378E-25</v>
      </c>
      <c r="E82" s="158">
        <f t="shared" si="6"/>
        <v>308455213.79252124</v>
      </c>
    </row>
    <row r="83" spans="3:34" ht="20" thickBot="1">
      <c r="C83" s="165">
        <f t="shared" si="7"/>
        <v>2000</v>
      </c>
      <c r="D83" s="166">
        <f t="shared" si="5"/>
        <v>2.725191216382926E-25</v>
      </c>
      <c r="E83" s="167">
        <f t="shared" si="6"/>
        <v>350657475.832605</v>
      </c>
    </row>
    <row r="92" spans="3:34" ht="22" customHeight="1">
      <c r="F92" s="66" t="s">
        <v>78</v>
      </c>
      <c r="AG92" s="66" t="s">
        <v>78</v>
      </c>
    </row>
    <row r="93" spans="3:34" ht="27">
      <c r="C93" s="147" t="s">
        <v>162</v>
      </c>
      <c r="D93" s="168"/>
      <c r="E93" s="66"/>
      <c r="F93" s="66"/>
      <c r="G93" s="66"/>
      <c r="AC93" s="475" t="s">
        <v>89</v>
      </c>
      <c r="AD93" s="475"/>
      <c r="AE93" s="475"/>
      <c r="AF93" s="66"/>
      <c r="AG93" s="66"/>
      <c r="AH93" s="66"/>
    </row>
    <row r="94" spans="3:34" ht="19">
      <c r="E94" s="66"/>
      <c r="G94" s="66"/>
      <c r="AF94" s="66"/>
      <c r="AH94" s="66"/>
    </row>
    <row r="95" spans="3:34" ht="20" thickBot="1">
      <c r="E95" s="66"/>
      <c r="F95" s="66"/>
      <c r="G95" s="66"/>
    </row>
    <row r="96" spans="3:34" ht="20" thickBot="1">
      <c r="C96" s="169" t="s">
        <v>90</v>
      </c>
      <c r="E96" s="66"/>
      <c r="F96" s="66"/>
      <c r="G96" s="66"/>
    </row>
    <row r="97" spans="3:42" ht="22" thickBot="1">
      <c r="C97" s="170" t="s">
        <v>91</v>
      </c>
      <c r="D97" s="385" cm="1">
        <f t="array" ref="D97">INDEX($E:$E,(COLUMN(D97)-4)*1+42)</f>
        <v>-1365.604</v>
      </c>
      <c r="E97" s="385" cm="1">
        <f t="array" ref="E97">INDEX($E:$E,(COLUMN(E97)-4)*1+42)</f>
        <v>695.82069999999999</v>
      </c>
      <c r="F97" s="385" cm="1">
        <f t="array" ref="F97">INDEX($E:$E,(COLUMN(F97)-4)*1+42)</f>
        <v>714.16210000000001</v>
      </c>
      <c r="G97" s="385" cm="1">
        <f t="array" ref="G97">INDEX($E:$E,(COLUMN(G97)-4)*1+42)</f>
        <v>1125.8463999999999</v>
      </c>
      <c r="H97" s="385" cm="1">
        <f t="array" ref="H97">INDEX($E:$E,(COLUMN(H97)-4)*1+42)</f>
        <v>1298.9522999999999</v>
      </c>
      <c r="I97" s="385" cm="1">
        <f t="array" ref="I97">INDEX($E:$E,(COLUMN(I97)-4)*1+42)</f>
        <v>1587.7669000000001</v>
      </c>
      <c r="J97" s="385" cm="1">
        <f t="array" ref="J97">INDEX($E:$E,(COLUMN(J97)-4)*1+42)</f>
        <v>1973.9925000000001</v>
      </c>
      <c r="K97" s="385" cm="1">
        <f t="array" ref="K97">INDEX($E:$E,(COLUMN(K97)-4)*1+42)</f>
        <v>3442.4375</v>
      </c>
      <c r="L97" s="385" cm="1">
        <f t="array" ref="L97">INDEX($E:$E,(COLUMN(L97)-4)*1+42)</f>
        <v>3547.7831000000001</v>
      </c>
      <c r="M97" s="2"/>
      <c r="N97" s="2"/>
      <c r="O97" s="2"/>
      <c r="S97" s="174" t="s">
        <v>93</v>
      </c>
      <c r="T97" s="175" cm="1">
        <f t="array" ref="T97">SUM(($B$14*$E$98:$O$98)/2)*$H$13</f>
        <v>20.576566925290695</v>
      </c>
    </row>
    <row r="98" spans="3:42" ht="20" thickBot="1">
      <c r="C98" s="172" t="s">
        <v>92</v>
      </c>
      <c r="D98" s="276">
        <f>D97*$L$9</f>
        <v>-40939851997200</v>
      </c>
      <c r="E98" s="276">
        <f t="shared" ref="E98:L98" si="8">E97*$L$9</f>
        <v>20860217511510</v>
      </c>
      <c r="F98" s="276">
        <f t="shared" si="8"/>
        <v>21410079844530</v>
      </c>
      <c r="G98" s="276">
        <f t="shared" si="8"/>
        <v>33752086979519.996</v>
      </c>
      <c r="H98" s="276">
        <f t="shared" si="8"/>
        <v>38941680687390</v>
      </c>
      <c r="I98" s="276">
        <f t="shared" si="8"/>
        <v>47600140225170</v>
      </c>
      <c r="J98" s="276">
        <f t="shared" si="8"/>
        <v>59178913355250</v>
      </c>
      <c r="K98" s="276">
        <f t="shared" si="8"/>
        <v>103201866543750</v>
      </c>
      <c r="L98" s="276">
        <f t="shared" si="8"/>
        <v>106360053889830</v>
      </c>
      <c r="M98" s="140"/>
      <c r="N98" s="140"/>
      <c r="O98" s="140"/>
    </row>
    <row r="99" spans="3:42" ht="17" thickBot="1"/>
    <row r="100" spans="3:42" ht="30" customHeight="1" thickBot="1">
      <c r="C100" s="368" t="s">
        <v>107</v>
      </c>
      <c r="D100" s="369"/>
      <c r="E100" s="369"/>
      <c r="F100" s="369"/>
      <c r="G100" s="369"/>
      <c r="H100" s="369"/>
      <c r="I100" s="369"/>
      <c r="J100" s="369"/>
      <c r="K100" s="369"/>
      <c r="L100" s="369"/>
      <c r="M100" s="296" t="s">
        <v>95</v>
      </c>
      <c r="N100" s="297"/>
      <c r="O100" s="297"/>
    </row>
    <row r="101" spans="3:42" ht="38" customHeight="1" thickBot="1">
      <c r="C101" s="390" t="s">
        <v>96</v>
      </c>
      <c r="D101" s="391">
        <v>1</v>
      </c>
      <c r="E101" s="392">
        <f t="shared" ref="E101:L101" si="9">D101+1</f>
        <v>2</v>
      </c>
      <c r="F101" s="392">
        <f t="shared" si="9"/>
        <v>3</v>
      </c>
      <c r="G101" s="392">
        <f t="shared" si="9"/>
        <v>4</v>
      </c>
      <c r="H101" s="392">
        <f t="shared" si="9"/>
        <v>5</v>
      </c>
      <c r="I101" s="393">
        <f t="shared" si="9"/>
        <v>6</v>
      </c>
      <c r="J101" s="393">
        <f t="shared" si="9"/>
        <v>7</v>
      </c>
      <c r="K101" s="393">
        <f t="shared" si="9"/>
        <v>8</v>
      </c>
      <c r="L101" s="393">
        <f t="shared" si="9"/>
        <v>9</v>
      </c>
      <c r="M101" s="298"/>
      <c r="N101" s="180"/>
      <c r="O101" s="180"/>
      <c r="Q101" s="66"/>
      <c r="R101" s="151" t="s">
        <v>160</v>
      </c>
      <c r="S101" s="152"/>
      <c r="T101" s="152"/>
      <c r="U101" s="152"/>
      <c r="V101" s="152"/>
      <c r="AC101" s="181" t="s">
        <v>80</v>
      </c>
      <c r="AD101" s="182" t="s">
        <v>97</v>
      </c>
      <c r="AE101" s="183" t="s">
        <v>98</v>
      </c>
      <c r="AF101" s="183" t="s">
        <v>147</v>
      </c>
      <c r="AG101" s="183" t="s">
        <v>163</v>
      </c>
      <c r="AH101" s="185" t="s">
        <v>101</v>
      </c>
      <c r="AJ101" s="476" t="s">
        <v>160</v>
      </c>
      <c r="AK101" s="476"/>
      <c r="AL101" s="476"/>
      <c r="AM101" s="476"/>
      <c r="AN101" s="476"/>
      <c r="AO101" s="476"/>
      <c r="AP101" s="476"/>
    </row>
    <row r="102" spans="3:42" ht="20" thickBot="1">
      <c r="C102" s="174">
        <v>298.14999999999998</v>
      </c>
      <c r="D102" s="394" t="s">
        <v>56</v>
      </c>
      <c r="E102" s="350">
        <f t="shared" ref="E102:L117" si="10">1/(1-EXP(-($B$14*E$98)/($B$8*$C102)))</f>
        <v>1.0360668986726547</v>
      </c>
      <c r="F102" s="350">
        <f t="shared" si="10"/>
        <v>1.0329112739194082</v>
      </c>
      <c r="G102" s="350">
        <f t="shared" si="10"/>
        <v>1.0043892346539323</v>
      </c>
      <c r="H102" s="350">
        <f t="shared" si="10"/>
        <v>1.0018989818742969</v>
      </c>
      <c r="I102" s="370">
        <f t="shared" si="10"/>
        <v>1.0004705574996522</v>
      </c>
      <c r="J102" s="370">
        <f t="shared" si="10"/>
        <v>1.0000729458649436</v>
      </c>
      <c r="K102" s="370">
        <f t="shared" si="10"/>
        <v>1.0000000610166662</v>
      </c>
      <c r="L102" s="370">
        <f t="shared" si="10"/>
        <v>1.0000000367002051</v>
      </c>
      <c r="M102" s="300">
        <f xml:space="preserve"> PRODUCT(E102:L102)</f>
        <v>1.077488973402785</v>
      </c>
      <c r="N102" s="188"/>
      <c r="O102" s="188"/>
      <c r="AC102" s="174">
        <v>298.14999999999998</v>
      </c>
      <c r="AD102" s="189">
        <f>$E65</f>
        <v>3008812.6567749339</v>
      </c>
      <c r="AE102" s="190" cm="1">
        <f t="array" ref="AE102">PRODUCT(EXP(-($B$14*$E$98:$L$98)/(2*$B$8*$AC102))/(1-EXP(-($B$14*$E$98:$L$98)/($B$8*$AC102))))</f>
        <v>9.052179221033579E-16</v>
      </c>
      <c r="AF102" s="191">
        <f>$E137</f>
        <v>738.98775535778884</v>
      </c>
      <c r="AG102" s="192">
        <f>$D175</f>
        <v>2</v>
      </c>
      <c r="AH102" s="193">
        <f>PRODUCT(AD102:AG102)</f>
        <v>4.0254601268628464E-6</v>
      </c>
    </row>
    <row r="103" spans="3:42" ht="22" thickBot="1">
      <c r="C103" s="194">
        <v>300</v>
      </c>
      <c r="D103" s="395" t="s">
        <v>56</v>
      </c>
      <c r="E103" s="396">
        <f t="shared" si="10"/>
        <v>1.036849310389627</v>
      </c>
      <c r="F103" s="396">
        <f t="shared" si="10"/>
        <v>1.0336419823636571</v>
      </c>
      <c r="G103" s="396">
        <f t="shared" si="10"/>
        <v>1.0045394588403029</v>
      </c>
      <c r="H103" s="396">
        <f t="shared" si="10"/>
        <v>1.0019739714174412</v>
      </c>
      <c r="I103" s="397">
        <f t="shared" si="10"/>
        <v>1.0004933359174812</v>
      </c>
      <c r="J103" s="397">
        <f t="shared" si="10"/>
        <v>1.0000773596125812</v>
      </c>
      <c r="K103" s="397">
        <f t="shared" si="10"/>
        <v>1.0000000675986793</v>
      </c>
      <c r="L103" s="397">
        <f t="shared" si="10"/>
        <v>1.0000000407868064</v>
      </c>
      <c r="M103" s="302">
        <f t="shared" ref="M103:M120" si="11" xml:space="preserve"> PRODUCT(E103:L103)</f>
        <v>1.0793370046353254</v>
      </c>
      <c r="N103" s="188"/>
      <c r="O103" s="188"/>
      <c r="T103" s="149" t="s">
        <v>102</v>
      </c>
      <c r="U103" s="221" t="s">
        <v>103</v>
      </c>
      <c r="V103" s="341" t="s">
        <v>104</v>
      </c>
      <c r="AC103" s="194">
        <v>300</v>
      </c>
      <c r="AD103" s="197">
        <f t="shared" ref="AD103:AD120" si="12">$E66</f>
        <v>3055703.7692763014</v>
      </c>
      <c r="AE103" s="66" cm="1">
        <f t="array" ref="AE103">PRODUCT(EXP(-($B$14*$E$98:$L$98)/(2*$B$8*$AC103))/(1-EXP(-($B$14*$E$98:$L$98)/($B$8*$AC103))))</f>
        <v>1.1232177149962249E-15</v>
      </c>
      <c r="AF103" s="140">
        <f t="shared" ref="AF103:AF120" si="13">$E138</f>
        <v>745.87646519433486</v>
      </c>
      <c r="AG103" s="198">
        <f t="shared" ref="AG103:AG120" si="14">$D176</f>
        <v>2</v>
      </c>
      <c r="AH103" s="303">
        <f t="shared" ref="AH103:AH120" si="15">PRODUCT(AD103:AG103)</f>
        <v>5.1200251458933794E-6</v>
      </c>
    </row>
    <row r="104" spans="3:42" ht="20" thickBot="1">
      <c r="C104" s="199">
        <f>C103+100</f>
        <v>400</v>
      </c>
      <c r="D104" s="398" t="s">
        <v>56</v>
      </c>
      <c r="E104" s="399">
        <f t="shared" si="10"/>
        <v>1.0891503665504894</v>
      </c>
      <c r="F104" s="399">
        <f t="shared" si="10"/>
        <v>1.0829863289554575</v>
      </c>
      <c r="G104" s="399">
        <f t="shared" si="10"/>
        <v>1.0177383804013977</v>
      </c>
      <c r="H104" s="399">
        <f t="shared" si="10"/>
        <v>1.0094393819430711</v>
      </c>
      <c r="I104" s="400">
        <f t="shared" si="10"/>
        <v>1.0033199830285129</v>
      </c>
      <c r="J104" s="400">
        <f t="shared" si="10"/>
        <v>1.0008255034290547</v>
      </c>
      <c r="K104" s="400">
        <f t="shared" si="10"/>
        <v>1.0000041923299663</v>
      </c>
      <c r="L104" s="400">
        <f t="shared" si="10"/>
        <v>1.0000028700602248</v>
      </c>
      <c r="M104" s="302">
        <f t="shared" si="11"/>
        <v>1.2168249504907209</v>
      </c>
      <c r="N104" s="188"/>
      <c r="O104" s="188"/>
      <c r="S104" s="159" t="s">
        <v>85</v>
      </c>
      <c r="T104" s="160">
        <f>M103</f>
        <v>1.0793370046353254</v>
      </c>
      <c r="U104" s="342">
        <f>M124</f>
        <v>1.1232177149962249E-15</v>
      </c>
      <c r="V104" s="201">
        <f>T97</f>
        <v>20.576566925290695</v>
      </c>
      <c r="AC104" s="199">
        <f>AC103+100</f>
        <v>400</v>
      </c>
      <c r="AD104" s="197">
        <f t="shared" si="12"/>
        <v>6272751.6222414859</v>
      </c>
      <c r="AE104" s="66" cm="1">
        <f t="array" ref="AE104">PRODUCT(EXP(-($B$14*$E$98:$L$98)/(2*$B$8*$AC104))/(1-EXP(-($B$14*$E$98:$L$98)/($B$8*$AC104))))</f>
        <v>7.0503108286686657E-12</v>
      </c>
      <c r="AF104" s="140">
        <f t="shared" si="13"/>
        <v>1148.3519412324156</v>
      </c>
      <c r="AG104" s="198">
        <f t="shared" si="14"/>
        <v>2</v>
      </c>
      <c r="AH104" s="303">
        <f t="shared" si="15"/>
        <v>0.10157138168277743</v>
      </c>
    </row>
    <row r="105" spans="3:42" ht="23" thickBot="1">
      <c r="C105" s="199">
        <f t="shared" ref="C105:C120" si="16">C104+100</f>
        <v>500</v>
      </c>
      <c r="D105" s="398" t="s">
        <v>56</v>
      </c>
      <c r="E105" s="399">
        <f t="shared" si="10"/>
        <v>1.1561086148827733</v>
      </c>
      <c r="F105" s="399">
        <f t="shared" si="10"/>
        <v>1.146904119995062</v>
      </c>
      <c r="G105" s="399">
        <f t="shared" si="10"/>
        <v>1.0407735470972137</v>
      </c>
      <c r="H105" s="399">
        <f t="shared" si="10"/>
        <v>1.0243867890174227</v>
      </c>
      <c r="I105" s="400">
        <f t="shared" si="10"/>
        <v>1.0104781362721909</v>
      </c>
      <c r="J105" s="400">
        <f t="shared" si="10"/>
        <v>1.0034243096733955</v>
      </c>
      <c r="K105" s="400">
        <f t="shared" si="10"/>
        <v>1.0000498866767931</v>
      </c>
      <c r="L105" s="400">
        <f t="shared" si="10"/>
        <v>1.0000368406946316</v>
      </c>
      <c r="M105" s="302">
        <f t="shared" si="11"/>
        <v>1.4334916530276467</v>
      </c>
      <c r="N105" s="188"/>
      <c r="O105" s="188"/>
      <c r="S105" s="161" t="s">
        <v>86</v>
      </c>
      <c r="T105" s="162">
        <f>P38</f>
        <v>1.07934</v>
      </c>
      <c r="U105" s="343">
        <f>P37</f>
        <v>1.12329E-15</v>
      </c>
      <c r="V105" s="304">
        <f>D38</f>
        <v>20.56691</v>
      </c>
      <c r="AC105" s="199">
        <f t="shared" ref="AC105:AC120" si="17">AC104+100</f>
        <v>500</v>
      </c>
      <c r="AD105" s="197">
        <f t="shared" si="12"/>
        <v>10958046.119768845</v>
      </c>
      <c r="AE105" s="66" cm="1">
        <f t="array" ref="AE105">PRODUCT(EXP(-($B$14*$E$98:$L$98)/(2*$B$8*$AC105))/(1-EXP(-($B$14*$E$98:$L$98)/($B$8*$AC105))))</f>
        <v>1.4681799704454943E-9</v>
      </c>
      <c r="AF105" s="140">
        <f t="shared" si="13"/>
        <v>1604.8706266809536</v>
      </c>
      <c r="AG105" s="198">
        <f t="shared" si="14"/>
        <v>2</v>
      </c>
      <c r="AH105" s="303">
        <f t="shared" si="15"/>
        <v>51.639549273494985</v>
      </c>
      <c r="AM105" s="149" t="s">
        <v>161</v>
      </c>
      <c r="AN105" s="351" t="s">
        <v>164</v>
      </c>
      <c r="AO105" s="203" t="s">
        <v>106</v>
      </c>
    </row>
    <row r="106" spans="3:42" ht="23" thickBot="1">
      <c r="C106" s="199">
        <f t="shared" si="16"/>
        <v>600</v>
      </c>
      <c r="D106" s="398" t="s">
        <v>56</v>
      </c>
      <c r="E106" s="399">
        <f t="shared" si="10"/>
        <v>1.2323158857057619</v>
      </c>
      <c r="F106" s="399">
        <f t="shared" si="10"/>
        <v>1.2201192339012472</v>
      </c>
      <c r="G106" s="399">
        <f t="shared" si="10"/>
        <v>1.0720677160876644</v>
      </c>
      <c r="H106" s="399">
        <f t="shared" si="10"/>
        <v>1.0464471991010489</v>
      </c>
      <c r="I106" s="400">
        <f t="shared" si="10"/>
        <v>1.0227099805293223</v>
      </c>
      <c r="J106" s="400">
        <f t="shared" si="10"/>
        <v>1.0088731311586605</v>
      </c>
      <c r="K106" s="400">
        <f t="shared" si="10"/>
        <v>1.0002600650678151</v>
      </c>
      <c r="L106" s="400">
        <f t="shared" si="10"/>
        <v>1.0002019982282433</v>
      </c>
      <c r="M106" s="302">
        <f t="shared" si="11"/>
        <v>1.7412196366899653</v>
      </c>
      <c r="N106" s="188"/>
      <c r="O106" s="188"/>
      <c r="S106" s="163" t="s">
        <v>87</v>
      </c>
      <c r="T106" s="164">
        <f>ABS(T104-T105)/T104</f>
        <v>2.7751894557997504E-6</v>
      </c>
      <c r="U106" s="164">
        <f t="shared" ref="U106:V106" si="18">ABS(U104-U105)/U104</f>
        <v>6.4355291774701693E-5</v>
      </c>
      <c r="V106" s="164">
        <f t="shared" si="18"/>
        <v>4.6931664187508071E-4</v>
      </c>
      <c r="AC106" s="199">
        <f t="shared" si="17"/>
        <v>600</v>
      </c>
      <c r="AD106" s="197">
        <f t="shared" si="12"/>
        <v>17285670.85242058</v>
      </c>
      <c r="AE106" s="66" cm="1">
        <f t="array" ref="AE106">PRODUCT(EXP(-($B$14*$E$98:$L$98)/(2*$B$8*$AC106))/(1-EXP(-($B$14*$E$98:$L$98)/($B$8*$AC106))))</f>
        <v>5.6170332542531914E-8</v>
      </c>
      <c r="AF106" s="140">
        <f t="shared" si="13"/>
        <v>2109.6572258654624</v>
      </c>
      <c r="AG106" s="198">
        <f t="shared" si="14"/>
        <v>2</v>
      </c>
      <c r="AH106" s="303">
        <f t="shared" si="15"/>
        <v>4096.7091060799203</v>
      </c>
      <c r="AL106" s="159" t="s">
        <v>85</v>
      </c>
      <c r="AM106" s="160">
        <f>AH103</f>
        <v>5.1200251458933794E-6</v>
      </c>
      <c r="AN106" s="288">
        <f>D138*AD102*AE102*AG102</f>
        <v>2.7405014791603871E-5</v>
      </c>
      <c r="AO106" s="205">
        <f>AD103*AF103*AG103*T104</f>
        <v>4920001288.1248741</v>
      </c>
    </row>
    <row r="107" spans="3:42" ht="20" thickBot="1">
      <c r="C107" s="199">
        <f t="shared" si="16"/>
        <v>700</v>
      </c>
      <c r="D107" s="398" t="s">
        <v>56</v>
      </c>
      <c r="E107" s="399">
        <f t="shared" si="10"/>
        <v>1.314516420932593</v>
      </c>
      <c r="F107" s="399">
        <f t="shared" si="10"/>
        <v>1.2993963887419262</v>
      </c>
      <c r="G107" s="399">
        <f t="shared" si="10"/>
        <v>1.1097041627882795</v>
      </c>
      <c r="H107" s="399">
        <f t="shared" si="10"/>
        <v>1.0744159020303501</v>
      </c>
      <c r="I107" s="400">
        <f t="shared" si="10"/>
        <v>1.0397762228317533</v>
      </c>
      <c r="J107" s="400">
        <f t="shared" si="10"/>
        <v>1.0175993701493513</v>
      </c>
      <c r="K107" s="400">
        <f t="shared" si="10"/>
        <v>1.0008462208417528</v>
      </c>
      <c r="L107" s="400">
        <f t="shared" si="10"/>
        <v>1.0006813584940228</v>
      </c>
      <c r="M107" s="302">
        <f t="shared" si="11"/>
        <v>2.1580782531620226</v>
      </c>
      <c r="N107" s="188"/>
      <c r="O107" s="188"/>
      <c r="AC107" s="199">
        <f t="shared" si="17"/>
        <v>700</v>
      </c>
      <c r="AD107" s="197">
        <f t="shared" si="12"/>
        <v>25412840.643683624</v>
      </c>
      <c r="AE107" s="66" cm="1">
        <f t="array" ref="AE107">PRODUCT(EXP(-($B$14*$E$98:$L$98)/(2*$B$8*$AC107))/(1-EXP(-($B$14*$E$98:$L$98)/($B$8*$AC107))))</f>
        <v>8.1830083253129317E-7</v>
      </c>
      <c r="AF107" s="140">
        <f t="shared" si="13"/>
        <v>2658.4719473193245</v>
      </c>
      <c r="AG107" s="198">
        <f t="shared" si="14"/>
        <v>2</v>
      </c>
      <c r="AH107" s="303">
        <f t="shared" si="15"/>
        <v>110567.70207186673</v>
      </c>
      <c r="AL107" s="161" t="s">
        <v>86</v>
      </c>
      <c r="AM107" s="162">
        <f>$P35</f>
        <v>5.1228600000000003E-6</v>
      </c>
      <c r="AN107" s="162">
        <f>$P35</f>
        <v>5.1228600000000003E-6</v>
      </c>
    </row>
    <row r="108" spans="3:42" ht="22">
      <c r="C108" s="199">
        <f t="shared" si="16"/>
        <v>800</v>
      </c>
      <c r="D108" s="398" t="s">
        <v>56</v>
      </c>
      <c r="E108" s="399">
        <f t="shared" si="10"/>
        <v>1.4007561341584973</v>
      </c>
      <c r="F108" s="399">
        <f t="shared" si="10"/>
        <v>1.3827746872166831</v>
      </c>
      <c r="G108" s="399">
        <f t="shared" si="10"/>
        <v>1.1520999468579651</v>
      </c>
      <c r="H108" s="399">
        <f t="shared" si="10"/>
        <v>1.1070533352209619</v>
      </c>
      <c r="I108" s="400">
        <f t="shared" si="10"/>
        <v>1.0610348452030207</v>
      </c>
      <c r="J108" s="400">
        <f t="shared" si="10"/>
        <v>1.0295689354608439</v>
      </c>
      <c r="K108" s="400">
        <f t="shared" si="10"/>
        <v>1.0020517146233536</v>
      </c>
      <c r="L108" s="400">
        <f t="shared" si="10"/>
        <v>1.001696997700616</v>
      </c>
      <c r="M108" s="302">
        <f t="shared" si="11"/>
        <v>2.708845526218544</v>
      </c>
      <c r="N108" s="188"/>
      <c r="O108" s="188"/>
      <c r="AC108" s="199">
        <f t="shared" si="17"/>
        <v>800</v>
      </c>
      <c r="AD108" s="197">
        <f t="shared" si="12"/>
        <v>35484041.670287065</v>
      </c>
      <c r="AE108" s="66" cm="1">
        <f t="array" ref="AE108">PRODUCT(EXP(-($B$14*$E$98:$L$98)/(2*$B$8*$AC108))/(1-EXP(-($B$14*$E$98:$L$98)/($B$8*$AC108))))</f>
        <v>6.5204012025164379E-6</v>
      </c>
      <c r="AF108" s="140">
        <f t="shared" si="13"/>
        <v>3248.0297793367045</v>
      </c>
      <c r="AG108" s="198">
        <f t="shared" si="14"/>
        <v>2</v>
      </c>
      <c r="AH108" s="303">
        <f t="shared" si="15"/>
        <v>1502994.5212005945</v>
      </c>
      <c r="AL108" s="163" t="s">
        <v>87</v>
      </c>
      <c r="AM108" s="164">
        <f>ABS(AM106-AM107)/AM106</f>
        <v>5.5367972340813045E-4</v>
      </c>
      <c r="AN108" s="164">
        <f>ABS(AN106-AN107)/AN106</f>
        <v>0.81306851906646305</v>
      </c>
    </row>
    <row r="109" spans="3:42" ht="19">
      <c r="C109" s="199">
        <f t="shared" si="16"/>
        <v>900</v>
      </c>
      <c r="D109" s="398" t="s">
        <v>56</v>
      </c>
      <c r="E109" s="399">
        <f t="shared" si="10"/>
        <v>1.4898231254123837</v>
      </c>
      <c r="F109" s="399">
        <f t="shared" si="10"/>
        <v>1.4690308290116874</v>
      </c>
      <c r="G109" s="399">
        <f t="shared" si="10"/>
        <v>1.1980750192883147</v>
      </c>
      <c r="H109" s="399">
        <f t="shared" si="10"/>
        <v>1.1433284799741443</v>
      </c>
      <c r="I109" s="400">
        <f t="shared" si="10"/>
        <v>1.0857797085346379</v>
      </c>
      <c r="J109" s="400">
        <f t="shared" si="10"/>
        <v>1.0445044949391551</v>
      </c>
      <c r="K109" s="400">
        <f t="shared" si="10"/>
        <v>1.0040902716629134</v>
      </c>
      <c r="L109" s="400">
        <f t="shared" si="10"/>
        <v>1.0034541199517986</v>
      </c>
      <c r="M109" s="302">
        <f t="shared" si="11"/>
        <v>3.4256498515671061</v>
      </c>
      <c r="N109" s="188"/>
      <c r="O109" s="188"/>
      <c r="AC109" s="199">
        <f t="shared" si="17"/>
        <v>900</v>
      </c>
      <c r="AD109" s="197">
        <f t="shared" si="12"/>
        <v>47633707.631396353</v>
      </c>
      <c r="AE109" s="66" cm="1">
        <f t="array" ref="AE109">PRODUCT(EXP(-($B$14*$E$98:$L$98)/(2*$B$8*$AC109))/(1-EXP(-($B$14*$E$98:$L$98)/($B$8*$AC109))))</f>
        <v>3.4714581115081355E-5</v>
      </c>
      <c r="AF109" s="140">
        <f t="shared" si="13"/>
        <v>3875.6878016594019</v>
      </c>
      <c r="AG109" s="198">
        <f t="shared" si="14"/>
        <v>2</v>
      </c>
      <c r="AH109" s="303">
        <f t="shared" si="15"/>
        <v>12817552.283135479</v>
      </c>
    </row>
    <row r="110" spans="3:42" ht="19">
      <c r="C110" s="199">
        <f t="shared" si="16"/>
        <v>1000</v>
      </c>
      <c r="D110" s="398" t="s">
        <v>56</v>
      </c>
      <c r="E110" s="399">
        <f t="shared" si="10"/>
        <v>1.5809362440730028</v>
      </c>
      <c r="F110" s="399">
        <f t="shared" si="10"/>
        <v>1.5573732911475195</v>
      </c>
      <c r="G110" s="399">
        <f t="shared" si="10"/>
        <v>1.2467736180683235</v>
      </c>
      <c r="H110" s="399">
        <f t="shared" si="10"/>
        <v>1.1824421732850992</v>
      </c>
      <c r="I110" s="400">
        <f t="shared" si="10"/>
        <v>1.1133757922801364</v>
      </c>
      <c r="J110" s="400">
        <f t="shared" si="10"/>
        <v>1.0620420166409563</v>
      </c>
      <c r="K110" s="400">
        <f t="shared" si="10"/>
        <v>1.0071131129561584</v>
      </c>
      <c r="L110" s="400">
        <f t="shared" si="10"/>
        <v>1.0061066060828887</v>
      </c>
      <c r="M110" s="302">
        <f t="shared" si="11"/>
        <v>4.3489089739503344</v>
      </c>
      <c r="N110" s="188"/>
      <c r="O110" s="188"/>
      <c r="AC110" s="199">
        <f t="shared" si="17"/>
        <v>1000</v>
      </c>
      <c r="AD110" s="197">
        <f t="shared" si="12"/>
        <v>61988069.758748062</v>
      </c>
      <c r="AE110" s="66" cm="1">
        <f t="array" ref="AE110">PRODUCT(EXP(-($B$14*$E$98:$L$98)/(2*$B$8*$AC110))/(1-EXP(-($B$14*$E$98:$L$98)/($B$8*$AC110))))</f>
        <v>1.391785734873474E-4</v>
      </c>
      <c r="AF110" s="140">
        <f t="shared" si="13"/>
        <v>4539.2596122128225</v>
      </c>
      <c r="AG110" s="198">
        <f t="shared" si="14"/>
        <v>2</v>
      </c>
      <c r="AH110" s="303">
        <f t="shared" si="15"/>
        <v>78324117.730431378</v>
      </c>
    </row>
    <row r="111" spans="3:42" ht="19">
      <c r="C111" s="199">
        <f t="shared" si="16"/>
        <v>1100</v>
      </c>
      <c r="D111" s="398" t="s">
        <v>56</v>
      </c>
      <c r="E111" s="399">
        <f t="shared" si="10"/>
        <v>1.6735732500498257</v>
      </c>
      <c r="F111" s="399">
        <f t="shared" si="10"/>
        <v>1.6472715024667925</v>
      </c>
      <c r="G111" s="399">
        <f t="shared" si="10"/>
        <v>1.2975756098792344</v>
      </c>
      <c r="H111" s="399">
        <f t="shared" si="10"/>
        <v>1.2237889521619372</v>
      </c>
      <c r="I111" s="400">
        <f t="shared" si="10"/>
        <v>1.1432945043635871</v>
      </c>
      <c r="J111" s="400">
        <f t="shared" si="10"/>
        <v>1.0818143103778219</v>
      </c>
      <c r="K111" s="400">
        <f t="shared" si="10"/>
        <v>1.0112038506225844</v>
      </c>
      <c r="L111" s="400">
        <f t="shared" si="10"/>
        <v>1.0097476525125104</v>
      </c>
      <c r="M111" s="302">
        <f t="shared" si="11"/>
        <v>5.5285535126630805</v>
      </c>
      <c r="N111" s="188"/>
      <c r="O111" s="188"/>
      <c r="AC111" s="199">
        <f t="shared" si="17"/>
        <v>1100</v>
      </c>
      <c r="AD111" s="197">
        <f t="shared" si="12"/>
        <v>78666499.6131953</v>
      </c>
      <c r="AE111" s="66" cm="1">
        <f t="array" ref="AE111">PRODUCT(EXP(-($B$14*$E$98:$L$98)/(2*$B$8*$AC111))/(1-EXP(-($B$14*$E$98:$L$98)/($B$8*$AC111))))</f>
        <v>4.5333837567949187E-4</v>
      </c>
      <c r="AF111" s="140">
        <f t="shared" si="13"/>
        <v>5236.8972099732373</v>
      </c>
      <c r="AG111" s="198">
        <f t="shared" si="14"/>
        <v>2</v>
      </c>
      <c r="AH111" s="303">
        <f t="shared" si="15"/>
        <v>373522145.49833035</v>
      </c>
    </row>
    <row r="112" spans="3:42" ht="19">
      <c r="C112" s="199">
        <f t="shared" si="16"/>
        <v>1200</v>
      </c>
      <c r="D112" s="398" t="s">
        <v>56</v>
      </c>
      <c r="E112" s="399">
        <f t="shared" si="10"/>
        <v>1.7673734120120597</v>
      </c>
      <c r="F112" s="399">
        <f t="shared" si="10"/>
        <v>1.7383582820580981</v>
      </c>
      <c r="G112" s="399">
        <f t="shared" si="10"/>
        <v>1.3500271947707212</v>
      </c>
      <c r="H112" s="399">
        <f t="shared" si="10"/>
        <v>1.2669115758274971</v>
      </c>
      <c r="I112" s="400">
        <f t="shared" si="10"/>
        <v>1.1751098615823086</v>
      </c>
      <c r="J112" s="400">
        <f t="shared" si="10"/>
        <v>1.1034874198005953</v>
      </c>
      <c r="K112" s="400">
        <f t="shared" si="10"/>
        <v>1.0163886949431196</v>
      </c>
      <c r="L112" s="400">
        <f t="shared" si="10"/>
        <v>1.0144160416898169</v>
      </c>
      <c r="M112" s="302">
        <f t="shared" si="11"/>
        <v>7.0255159022276361</v>
      </c>
      <c r="N112" s="188"/>
      <c r="O112" s="188"/>
      <c r="AC112" s="199">
        <f t="shared" si="17"/>
        <v>1200</v>
      </c>
      <c r="AD112" s="197">
        <f t="shared" si="12"/>
        <v>97782520.616842195</v>
      </c>
      <c r="AE112" s="66" cm="1">
        <f t="array" ref="AE112">PRODUCT(EXP(-($B$14*$E$98:$L$98)/(2*$B$8*$AC112))/(1-EXP(-($B$14*$E$98:$L$98)/($B$8*$AC112))))</f>
        <v>1.2618418891366431E-3</v>
      </c>
      <c r="AF112" s="140">
        <f t="shared" si="13"/>
        <v>5967.0117215546798</v>
      </c>
      <c r="AG112" s="198">
        <f t="shared" si="14"/>
        <v>2</v>
      </c>
      <c r="AH112" s="303">
        <f t="shared" si="15"/>
        <v>1472492377.7141461</v>
      </c>
    </row>
    <row r="113" spans="2:34" ht="19">
      <c r="C113" s="199">
        <f t="shared" si="16"/>
        <v>1300</v>
      </c>
      <c r="D113" s="398" t="s">
        <v>56</v>
      </c>
      <c r="E113" s="399">
        <f t="shared" si="10"/>
        <v>1.8620803185111674</v>
      </c>
      <c r="F113" s="399">
        <f t="shared" si="10"/>
        <v>1.8303722661227997</v>
      </c>
      <c r="G113" s="399">
        <f t="shared" si="10"/>
        <v>1.4037916919031994</v>
      </c>
      <c r="H113" s="399">
        <f t="shared" si="10"/>
        <v>1.3114628408953277</v>
      </c>
      <c r="I113" s="400">
        <f t="shared" si="10"/>
        <v>1.2084827445702262</v>
      </c>
      <c r="J113" s="400">
        <f t="shared" si="10"/>
        <v>1.1267721828875266</v>
      </c>
      <c r="K113" s="400">
        <f t="shared" si="10"/>
        <v>1.022651555623159</v>
      </c>
      <c r="L113" s="400">
        <f t="shared" si="10"/>
        <v>1.0201085945928579</v>
      </c>
      <c r="M113" s="302">
        <f t="shared" si="11"/>
        <v>8.9134771292196255</v>
      </c>
      <c r="N113" s="188"/>
      <c r="O113" s="188"/>
      <c r="AC113" s="199">
        <f t="shared" si="17"/>
        <v>1300</v>
      </c>
      <c r="AD113" s="197">
        <f t="shared" si="12"/>
        <v>119444592.70215228</v>
      </c>
      <c r="AE113" s="66" cm="1">
        <f t="array" ref="AE113">PRODUCT(EXP(-($B$14*$E$98:$L$98)/(2*$B$8*$AC113))/(1-EXP(-($B$14*$E$98:$L$98)/($B$8*$AC113))))</f>
        <v>3.1081544225864881E-3</v>
      </c>
      <c r="AF113" s="140">
        <f t="shared" si="13"/>
        <v>6728.2179353871297</v>
      </c>
      <c r="AG113" s="198">
        <f t="shared" si="14"/>
        <v>2</v>
      </c>
      <c r="AH113" s="303">
        <f t="shared" si="15"/>
        <v>4995731946.8088818</v>
      </c>
    </row>
    <row r="114" spans="2:34" ht="19">
      <c r="C114" s="199">
        <f t="shared" si="16"/>
        <v>1400</v>
      </c>
      <c r="D114" s="398" t="s">
        <v>56</v>
      </c>
      <c r="E114" s="399">
        <f t="shared" si="10"/>
        <v>1.9575070895809341</v>
      </c>
      <c r="F114" s="399">
        <f t="shared" si="10"/>
        <v>1.9231227601049088</v>
      </c>
      <c r="G114" s="399">
        <f t="shared" si="10"/>
        <v>1.458615564323622</v>
      </c>
      <c r="H114" s="399">
        <f t="shared" si="10"/>
        <v>1.3571766286267797</v>
      </c>
      <c r="I114" s="400">
        <f t="shared" si="10"/>
        <v>1.2431437982574207</v>
      </c>
      <c r="J114" s="400">
        <f t="shared" si="10"/>
        <v>1.1514242855388455</v>
      </c>
      <c r="K114" s="400">
        <f t="shared" si="10"/>
        <v>1.029948401713052</v>
      </c>
      <c r="L114" s="400">
        <f t="shared" si="10"/>
        <v>1.0267930942352612</v>
      </c>
      <c r="M114" s="302">
        <f t="shared" si="11"/>
        <v>11.280873446572606</v>
      </c>
      <c r="N114" s="188"/>
      <c r="O114" s="188"/>
      <c r="AC114" s="199">
        <f t="shared" si="17"/>
        <v>1400</v>
      </c>
      <c r="AD114" s="197">
        <f t="shared" si="12"/>
        <v>143756735.58689478</v>
      </c>
      <c r="AE114" s="66" cm="1">
        <f t="array" ref="AE114">PRODUCT(EXP(-($B$14*$E$98:$L$98)/(2*$B$8*$AC114))/(1-EXP(-($B$14*$E$98:$L$98)/($B$8*$AC114))))</f>
        <v>6.9464934328381184E-3</v>
      </c>
      <c r="AF114" s="140">
        <f t="shared" si="13"/>
        <v>7519.2941661748109</v>
      </c>
      <c r="AG114" s="198">
        <f t="shared" si="14"/>
        <v>2</v>
      </c>
      <c r="AH114" s="303">
        <f t="shared" si="15"/>
        <v>15017612805.31226</v>
      </c>
    </row>
    <row r="115" spans="2:34" ht="19">
      <c r="C115" s="199">
        <f t="shared" si="16"/>
        <v>1500</v>
      </c>
      <c r="D115" s="398" t="s">
        <v>56</v>
      </c>
      <c r="E115" s="399">
        <f t="shared" si="10"/>
        <v>2.053514503588648</v>
      </c>
      <c r="F115" s="399">
        <f t="shared" si="10"/>
        <v>2.0164675809825114</v>
      </c>
      <c r="G115" s="399">
        <f t="shared" si="10"/>
        <v>1.5143050470183042</v>
      </c>
      <c r="H115" s="399">
        <f t="shared" si="10"/>
        <v>1.4038467404958781</v>
      </c>
      <c r="I115" s="400">
        <f t="shared" si="10"/>
        <v>1.2788784667145887</v>
      </c>
      <c r="J115" s="400">
        <f t="shared" si="10"/>
        <v>1.1772397149983795</v>
      </c>
      <c r="K115" s="400">
        <f t="shared" si="10"/>
        <v>1.0382187523399471</v>
      </c>
      <c r="L115" s="400">
        <f t="shared" si="10"/>
        <v>1.0344191785221977</v>
      </c>
      <c r="M115" s="302">
        <f t="shared" si="11"/>
        <v>14.233172050440199</v>
      </c>
      <c r="N115" s="188"/>
      <c r="O115" s="188"/>
      <c r="AC115" s="199">
        <f t="shared" si="17"/>
        <v>1500</v>
      </c>
      <c r="AD115" s="197">
        <f t="shared" si="12"/>
        <v>170819033.68010557</v>
      </c>
      <c r="AE115" s="66" cm="1">
        <f t="array" ref="AE115">PRODUCT(EXP(-($B$14*$E$98:$L$98)/(2*$B$8*$AC115))/(1-EXP(-($B$14*$E$98:$L$98)/($B$8*$AC115))))</f>
        <v>1.4347065288193636E-2</v>
      </c>
      <c r="AF115" s="140">
        <f t="shared" si="13"/>
        <v>8339.1523949589482</v>
      </c>
      <c r="AG115" s="198">
        <f t="shared" si="14"/>
        <v>2</v>
      </c>
      <c r="AH115" s="303">
        <f t="shared" si="15"/>
        <v>40874385963.084</v>
      </c>
    </row>
    <row r="116" spans="2:34" ht="19">
      <c r="C116" s="199">
        <f t="shared" si="16"/>
        <v>1600</v>
      </c>
      <c r="D116" s="398" t="s">
        <v>56</v>
      </c>
      <c r="E116" s="399">
        <f t="shared" si="10"/>
        <v>2.1499968252746169</v>
      </c>
      <c r="F116" s="399">
        <f t="shared" si="10"/>
        <v>2.1102986719694283</v>
      </c>
      <c r="G116" s="399">
        <f t="shared" si="10"/>
        <v>1.5707099571206924</v>
      </c>
      <c r="H116" s="399">
        <f t="shared" si="10"/>
        <v>1.4513115984520619</v>
      </c>
      <c r="I116" s="400">
        <f t="shared" si="10"/>
        <v>1.3155148985116789</v>
      </c>
      <c r="J116" s="400">
        <f t="shared" si="10"/>
        <v>1.2040488982219917</v>
      </c>
      <c r="K116" s="400">
        <f t="shared" si="10"/>
        <v>1.0473940144795508</v>
      </c>
      <c r="L116" s="400">
        <f t="shared" si="10"/>
        <v>1.042926568421302</v>
      </c>
      <c r="M116" s="302">
        <f t="shared" si="11"/>
        <v>17.895429312936795</v>
      </c>
      <c r="N116" s="188"/>
      <c r="O116" s="188"/>
      <c r="AC116" s="199">
        <f t="shared" si="17"/>
        <v>1600</v>
      </c>
      <c r="AD116" s="197">
        <f t="shared" si="12"/>
        <v>200728051.91172868</v>
      </c>
      <c r="AE116" s="66" cm="1">
        <f t="array" ref="AE116">PRODUCT(EXP(-($B$14*$E$98:$L$98)/(2*$B$8*$AC116))/(1-EXP(-($B$14*$E$98:$L$98)/($B$8*$AC116))))</f>
        <v>2.7764327663884081E-2</v>
      </c>
      <c r="AF116" s="140">
        <f t="shared" si="13"/>
        <v>9186.8155298593283</v>
      </c>
      <c r="AG116" s="198">
        <f t="shared" si="14"/>
        <v>2</v>
      </c>
      <c r="AH116" s="303">
        <f t="shared" si="15"/>
        <v>102397704846.82742</v>
      </c>
    </row>
    <row r="117" spans="2:34" ht="19">
      <c r="C117" s="199">
        <f t="shared" si="16"/>
        <v>1700</v>
      </c>
      <c r="D117" s="398" t="s">
        <v>56</v>
      </c>
      <c r="E117" s="399">
        <f t="shared" si="10"/>
        <v>2.2468723720680539</v>
      </c>
      <c r="F117" s="399">
        <f t="shared" si="10"/>
        <v>2.2045325117303225</v>
      </c>
      <c r="G117" s="399">
        <f t="shared" si="10"/>
        <v>1.6277123494798202</v>
      </c>
      <c r="H117" s="399">
        <f t="shared" si="10"/>
        <v>1.4994431803847943</v>
      </c>
      <c r="I117" s="400">
        <f t="shared" si="10"/>
        <v>1.352914502587792</v>
      </c>
      <c r="J117" s="400">
        <f t="shared" si="10"/>
        <v>1.23171095885769</v>
      </c>
      <c r="K117" s="400">
        <f t="shared" si="10"/>
        <v>1.0574031287832408</v>
      </c>
      <c r="L117" s="400">
        <f t="shared" si="10"/>
        <v>1.0522508484099937</v>
      </c>
      <c r="M117" s="302">
        <f t="shared" si="11"/>
        <v>22.415148344619812</v>
      </c>
      <c r="N117" s="188"/>
      <c r="O117" s="188"/>
      <c r="AC117" s="199">
        <f t="shared" si="17"/>
        <v>1700</v>
      </c>
      <c r="AD117" s="197">
        <f t="shared" si="12"/>
        <v>233577183.06282544</v>
      </c>
      <c r="AE117" s="66" cm="1">
        <f t="array" ref="AE117">PRODUCT(EXP(-($B$14*$E$98:$L$98)/(2*$B$8*$AC117))/(1-EXP(-($B$14*$E$98:$L$98)/($B$8*$AC117))))</f>
        <v>5.0878810424816998E-2</v>
      </c>
      <c r="AF117" s="140">
        <f t="shared" si="13"/>
        <v>10061.399741804213</v>
      </c>
      <c r="AG117" s="198">
        <f t="shared" si="14"/>
        <v>2</v>
      </c>
      <c r="AH117" s="303">
        <f t="shared" si="15"/>
        <v>239141949263.26169</v>
      </c>
    </row>
    <row r="118" spans="2:34" ht="19">
      <c r="C118" s="199">
        <f t="shared" si="16"/>
        <v>1800</v>
      </c>
      <c r="D118" s="398" t="s">
        <v>56</v>
      </c>
      <c r="E118" s="399">
        <f t="shared" ref="E118:L120" si="19">1/(1-EXP(-($B$14*E$98)/($B$8*$C118)))</f>
        <v>2.3440770803936521</v>
      </c>
      <c r="F118" s="399">
        <f t="shared" si="19"/>
        <v>2.299103565327655</v>
      </c>
      <c r="G118" s="399">
        <f t="shared" si="19"/>
        <v>1.6852184607451215</v>
      </c>
      <c r="H118" s="399">
        <f t="shared" si="19"/>
        <v>1.5481389703839692</v>
      </c>
      <c r="I118" s="400">
        <f t="shared" si="19"/>
        <v>1.3909646802008806</v>
      </c>
      <c r="J118" s="400">
        <f t="shared" si="19"/>
        <v>1.2601086345305472</v>
      </c>
      <c r="K118" s="400">
        <f t="shared" si="19"/>
        <v>1.0681761670314718</v>
      </c>
      <c r="L118" s="400">
        <f t="shared" si="19"/>
        <v>1.062327296326443</v>
      </c>
      <c r="M118" s="302">
        <f t="shared" si="11"/>
        <v>27.965454942866483</v>
      </c>
      <c r="N118" s="188"/>
      <c r="O118" s="188"/>
      <c r="AC118" s="199">
        <f t="shared" si="17"/>
        <v>1800</v>
      </c>
      <c r="AD118" s="197">
        <f t="shared" si="12"/>
        <v>269456941.43374282</v>
      </c>
      <c r="AE118" s="66" cm="1">
        <f t="array" ref="AE118">PRODUCT(EXP(-($B$14*$E$98:$L$98)/(2*$B$8*$AC118))/(1-EXP(-($B$14*$E$98:$L$98)/($B$8*$AC118))))</f>
        <v>8.9023849220496554E-2</v>
      </c>
      <c r="AF118" s="140">
        <f t="shared" si="13"/>
        <v>10962.100505261395</v>
      </c>
      <c r="AG118" s="198">
        <f t="shared" si="14"/>
        <v>2</v>
      </c>
      <c r="AH118" s="303">
        <f t="shared" si="15"/>
        <v>525919797469.29553</v>
      </c>
    </row>
    <row r="119" spans="2:34" ht="19">
      <c r="C119" s="199">
        <f t="shared" si="16"/>
        <v>1900</v>
      </c>
      <c r="D119" s="398" t="s">
        <v>56</v>
      </c>
      <c r="E119" s="399">
        <f t="shared" si="19"/>
        <v>2.4415600213879918</v>
      </c>
      <c r="F119" s="399">
        <f t="shared" si="19"/>
        <v>2.393959714880598</v>
      </c>
      <c r="G119" s="399">
        <f t="shared" si="19"/>
        <v>1.7431529090327262</v>
      </c>
      <c r="H119" s="399">
        <f t="shared" si="19"/>
        <v>1.597316051134793</v>
      </c>
      <c r="I119" s="400">
        <f t="shared" si="19"/>
        <v>1.4295732569837565</v>
      </c>
      <c r="J119" s="400">
        <f t="shared" si="19"/>
        <v>1.2891439892927552</v>
      </c>
      <c r="K119" s="400">
        <f t="shared" si="19"/>
        <v>1.0796464725778165</v>
      </c>
      <c r="L119" s="400">
        <f t="shared" si="19"/>
        <v>1.0730932753941724</v>
      </c>
      <c r="M119" s="302">
        <f t="shared" si="11"/>
        <v>34.748612705811134</v>
      </c>
      <c r="N119" s="188"/>
      <c r="O119" s="188"/>
      <c r="AC119" s="199">
        <f t="shared" si="17"/>
        <v>1900</v>
      </c>
      <c r="AD119" s="197">
        <f t="shared" si="12"/>
        <v>308455213.79252124</v>
      </c>
      <c r="AE119" s="66" cm="1">
        <f t="array" ref="AE119">PRODUCT(EXP(-($B$14*$E$98:$L$98)/(2*$B$8*$AC119))/(1-EXP(-($B$14*$E$98:$L$98)/($B$8*$AC119))))</f>
        <v>0.14970940449216158</v>
      </c>
      <c r="AF119" s="140">
        <f t="shared" si="13"/>
        <v>11888.181400695792</v>
      </c>
      <c r="AG119" s="198">
        <f t="shared" si="14"/>
        <v>2</v>
      </c>
      <c r="AH119" s="303">
        <f t="shared" si="15"/>
        <v>1097960249755.5608</v>
      </c>
    </row>
    <row r="120" spans="2:34" ht="20" thickBot="1">
      <c r="C120" s="208">
        <f t="shared" si="16"/>
        <v>2000</v>
      </c>
      <c r="D120" s="398" t="s">
        <v>56</v>
      </c>
      <c r="E120" s="399">
        <f t="shared" si="19"/>
        <v>2.5392802135070731</v>
      </c>
      <c r="F120" s="399">
        <f t="shared" si="19"/>
        <v>2.4890590089902571</v>
      </c>
      <c r="G120" s="399">
        <f t="shared" si="19"/>
        <v>1.801454460213475</v>
      </c>
      <c r="H120" s="399">
        <f t="shared" si="19"/>
        <v>1.6469067250843614</v>
      </c>
      <c r="I120" s="400">
        <f t="shared" si="19"/>
        <v>1.4686642139255439</v>
      </c>
      <c r="J120" s="400">
        <f t="shared" si="19"/>
        <v>1.3187348846171292</v>
      </c>
      <c r="K120" s="400">
        <f t="shared" si="19"/>
        <v>1.091751811741557</v>
      </c>
      <c r="L120" s="400">
        <f t="shared" si="19"/>
        <v>1.0844896190432254</v>
      </c>
      <c r="M120" s="305">
        <f t="shared" si="11"/>
        <v>42.99989946851192</v>
      </c>
      <c r="N120" s="188"/>
      <c r="O120" s="188"/>
      <c r="AC120" s="208">
        <f t="shared" si="17"/>
        <v>2000</v>
      </c>
      <c r="AD120" s="211">
        <f t="shared" si="12"/>
        <v>350657475.832605</v>
      </c>
      <c r="AE120" s="212" cm="1">
        <f t="array" ref="AE120">PRODUCT(EXP(-($B$14*$E$98:$L$98)/(2*$B$8*$AC120))/(1-EXP(-($B$14*$E$98:$L$98)/($B$8*$AC120))))</f>
        <v>0.24325595000010572</v>
      </c>
      <c r="AF120" s="213">
        <f t="shared" si="13"/>
        <v>12838.965013447609</v>
      </c>
      <c r="AG120" s="214">
        <f t="shared" si="14"/>
        <v>2</v>
      </c>
      <c r="AH120" s="306">
        <f t="shared" si="15"/>
        <v>2190315039338.2437</v>
      </c>
    </row>
    <row r="122" spans="2:34" ht="17" thickBot="1"/>
    <row r="123" spans="2:34" ht="32" thickBot="1">
      <c r="C123" s="215" t="s">
        <v>107</v>
      </c>
      <c r="D123" s="216">
        <v>1</v>
      </c>
      <c r="E123" s="336">
        <f t="shared" ref="E123:L123" si="20">D123+1</f>
        <v>2</v>
      </c>
      <c r="F123" s="336">
        <f t="shared" si="20"/>
        <v>3</v>
      </c>
      <c r="G123" s="336">
        <f t="shared" si="20"/>
        <v>4</v>
      </c>
      <c r="H123" s="336">
        <f t="shared" si="20"/>
        <v>5</v>
      </c>
      <c r="I123" s="336">
        <f t="shared" si="20"/>
        <v>6</v>
      </c>
      <c r="J123" s="336">
        <f t="shared" si="20"/>
        <v>7</v>
      </c>
      <c r="K123" s="336">
        <f t="shared" si="20"/>
        <v>8</v>
      </c>
      <c r="L123" s="349">
        <f t="shared" si="20"/>
        <v>9</v>
      </c>
      <c r="M123" s="176" t="s">
        <v>95</v>
      </c>
      <c r="N123" s="180"/>
      <c r="O123" s="180"/>
    </row>
    <row r="124" spans="2:34" ht="20" thickBot="1">
      <c r="C124" s="174">
        <v>300</v>
      </c>
      <c r="D124" s="401" t="s">
        <v>56</v>
      </c>
      <c r="E124" s="345">
        <f t="shared" ref="E124:L124" si="21">EXP(-($B$14*E$98)/(2*$B$8*$C124))/(1-EXP(-($B$14*E$98)/($B$8*$C124)))</f>
        <v>0.19546657531613484</v>
      </c>
      <c r="F124" s="345">
        <f t="shared" si="21"/>
        <v>0.18647725153759007</v>
      </c>
      <c r="G124" s="345">
        <f t="shared" si="21"/>
        <v>6.7528257247361445E-2</v>
      </c>
      <c r="H124" s="345">
        <f t="shared" si="21"/>
        <v>4.4473227683607681E-2</v>
      </c>
      <c r="I124" s="345">
        <f t="shared" si="21"/>
        <v>2.2216644611840832E-2</v>
      </c>
      <c r="J124" s="345">
        <f t="shared" si="21"/>
        <v>8.7957715460793943E-3</v>
      </c>
      <c r="K124" s="345">
        <f t="shared" si="21"/>
        <v>2.5999746913568254E-4</v>
      </c>
      <c r="L124" s="353">
        <f t="shared" si="21"/>
        <v>2.0195744143679991E-4</v>
      </c>
      <c r="M124" s="300">
        <f xml:space="preserve"> PRODUCT(E124:L124)</f>
        <v>1.1232177149962249E-15</v>
      </c>
      <c r="N124" s="188"/>
      <c r="O124" s="188"/>
    </row>
    <row r="127" spans="2:34" ht="19">
      <c r="B127" s="66"/>
      <c r="C127" s="66"/>
      <c r="D127" s="66"/>
      <c r="E127" s="66"/>
      <c r="F127" s="66" t="s">
        <v>78</v>
      </c>
      <c r="G127" s="66"/>
      <c r="H127" s="66"/>
      <c r="I127" s="66"/>
      <c r="J127" s="66"/>
      <c r="K127" s="66"/>
      <c r="L127" s="66"/>
      <c r="M127" s="66"/>
      <c r="N127" s="66"/>
      <c r="O127" s="66"/>
    </row>
    <row r="128" spans="2:34" ht="27">
      <c r="B128" s="66"/>
      <c r="C128" s="147" t="s">
        <v>108</v>
      </c>
      <c r="D128" s="148"/>
      <c r="E128" s="66"/>
      <c r="F128" s="66"/>
      <c r="G128" s="66"/>
      <c r="H128" s="66"/>
      <c r="I128" s="66"/>
      <c r="J128" s="66"/>
      <c r="K128" s="66"/>
      <c r="L128" s="66"/>
      <c r="M128" s="66"/>
      <c r="N128" s="66"/>
      <c r="O128" s="66"/>
    </row>
    <row r="129" spans="2:15" ht="20" thickBot="1">
      <c r="B129" s="66"/>
      <c r="C129" s="66"/>
      <c r="D129" s="66"/>
      <c r="E129" s="66"/>
      <c r="F129" s="66"/>
      <c r="G129" s="66"/>
      <c r="H129" s="66"/>
      <c r="I129" s="66"/>
      <c r="J129" s="66"/>
      <c r="K129" s="66"/>
      <c r="L129" s="66"/>
      <c r="M129" s="66"/>
      <c r="N129" s="66"/>
      <c r="O129" s="66"/>
    </row>
    <row r="130" spans="2:15" ht="20" thickBot="1">
      <c r="B130" s="66"/>
      <c r="C130" s="67" t="s">
        <v>34</v>
      </c>
      <c r="D130" s="68"/>
      <c r="E130" s="68"/>
      <c r="F130" s="69"/>
      <c r="G130" s="66"/>
      <c r="H130" s="66"/>
      <c r="I130" s="66"/>
      <c r="J130" s="66"/>
      <c r="K130" s="66"/>
      <c r="L130" s="66"/>
      <c r="M130" s="66"/>
      <c r="N130" s="66"/>
      <c r="O130" s="66"/>
    </row>
    <row r="131" spans="2:15" ht="20" thickBot="1">
      <c r="B131" s="66"/>
      <c r="C131" s="72"/>
      <c r="D131" s="73" t="s">
        <v>37</v>
      </c>
      <c r="E131" s="74" t="s">
        <v>38</v>
      </c>
      <c r="F131" s="75" t="s">
        <v>39</v>
      </c>
      <c r="G131" s="66"/>
      <c r="H131" s="66"/>
      <c r="I131" s="66"/>
      <c r="J131" s="66"/>
      <c r="K131" s="66"/>
      <c r="L131" s="66"/>
      <c r="M131" s="66"/>
      <c r="N131" s="66"/>
      <c r="O131" s="66"/>
    </row>
    <row r="132" spans="2:15" ht="22" thickBot="1">
      <c r="B132" s="66"/>
      <c r="C132" s="220" t="s">
        <v>109</v>
      </c>
      <c r="D132" s="102">
        <f>D24*($Q$8)^2</f>
        <v>1.2019512199999999E-46</v>
      </c>
      <c r="E132" s="102">
        <f t="shared" ref="E132:F132" si="22">E24*($Q$8)^2</f>
        <v>3.85512424E-46</v>
      </c>
      <c r="F132" s="102">
        <f t="shared" si="22"/>
        <v>4.2070724599999998E-46</v>
      </c>
      <c r="G132" s="66"/>
      <c r="H132" s="66"/>
      <c r="I132" s="66"/>
      <c r="J132" s="66"/>
      <c r="K132" s="66"/>
      <c r="L132" s="66"/>
      <c r="M132" s="66"/>
      <c r="N132" s="66"/>
      <c r="O132" s="66"/>
    </row>
    <row r="133" spans="2:15" ht="19">
      <c r="B133" s="66"/>
      <c r="C133" s="66"/>
      <c r="D133" s="66"/>
      <c r="E133" s="66"/>
      <c r="F133" s="66"/>
      <c r="G133" s="66"/>
      <c r="H133" s="66"/>
      <c r="I133" s="66"/>
      <c r="J133" s="66"/>
      <c r="K133" s="66"/>
      <c r="L133" s="66"/>
      <c r="M133" s="66"/>
      <c r="N133" s="66"/>
      <c r="O133" s="66"/>
    </row>
    <row r="134" spans="2:15" ht="19">
      <c r="B134" s="66"/>
      <c r="C134" s="66"/>
      <c r="D134" s="66"/>
      <c r="E134" s="66"/>
      <c r="F134" s="66"/>
      <c r="G134" s="66"/>
      <c r="H134" s="66"/>
      <c r="I134" s="66"/>
      <c r="J134" s="66"/>
      <c r="K134" s="66"/>
      <c r="L134" s="66"/>
      <c r="M134" s="66"/>
      <c r="N134" s="66"/>
      <c r="O134" s="66"/>
    </row>
    <row r="135" spans="2:15" ht="20" thickBot="1">
      <c r="B135" s="66"/>
      <c r="C135" s="66"/>
      <c r="D135" s="66"/>
      <c r="E135" s="66"/>
      <c r="F135" s="66"/>
      <c r="G135" s="66"/>
      <c r="H135" s="66"/>
      <c r="I135" s="66"/>
      <c r="J135" s="66"/>
      <c r="K135" s="66"/>
      <c r="L135" s="66"/>
      <c r="M135" s="66"/>
      <c r="N135" s="66"/>
      <c r="O135" s="66"/>
    </row>
    <row r="136" spans="2:15" ht="23" thickBot="1">
      <c r="B136" s="66"/>
      <c r="C136" s="221" t="s">
        <v>80</v>
      </c>
      <c r="D136" s="149" t="s">
        <v>158</v>
      </c>
      <c r="E136" s="149" t="s">
        <v>159</v>
      </c>
      <c r="F136" s="66"/>
      <c r="G136" s="66"/>
      <c r="H136" s="151" t="s">
        <v>160</v>
      </c>
      <c r="I136" s="152"/>
      <c r="J136" s="152"/>
      <c r="K136" s="152"/>
      <c r="L136" s="152"/>
      <c r="M136" s="152"/>
      <c r="N136" s="152"/>
      <c r="O136" s="66"/>
    </row>
    <row r="137" spans="2:15" ht="20" thickBot="1">
      <c r="B137" s="66"/>
      <c r="C137" s="153">
        <v>298.14999999999998</v>
      </c>
      <c r="D137" s="155">
        <f t="shared" ref="D137:D155" si="23">(8*PI()^2*(2*PI()*$B$8*C137)^(3/2)*SQRT($D$132*$E$132*$F$132))/($I$139*$B$14^3)</f>
        <v>4984.5056483494118</v>
      </c>
      <c r="E137" s="155">
        <f>(SQRT(PI())/$A$31)*((C137^1.5)/SQRT($C$29*$D$29*$E$29))</f>
        <v>738.98775535778884</v>
      </c>
      <c r="F137" s="140"/>
      <c r="G137" s="66"/>
      <c r="H137" s="66"/>
      <c r="I137" s="66"/>
      <c r="J137" s="66"/>
      <c r="K137" s="66"/>
      <c r="L137" s="66"/>
      <c r="M137" s="66"/>
      <c r="N137" s="66"/>
      <c r="O137" s="66"/>
    </row>
    <row r="138" spans="2:15" ht="20" thickBot="1">
      <c r="B138" s="66"/>
      <c r="C138" s="153">
        <v>300</v>
      </c>
      <c r="D138" s="155">
        <f t="shared" si="23"/>
        <v>5030.9703060398397</v>
      </c>
      <c r="E138" s="155">
        <f>(SQRT(PI())/$A$31)*((C138^1.5)/SQRT($C$29*$D$29*$E$29))</f>
        <v>745.87646519433486</v>
      </c>
      <c r="F138" s="66"/>
      <c r="G138" s="66"/>
      <c r="L138" s="149" t="s">
        <v>156</v>
      </c>
      <c r="M138" s="149" t="s">
        <v>165</v>
      </c>
      <c r="N138" s="66"/>
      <c r="O138" s="66"/>
    </row>
    <row r="139" spans="2:15" ht="20" thickBot="1">
      <c r="B139" s="66"/>
      <c r="C139" s="156">
        <f>C138+100</f>
        <v>400</v>
      </c>
      <c r="D139" s="158">
        <f t="shared" si="23"/>
        <v>7745.685494605711</v>
      </c>
      <c r="E139" s="158">
        <f t="shared" ref="E139:E155" si="24">(SQRT(PI())/$A$31)*((C139^1.5)/SQRT($C$29*$D$29*$E$29))</f>
        <v>1148.3519412324156</v>
      </c>
      <c r="F139" s="66"/>
      <c r="H139" s="109" t="s">
        <v>146</v>
      </c>
      <c r="I139" s="310">
        <v>1</v>
      </c>
      <c r="K139" s="159" t="s">
        <v>85</v>
      </c>
      <c r="L139" s="160">
        <f>$D$137</f>
        <v>4984.5056483494118</v>
      </c>
      <c r="M139" s="288">
        <f>$E$138</f>
        <v>745.87646519433486</v>
      </c>
      <c r="N139" s="66"/>
      <c r="O139" s="66"/>
    </row>
    <row r="140" spans="2:15" ht="20" thickBot="1">
      <c r="B140" s="66"/>
      <c r="C140" s="156">
        <f t="shared" ref="C140:C155" si="25">C139+100</f>
        <v>500</v>
      </c>
      <c r="D140" s="158">
        <f t="shared" si="23"/>
        <v>10824.92456142019</v>
      </c>
      <c r="E140" s="158">
        <f t="shared" si="24"/>
        <v>1604.8706266809536</v>
      </c>
      <c r="F140" s="66"/>
      <c r="G140" s="66"/>
      <c r="K140" s="161" t="s">
        <v>86</v>
      </c>
      <c r="L140" s="162">
        <f>P34</f>
        <v>745.87599999999998</v>
      </c>
      <c r="M140" s="162">
        <f>L140</f>
        <v>745.87599999999998</v>
      </c>
      <c r="N140" s="66"/>
      <c r="O140" s="66"/>
    </row>
    <row r="141" spans="2:15" ht="22">
      <c r="B141" s="66"/>
      <c r="C141" s="156">
        <f t="shared" si="25"/>
        <v>600</v>
      </c>
      <c r="D141" s="158">
        <f t="shared" si="23"/>
        <v>14229.732877395762</v>
      </c>
      <c r="E141" s="158">
        <f t="shared" si="24"/>
        <v>2109.6572258654624</v>
      </c>
      <c r="F141" s="66"/>
      <c r="G141" s="66"/>
      <c r="H141" s="66"/>
      <c r="I141" s="66"/>
      <c r="K141" s="163" t="s">
        <v>87</v>
      </c>
      <c r="L141" s="164">
        <f>ABS(L139-L140)/L139</f>
        <v>0.85036108841666325</v>
      </c>
      <c r="M141" s="164">
        <f>ABS(M139-M140)/M139</f>
        <v>6.2368817972800783E-7</v>
      </c>
      <c r="N141" s="66"/>
      <c r="O141" s="66"/>
    </row>
    <row r="142" spans="2:15" ht="19">
      <c r="B142" s="66"/>
      <c r="C142" s="156">
        <f t="shared" si="25"/>
        <v>700</v>
      </c>
      <c r="D142" s="158">
        <f t="shared" si="23"/>
        <v>17931.512858391052</v>
      </c>
      <c r="E142" s="158">
        <f t="shared" si="24"/>
        <v>2658.4719473193245</v>
      </c>
      <c r="F142" s="66"/>
      <c r="G142" s="66"/>
    </row>
    <row r="143" spans="2:15" ht="19">
      <c r="B143" s="66"/>
      <c r="C143" s="156">
        <f t="shared" si="25"/>
        <v>800</v>
      </c>
      <c r="D143" s="158">
        <f t="shared" si="23"/>
        <v>21908.106952695653</v>
      </c>
      <c r="E143" s="158">
        <f t="shared" si="24"/>
        <v>3248.0297793367045</v>
      </c>
      <c r="F143" s="66"/>
      <c r="G143" s="66"/>
    </row>
    <row r="144" spans="2:15" ht="19">
      <c r="B144" s="66"/>
      <c r="C144" s="156">
        <f t="shared" si="25"/>
        <v>900</v>
      </c>
      <c r="D144" s="158">
        <f t="shared" si="23"/>
        <v>26141.688544293942</v>
      </c>
      <c r="E144" s="158">
        <f t="shared" si="24"/>
        <v>3875.6878016594019</v>
      </c>
      <c r="F144" s="66"/>
      <c r="G144" s="66"/>
    </row>
    <row r="145" spans="3:5" ht="19">
      <c r="C145" s="156">
        <f t="shared" si="25"/>
        <v>1000</v>
      </c>
      <c r="D145" s="158">
        <f t="shared" si="23"/>
        <v>30617.510252851775</v>
      </c>
      <c r="E145" s="158">
        <f t="shared" si="24"/>
        <v>4539.2596122128225</v>
      </c>
    </row>
    <row r="146" spans="3:5" ht="19">
      <c r="C146" s="156">
        <f t="shared" si="25"/>
        <v>1100</v>
      </c>
      <c r="D146" s="158">
        <f t="shared" si="23"/>
        <v>35323.107228344634</v>
      </c>
      <c r="E146" s="158">
        <f t="shared" si="24"/>
        <v>5236.8972099732373</v>
      </c>
    </row>
    <row r="147" spans="3:5" ht="19">
      <c r="C147" s="156">
        <f t="shared" si="25"/>
        <v>1200</v>
      </c>
      <c r="D147" s="158">
        <f t="shared" si="23"/>
        <v>40247.762448318936</v>
      </c>
      <c r="E147" s="158">
        <f t="shared" si="24"/>
        <v>5967.0117215546798</v>
      </c>
    </row>
    <row r="148" spans="3:5" ht="19">
      <c r="C148" s="156">
        <f t="shared" si="25"/>
        <v>1300</v>
      </c>
      <c r="D148" s="158">
        <f t="shared" si="23"/>
        <v>45382.132598429365</v>
      </c>
      <c r="E148" s="158">
        <f t="shared" si="24"/>
        <v>6728.2179353871297</v>
      </c>
    </row>
    <row r="149" spans="3:5" ht="19">
      <c r="C149" s="156">
        <f t="shared" si="25"/>
        <v>1400</v>
      </c>
      <c r="D149" s="158">
        <f t="shared" si="23"/>
        <v>50717.977356408483</v>
      </c>
      <c r="E149" s="158">
        <f t="shared" si="24"/>
        <v>7519.2941661748109</v>
      </c>
    </row>
    <row r="150" spans="3:5" ht="19">
      <c r="C150" s="156">
        <f t="shared" si="25"/>
        <v>1500</v>
      </c>
      <c r="D150" s="158">
        <f t="shared" si="23"/>
        <v>56247.957985439847</v>
      </c>
      <c r="E150" s="158">
        <f t="shared" si="24"/>
        <v>8339.1523949589482</v>
      </c>
    </row>
    <row r="151" spans="3:5" ht="19">
      <c r="C151" s="156">
        <f t="shared" si="25"/>
        <v>1600</v>
      </c>
      <c r="D151" s="158">
        <f t="shared" si="23"/>
        <v>61965.483956845172</v>
      </c>
      <c r="E151" s="158">
        <f t="shared" si="24"/>
        <v>9186.8155298593283</v>
      </c>
    </row>
    <row r="152" spans="3:5" ht="19">
      <c r="C152" s="156">
        <f t="shared" si="25"/>
        <v>1700</v>
      </c>
      <c r="D152" s="158">
        <f t="shared" si="23"/>
        <v>67864.593803781987</v>
      </c>
      <c r="E152" s="158">
        <f t="shared" si="24"/>
        <v>10061.399741804213</v>
      </c>
    </row>
    <row r="153" spans="3:5" ht="19">
      <c r="C153" s="156">
        <f t="shared" si="25"/>
        <v>1800</v>
      </c>
      <c r="D153" s="158">
        <f t="shared" si="23"/>
        <v>73939.860965347936</v>
      </c>
      <c r="E153" s="158">
        <f t="shared" si="24"/>
        <v>10962.100505261395</v>
      </c>
    </row>
    <row r="154" spans="3:5" ht="19">
      <c r="C154" s="156">
        <f t="shared" si="25"/>
        <v>1900</v>
      </c>
      <c r="D154" s="158">
        <f t="shared" si="23"/>
        <v>80186.31825865795</v>
      </c>
      <c r="E154" s="158">
        <f t="shared" si="24"/>
        <v>11888.181400695792</v>
      </c>
    </row>
    <row r="155" spans="3:5" ht="20" thickBot="1">
      <c r="C155" s="165">
        <f t="shared" si="25"/>
        <v>2000</v>
      </c>
      <c r="D155" s="167">
        <f t="shared" si="23"/>
        <v>86599.396491360763</v>
      </c>
      <c r="E155" s="167">
        <f t="shared" si="24"/>
        <v>12838.965013447609</v>
      </c>
    </row>
    <row r="162" spans="2:16" ht="19">
      <c r="B162" s="66"/>
      <c r="C162" s="66"/>
      <c r="D162" s="66"/>
      <c r="E162" s="66"/>
      <c r="F162" s="66"/>
      <c r="G162" s="66"/>
      <c r="H162" s="66"/>
      <c r="I162" s="66"/>
      <c r="J162" s="66"/>
      <c r="K162" s="66"/>
      <c r="L162" s="66"/>
      <c r="M162" s="66"/>
      <c r="N162" s="66"/>
      <c r="O162" s="66"/>
      <c r="P162" s="66"/>
    </row>
    <row r="163" spans="2:16" ht="19">
      <c r="B163" s="66"/>
      <c r="C163" s="66"/>
      <c r="D163" s="66"/>
      <c r="E163" s="66"/>
      <c r="F163" s="66" t="s">
        <v>78</v>
      </c>
      <c r="G163" s="66"/>
      <c r="H163" s="66"/>
      <c r="I163" s="66"/>
      <c r="J163" s="66"/>
      <c r="K163" s="66"/>
      <c r="L163" s="66"/>
      <c r="M163" s="66"/>
      <c r="N163" s="66"/>
      <c r="O163" s="66"/>
    </row>
    <row r="164" spans="2:16" ht="27">
      <c r="B164" s="66"/>
      <c r="C164" s="147" t="s">
        <v>111</v>
      </c>
      <c r="D164" s="148"/>
      <c r="E164" s="66"/>
      <c r="F164" s="66"/>
      <c r="G164" s="66"/>
      <c r="H164" s="66"/>
      <c r="I164" s="66"/>
      <c r="J164" s="66"/>
      <c r="K164" s="66"/>
      <c r="L164" s="66"/>
      <c r="M164" s="66"/>
      <c r="N164" s="66"/>
      <c r="O164" s="66"/>
    </row>
    <row r="165" spans="2:16" ht="19">
      <c r="B165" s="66"/>
      <c r="C165" s="66"/>
      <c r="D165" s="66"/>
      <c r="E165" s="66"/>
      <c r="F165" s="66"/>
      <c r="G165" s="66"/>
      <c r="H165" s="66"/>
      <c r="I165" s="66"/>
      <c r="J165" s="66"/>
      <c r="K165" s="66"/>
      <c r="L165" s="66"/>
      <c r="M165" s="66"/>
      <c r="N165" s="66"/>
      <c r="O165" s="66"/>
    </row>
    <row r="166" spans="2:16" ht="20" thickBot="1">
      <c r="B166" s="66"/>
      <c r="C166" s="141" t="s">
        <v>112</v>
      </c>
      <c r="F166" s="66"/>
      <c r="G166" s="66"/>
      <c r="H166" s="66"/>
      <c r="I166" s="66"/>
      <c r="J166" s="66"/>
      <c r="K166" s="66"/>
      <c r="L166" s="66"/>
      <c r="M166" s="66"/>
      <c r="N166" s="66"/>
      <c r="O166" s="66"/>
    </row>
    <row r="167" spans="2:16" ht="20" thickBot="1">
      <c r="B167" s="66"/>
      <c r="C167" s="224"/>
      <c r="D167" s="142">
        <v>1</v>
      </c>
      <c r="E167" s="291">
        <f>D167+1</f>
        <v>2</v>
      </c>
      <c r="F167" s="291">
        <f t="shared" ref="F167:G167" si="26">E167+1</f>
        <v>3</v>
      </c>
      <c r="G167" s="291">
        <f t="shared" si="26"/>
        <v>4</v>
      </c>
      <c r="H167" s="143" t="s">
        <v>113</v>
      </c>
      <c r="I167" s="66"/>
      <c r="J167" s="66"/>
      <c r="K167" s="66"/>
      <c r="L167" s="66"/>
      <c r="M167" s="66"/>
      <c r="N167" s="66"/>
      <c r="O167" s="66"/>
    </row>
    <row r="168" spans="2:16" ht="20" thickBot="1">
      <c r="B168" s="66"/>
      <c r="C168" s="225" t="s">
        <v>114</v>
      </c>
      <c r="D168" s="226">
        <f>J$46</f>
        <v>-57.021193874200002</v>
      </c>
      <c r="E168" s="226">
        <f t="shared" ref="E168:F168" si="27">K$46</f>
        <v>-57.0211047791</v>
      </c>
      <c r="F168" s="226">
        <f t="shared" si="27"/>
        <v>-57.021102487599997</v>
      </c>
      <c r="G168" s="226">
        <f t="shared" ref="G168" si="28">M$46</f>
        <v>-57.021102517899998</v>
      </c>
      <c r="H168" s="226">
        <f t="shared" ref="H168" si="29">N$46</f>
        <v>-57.021102517899998</v>
      </c>
      <c r="I168" s="66"/>
      <c r="J168" s="66"/>
      <c r="K168" s="66"/>
      <c r="L168" s="66"/>
      <c r="M168" s="66"/>
      <c r="N168" s="66"/>
      <c r="O168" s="66"/>
    </row>
    <row r="169" spans="2:16" ht="20" thickBot="1">
      <c r="B169" s="66"/>
      <c r="C169" s="228" t="s">
        <v>115</v>
      </c>
      <c r="D169" s="173">
        <f>D168*$K$7</f>
        <v>-2.4861240529151198E-16</v>
      </c>
      <c r="E169" s="173">
        <f t="shared" ref="E169:H169" si="30">E168*$K$7</f>
        <v>-2.4861201683687597E-16</v>
      </c>
      <c r="F169" s="173">
        <f t="shared" si="30"/>
        <v>-2.4861200684593599E-16</v>
      </c>
      <c r="G169" s="173">
        <f t="shared" si="30"/>
        <v>-2.4861200697804396E-16</v>
      </c>
      <c r="H169" s="173">
        <f t="shared" si="30"/>
        <v>-2.4861200697804396E-16</v>
      </c>
      <c r="I169" s="66"/>
      <c r="J169" s="66"/>
      <c r="K169" s="66"/>
      <c r="L169" s="66"/>
      <c r="M169" s="66"/>
      <c r="N169" s="66"/>
      <c r="O169" s="66"/>
    </row>
    <row r="170" spans="2:16" ht="20" thickBot="1">
      <c r="B170" s="66"/>
      <c r="D170" s="66"/>
      <c r="E170" s="66"/>
      <c r="F170" s="66"/>
      <c r="G170" s="66"/>
      <c r="H170" s="66"/>
      <c r="I170" s="66"/>
      <c r="J170" s="66"/>
      <c r="K170" s="66"/>
      <c r="L170" s="66"/>
      <c r="M170" s="66"/>
      <c r="N170" s="66"/>
      <c r="O170" s="66"/>
    </row>
    <row r="171" spans="2:16" ht="22" thickBot="1">
      <c r="B171" s="66"/>
      <c r="C171" s="203" t="s">
        <v>116</v>
      </c>
      <c r="D171" s="66"/>
      <c r="E171" s="66"/>
      <c r="F171" s="66"/>
      <c r="G171" s="66"/>
      <c r="H171" s="66"/>
      <c r="I171" s="66"/>
      <c r="J171" s="66"/>
      <c r="K171" s="66"/>
      <c r="L171" s="66"/>
      <c r="M171" s="66"/>
      <c r="N171" s="66"/>
      <c r="O171" s="66"/>
    </row>
    <row r="172" spans="2:16" ht="23" thickBot="1">
      <c r="B172" s="66"/>
      <c r="C172" s="230">
        <f>H169+L23</f>
        <v>-2.4846910797804397E-16</v>
      </c>
      <c r="F172" s="66"/>
      <c r="G172" s="66"/>
      <c r="H172" s="151" t="s">
        <v>160</v>
      </c>
      <c r="I172" s="152"/>
      <c r="J172" s="152"/>
      <c r="K172" s="152"/>
      <c r="L172" s="152"/>
      <c r="M172" s="152"/>
      <c r="N172" s="66"/>
      <c r="O172" s="66"/>
    </row>
    <row r="173" spans="2:16" ht="20" thickBot="1">
      <c r="B173" s="66"/>
      <c r="F173" s="140"/>
      <c r="G173" s="66"/>
      <c r="H173" s="66"/>
      <c r="I173" s="66"/>
      <c r="J173" s="66"/>
      <c r="K173" s="66"/>
      <c r="L173" s="66"/>
      <c r="M173" s="66"/>
      <c r="N173" s="66"/>
      <c r="O173" s="66"/>
    </row>
    <row r="174" spans="2:16" ht="22" thickBot="1">
      <c r="B174" s="66"/>
      <c r="C174" s="221" t="s">
        <v>80</v>
      </c>
      <c r="D174" s="231" t="s">
        <v>117</v>
      </c>
      <c r="F174" s="66"/>
      <c r="G174" s="66"/>
      <c r="L174" s="149" t="s">
        <v>161</v>
      </c>
      <c r="M174" s="66"/>
      <c r="N174" s="66"/>
      <c r="O174" s="66"/>
    </row>
    <row r="175" spans="2:16" ht="20" thickBot="1">
      <c r="B175" s="66"/>
      <c r="C175" s="153">
        <v>298.14999999999998</v>
      </c>
      <c r="D175" s="155">
        <f>2</f>
        <v>2</v>
      </c>
      <c r="F175" s="66"/>
      <c r="G175" s="66"/>
      <c r="K175" s="159" t="s">
        <v>85</v>
      </c>
      <c r="L175" s="160">
        <f>2</f>
        <v>2</v>
      </c>
      <c r="M175" s="66"/>
      <c r="N175" s="66"/>
      <c r="O175" s="66"/>
    </row>
    <row r="176" spans="2:16" ht="20" thickBot="1">
      <c r="B176" s="66"/>
      <c r="C176" s="153">
        <v>300</v>
      </c>
      <c r="D176" s="155">
        <f>2</f>
        <v>2</v>
      </c>
      <c r="F176" s="66"/>
      <c r="G176" s="66"/>
      <c r="K176" s="161" t="s">
        <v>86</v>
      </c>
      <c r="L176" s="162">
        <f>P32</f>
        <v>2</v>
      </c>
      <c r="M176" s="66"/>
      <c r="N176" s="66"/>
      <c r="O176" s="66"/>
    </row>
    <row r="177" spans="2:15" ht="22">
      <c r="B177" s="66"/>
      <c r="C177" s="156">
        <f>C176+100</f>
        <v>400</v>
      </c>
      <c r="D177" s="158">
        <f>2</f>
        <v>2</v>
      </c>
      <c r="F177" s="66"/>
      <c r="G177" s="66"/>
      <c r="H177" s="66"/>
      <c r="I177" s="66"/>
      <c r="K177" s="163" t="s">
        <v>87</v>
      </c>
      <c r="L177" s="164">
        <f>ABS(L175-L176)/L175</f>
        <v>0</v>
      </c>
      <c r="M177" s="66"/>
      <c r="N177" s="66"/>
      <c r="O177" s="66"/>
    </row>
    <row r="178" spans="2:15" ht="19">
      <c r="B178" s="66"/>
      <c r="C178" s="156">
        <f t="shared" ref="C178:C193" si="31">C177+100</f>
        <v>500</v>
      </c>
      <c r="D178" s="158">
        <f>2</f>
        <v>2</v>
      </c>
      <c r="F178" s="66"/>
      <c r="G178" s="66"/>
    </row>
    <row r="179" spans="2:15" ht="19">
      <c r="B179" s="66"/>
      <c r="C179" s="156">
        <f t="shared" si="31"/>
        <v>600</v>
      </c>
      <c r="D179" s="158">
        <f>2</f>
        <v>2</v>
      </c>
      <c r="F179" s="66"/>
      <c r="G179" s="66"/>
    </row>
    <row r="180" spans="2:15" ht="19">
      <c r="B180" s="66"/>
      <c r="C180" s="156">
        <f t="shared" si="31"/>
        <v>700</v>
      </c>
      <c r="D180" s="158">
        <f>2</f>
        <v>2</v>
      </c>
      <c r="F180" s="66"/>
      <c r="G180" s="66"/>
    </row>
    <row r="181" spans="2:15" ht="19">
      <c r="C181" s="156">
        <f t="shared" si="31"/>
        <v>800</v>
      </c>
      <c r="D181" s="158">
        <f>2</f>
        <v>2</v>
      </c>
    </row>
    <row r="182" spans="2:15" ht="19">
      <c r="C182" s="156">
        <f t="shared" si="31"/>
        <v>900</v>
      </c>
      <c r="D182" s="158">
        <f>2</f>
        <v>2</v>
      </c>
    </row>
    <row r="183" spans="2:15" ht="19">
      <c r="C183" s="156">
        <f t="shared" si="31"/>
        <v>1000</v>
      </c>
      <c r="D183" s="158">
        <f>2</f>
        <v>2</v>
      </c>
    </row>
    <row r="184" spans="2:15" ht="19">
      <c r="C184" s="156">
        <f t="shared" si="31"/>
        <v>1100</v>
      </c>
      <c r="D184" s="158">
        <f>2</f>
        <v>2</v>
      </c>
    </row>
    <row r="185" spans="2:15" ht="19">
      <c r="C185" s="156">
        <f t="shared" si="31"/>
        <v>1200</v>
      </c>
      <c r="D185" s="158">
        <f>2</f>
        <v>2</v>
      </c>
    </row>
    <row r="186" spans="2:15" ht="19">
      <c r="C186" s="156">
        <f t="shared" si="31"/>
        <v>1300</v>
      </c>
      <c r="D186" s="158">
        <f>2</f>
        <v>2</v>
      </c>
    </row>
    <row r="187" spans="2:15" ht="19">
      <c r="C187" s="156">
        <f t="shared" si="31"/>
        <v>1400</v>
      </c>
      <c r="D187" s="158">
        <f>2</f>
        <v>2</v>
      </c>
    </row>
    <row r="188" spans="2:15" ht="19">
      <c r="C188" s="156">
        <f t="shared" si="31"/>
        <v>1500</v>
      </c>
      <c r="D188" s="158">
        <f>2</f>
        <v>2</v>
      </c>
    </row>
    <row r="189" spans="2:15" ht="19">
      <c r="C189" s="156">
        <f t="shared" si="31"/>
        <v>1600</v>
      </c>
      <c r="D189" s="158">
        <f>2</f>
        <v>2</v>
      </c>
    </row>
    <row r="190" spans="2:15" ht="19">
      <c r="C190" s="156">
        <f t="shared" si="31"/>
        <v>1700</v>
      </c>
      <c r="D190" s="158">
        <f>2</f>
        <v>2</v>
      </c>
    </row>
    <row r="191" spans="2:15" ht="19">
      <c r="C191" s="156">
        <f t="shared" si="31"/>
        <v>1800</v>
      </c>
      <c r="D191" s="158">
        <f>2</f>
        <v>2</v>
      </c>
    </row>
    <row r="192" spans="2:15" ht="19">
      <c r="C192" s="156">
        <f t="shared" si="31"/>
        <v>1900</v>
      </c>
      <c r="D192" s="158">
        <f>2</f>
        <v>2</v>
      </c>
    </row>
    <row r="193" spans="3:11" ht="20" thickBot="1">
      <c r="C193" s="165">
        <f t="shared" si="31"/>
        <v>2000</v>
      </c>
      <c r="D193" s="167">
        <f>2</f>
        <v>2</v>
      </c>
    </row>
    <row r="197" spans="3:11" ht="17" thickBot="1"/>
    <row r="198" spans="3:11" ht="20" thickBot="1">
      <c r="E198" s="66"/>
      <c r="F198" s="66" t="s">
        <v>78</v>
      </c>
      <c r="G198" s="66"/>
      <c r="H198" s="470" t="s">
        <v>118</v>
      </c>
      <c r="I198" s="471"/>
      <c r="J198" s="471"/>
      <c r="K198" s="472"/>
    </row>
    <row r="199" spans="3:11" ht="28" thickBot="1">
      <c r="C199" s="147" t="s">
        <v>119</v>
      </c>
      <c r="D199" s="148"/>
      <c r="E199" s="66"/>
      <c r="F199" s="66"/>
      <c r="G199" s="66"/>
      <c r="H199" s="137" t="s">
        <v>120</v>
      </c>
      <c r="I199" s="137" t="s">
        <v>121</v>
      </c>
      <c r="J199" s="137" t="s">
        <v>122</v>
      </c>
      <c r="K199" s="137" t="s">
        <v>123</v>
      </c>
    </row>
    <row r="202" spans="3:11" ht="17" thickBot="1"/>
    <row r="203" spans="3:11" ht="20" thickBot="1">
      <c r="D203" s="465" t="s">
        <v>124</v>
      </c>
      <c r="E203" s="466"/>
    </row>
    <row r="204" spans="3:11" ht="20" thickBot="1">
      <c r="D204" s="172" t="s">
        <v>125</v>
      </c>
      <c r="E204" s="232" t="s">
        <v>126</v>
      </c>
    </row>
    <row r="205" spans="3:11" ht="19">
      <c r="C205" s="92" t="s">
        <v>45</v>
      </c>
      <c r="D205" s="98">
        <f>$Q23</f>
        <v>8.1050000000000004</v>
      </c>
      <c r="E205" s="160">
        <f>D205*4.184</f>
        <v>33.911320000000003</v>
      </c>
    </row>
    <row r="206" spans="3:11" ht="19">
      <c r="C206" s="100" t="s">
        <v>48</v>
      </c>
      <c r="D206" s="98">
        <f t="shared" ref="D206:D209" si="32">$Q24</f>
        <v>0</v>
      </c>
      <c r="E206" s="235">
        <f t="shared" ref="E206:E209" si="33">D206*4.184</f>
        <v>0</v>
      </c>
    </row>
    <row r="207" spans="3:11" ht="19">
      <c r="C207" s="100" t="s">
        <v>50</v>
      </c>
      <c r="D207" s="98">
        <f t="shared" si="32"/>
        <v>2.9809999999999999</v>
      </c>
      <c r="E207" s="235">
        <f t="shared" si="33"/>
        <v>12.472504000000001</v>
      </c>
    </row>
    <row r="208" spans="3:11" ht="19">
      <c r="C208" s="100" t="s">
        <v>52</v>
      </c>
      <c r="D208" s="98">
        <f t="shared" si="32"/>
        <v>2.9809999999999999</v>
      </c>
      <c r="E208" s="235">
        <f t="shared" si="33"/>
        <v>12.472504000000001</v>
      </c>
    </row>
    <row r="209" spans="3:16" ht="20" thickBot="1">
      <c r="C209" s="105" t="s">
        <v>55</v>
      </c>
      <c r="D209" s="98">
        <f t="shared" si="32"/>
        <v>2.1440000000000001</v>
      </c>
      <c r="E209" s="235">
        <f t="shared" si="33"/>
        <v>8.9704960000000007</v>
      </c>
      <c r="K209">
        <f>COLUMN(E205)</f>
        <v>5</v>
      </c>
    </row>
    <row r="210" spans="3:16" ht="24" customHeight="1"/>
    <row r="211" spans="3:16" ht="17" thickBot="1"/>
    <row r="212" spans="3:16" ht="23" thickBot="1">
      <c r="D212" s="467" t="s">
        <v>126</v>
      </c>
      <c r="E212" s="468"/>
      <c r="F212" s="468"/>
      <c r="G212" s="468"/>
      <c r="H212" s="469"/>
      <c r="J212" s="151" t="s">
        <v>160</v>
      </c>
      <c r="K212" s="152"/>
      <c r="L212" s="152"/>
      <c r="M212" s="152"/>
      <c r="N212" s="152"/>
      <c r="O212" s="152"/>
      <c r="P212" s="66"/>
    </row>
    <row r="213" spans="3:16" ht="20" thickBot="1">
      <c r="C213" s="221" t="s">
        <v>80</v>
      </c>
      <c r="D213" s="236" t="s">
        <v>127</v>
      </c>
      <c r="E213" s="237" t="s">
        <v>128</v>
      </c>
      <c r="F213" s="237" t="s">
        <v>129</v>
      </c>
      <c r="G213" s="238" t="s">
        <v>130</v>
      </c>
      <c r="H213" s="203" t="s">
        <v>131</v>
      </c>
      <c r="J213" s="66"/>
      <c r="K213" s="66"/>
      <c r="L213" s="66"/>
      <c r="M213" s="66"/>
      <c r="N213" s="66"/>
      <c r="O213" s="66"/>
      <c r="P213" s="66"/>
    </row>
    <row r="214" spans="3:16" ht="20" thickBot="1">
      <c r="C214" s="174">
        <v>298.14999999999998</v>
      </c>
      <c r="D214" s="311">
        <f>3*$B$7/2</f>
        <v>12.471599999999999</v>
      </c>
      <c r="E214" s="313" t="e" cm="1">
        <f t="array" ref="E214">$B$7*SUM(($D$43:$D$53*$D$43:$D$53)*EXP($D$43:$D$53/$C214)/($C214^2*(EXP($D$43:$D$53/$C214)-1)^2))</f>
        <v>#DIV/0!</v>
      </c>
      <c r="F214" s="312">
        <f>3*$B$7/2</f>
        <v>12.471599999999999</v>
      </c>
      <c r="G214" s="312">
        <v>0</v>
      </c>
      <c r="H214" s="241" t="e">
        <f t="shared" ref="H214:H232" si="34">SUM(D214:G214)</f>
        <v>#DIV/0!</v>
      </c>
      <c r="K214" s="236" t="s">
        <v>127</v>
      </c>
      <c r="L214" s="237" t="s">
        <v>128</v>
      </c>
      <c r="M214" s="237" t="s">
        <v>129</v>
      </c>
      <c r="N214" s="238" t="s">
        <v>130</v>
      </c>
      <c r="O214" s="203" t="s">
        <v>131</v>
      </c>
      <c r="P214" s="66"/>
    </row>
    <row r="215" spans="3:16" ht="19">
      <c r="C215" s="153">
        <v>300</v>
      </c>
      <c r="D215" s="311">
        <f>3*$B$7/2</f>
        <v>12.471599999999999</v>
      </c>
      <c r="E215" s="313" t="e" cm="1">
        <f t="array" ref="E215">$B$7*SUM(($D$43:$D$53*$D$43:$D$53)*EXP($D$43:$D$53/$C215)/($C215^2*(EXP($D$43:$D$53/$C215)-1)^2))</f>
        <v>#DIV/0!</v>
      </c>
      <c r="F215" s="312">
        <f>3*$B$7/2</f>
        <v>12.471599999999999</v>
      </c>
      <c r="G215" s="314">
        <v>0</v>
      </c>
      <c r="H215" s="241" t="e">
        <f t="shared" si="34"/>
        <v>#DIV/0!</v>
      </c>
      <c r="J215" s="159" t="s">
        <v>85</v>
      </c>
      <c r="K215" s="160">
        <f>D$215</f>
        <v>12.471599999999999</v>
      </c>
      <c r="L215" s="160" t="e">
        <f>E$215</f>
        <v>#DIV/0!</v>
      </c>
      <c r="M215" s="160">
        <f>F$215</f>
        <v>12.471599999999999</v>
      </c>
      <c r="N215" s="160">
        <f>G$215</f>
        <v>0</v>
      </c>
      <c r="O215" s="160" t="e">
        <f>H$215</f>
        <v>#DIV/0!</v>
      </c>
      <c r="P215" s="66"/>
    </row>
    <row r="216" spans="3:16" ht="20" thickBot="1">
      <c r="C216" s="156">
        <f>C215+100</f>
        <v>400</v>
      </c>
      <c r="D216" s="315">
        <f t="shared" ref="D216:D232" si="35">3*$B$7/2</f>
        <v>12.471599999999999</v>
      </c>
      <c r="E216" s="321" t="e" cm="1">
        <f t="array" ref="E216">$B$7*SUM(($D$43:$D$53*$D$43:$D$53)*EXP($D$43:$D$53/$C216)/($C216^2*(EXP($D$43:$D$53/$C216)-1)^2))</f>
        <v>#DIV/0!</v>
      </c>
      <c r="F216" s="281">
        <f t="shared" ref="F216:F232" si="36">3*$B$7/2</f>
        <v>12.471599999999999</v>
      </c>
      <c r="G216" s="316">
        <v>0</v>
      </c>
      <c r="H216" s="245" t="e">
        <f t="shared" si="34"/>
        <v>#DIV/0!</v>
      </c>
      <c r="J216" s="161" t="s">
        <v>86</v>
      </c>
      <c r="K216" s="162">
        <f>E207</f>
        <v>12.472504000000001</v>
      </c>
      <c r="L216" s="162">
        <f>E209</f>
        <v>8.9704960000000007</v>
      </c>
      <c r="M216" s="162">
        <f>E208</f>
        <v>12.472504000000001</v>
      </c>
      <c r="N216" s="162">
        <f>E206</f>
        <v>0</v>
      </c>
      <c r="O216" s="162">
        <f>E205</f>
        <v>33.911320000000003</v>
      </c>
      <c r="P216" s="66"/>
    </row>
    <row r="217" spans="3:16" ht="22">
      <c r="C217" s="156">
        <f t="shared" ref="C217:C232" si="37">C216+100</f>
        <v>500</v>
      </c>
      <c r="D217" s="315">
        <f t="shared" si="35"/>
        <v>12.471599999999999</v>
      </c>
      <c r="E217" s="321" t="e" cm="1">
        <f t="array" ref="E217">$B$7*SUM(($D$43:$D$53*$D$43:$D$53)*EXP($D$43:$D$53/$C217)/($C217^2*(EXP($D$43:$D$53/$C217)-1)^2))</f>
        <v>#DIV/0!</v>
      </c>
      <c r="F217" s="281">
        <f t="shared" si="36"/>
        <v>12.471599999999999</v>
      </c>
      <c r="G217" s="316">
        <v>0</v>
      </c>
      <c r="H217" s="245" t="e">
        <f t="shared" si="34"/>
        <v>#DIV/0!</v>
      </c>
      <c r="J217" s="163" t="s">
        <v>87</v>
      </c>
      <c r="K217" s="164">
        <f>IFERROR(ABS(K215-K216)/K215,0)</f>
        <v>7.2484685204946797E-5</v>
      </c>
      <c r="L217" s="164">
        <f t="shared" ref="L217:O217" si="38">IFERROR(ABS(L215-L216)/L215,0)</f>
        <v>0</v>
      </c>
      <c r="M217" s="164">
        <f t="shared" si="38"/>
        <v>7.2484685204946797E-5</v>
      </c>
      <c r="N217" s="164">
        <f t="shared" si="38"/>
        <v>0</v>
      </c>
      <c r="O217" s="164">
        <f t="shared" si="38"/>
        <v>0</v>
      </c>
      <c r="P217" s="66"/>
    </row>
    <row r="218" spans="3:16" ht="19">
      <c r="C218" s="156">
        <f t="shared" si="37"/>
        <v>600</v>
      </c>
      <c r="D218" s="315">
        <f t="shared" si="35"/>
        <v>12.471599999999999</v>
      </c>
      <c r="E218" s="321" t="e" cm="1">
        <f t="array" ref="E218">$B$7*SUM(($D$43:$D$53*$D$43:$D$53)*EXP($D$43:$D$53/$C218)/($C218^2*(EXP($D$43:$D$53/$C218)-1)^2))</f>
        <v>#DIV/0!</v>
      </c>
      <c r="F218" s="281">
        <f t="shared" si="36"/>
        <v>12.471599999999999</v>
      </c>
      <c r="G218" s="316">
        <v>0</v>
      </c>
      <c r="H218" s="245" t="e">
        <f t="shared" si="34"/>
        <v>#DIV/0!</v>
      </c>
    </row>
    <row r="219" spans="3:16" ht="19">
      <c r="C219" s="156">
        <f t="shared" si="37"/>
        <v>700</v>
      </c>
      <c r="D219" s="315">
        <f t="shared" si="35"/>
        <v>12.471599999999999</v>
      </c>
      <c r="E219" s="321" t="e" cm="1">
        <f t="array" ref="E219">$B$7*SUM(($D$43:$D$53*$D$43:$D$53)*EXP($D$43:$D$53/$C219)/($C219^2*(EXP($D$43:$D$53/$C219)-1)^2))</f>
        <v>#DIV/0!</v>
      </c>
      <c r="F219" s="281">
        <f t="shared" si="36"/>
        <v>12.471599999999999</v>
      </c>
      <c r="G219" s="316">
        <v>0</v>
      </c>
      <c r="H219" s="245" t="e">
        <f t="shared" si="34"/>
        <v>#DIV/0!</v>
      </c>
    </row>
    <row r="220" spans="3:16" ht="19">
      <c r="C220" s="156">
        <f t="shared" si="37"/>
        <v>800</v>
      </c>
      <c r="D220" s="315">
        <f t="shared" si="35"/>
        <v>12.471599999999999</v>
      </c>
      <c r="E220" s="321" t="e" cm="1">
        <f t="array" ref="E220">$B$7*SUM(($D$43:$D$53*$D$43:$D$53)*EXP($D$43:$D$53/$C220)/($C220^2*(EXP($D$43:$D$53/$C220)-1)^2))</f>
        <v>#DIV/0!</v>
      </c>
      <c r="F220" s="281">
        <f t="shared" si="36"/>
        <v>12.471599999999999</v>
      </c>
      <c r="G220" s="316">
        <v>0</v>
      </c>
      <c r="H220" s="245" t="e">
        <f t="shared" si="34"/>
        <v>#DIV/0!</v>
      </c>
    </row>
    <row r="221" spans="3:16" ht="19">
      <c r="C221" s="156">
        <f t="shared" si="37"/>
        <v>900</v>
      </c>
      <c r="D221" s="315">
        <f t="shared" si="35"/>
        <v>12.471599999999999</v>
      </c>
      <c r="E221" s="321" t="e" cm="1">
        <f t="array" ref="E221">$B$7*SUM(($D$43:$D$53*$D$43:$D$53)*EXP($D$43:$D$53/$C221)/($C221^2*(EXP($D$43:$D$53/$C221)-1)^2))</f>
        <v>#DIV/0!</v>
      </c>
      <c r="F221" s="281">
        <f t="shared" si="36"/>
        <v>12.471599999999999</v>
      </c>
      <c r="G221" s="316">
        <v>0</v>
      </c>
      <c r="H221" s="245" t="e">
        <f t="shared" si="34"/>
        <v>#DIV/0!</v>
      </c>
    </row>
    <row r="222" spans="3:16" ht="19">
      <c r="C222" s="156">
        <f t="shared" si="37"/>
        <v>1000</v>
      </c>
      <c r="D222" s="315">
        <f t="shared" si="35"/>
        <v>12.471599999999999</v>
      </c>
      <c r="E222" s="321" t="e" cm="1">
        <f t="array" ref="E222">$B$7*SUM(($D$43:$D$53*$D$43:$D$53)*EXP($D$43:$D$53/$C222)/($C222^2*(EXP($D$43:$D$53/$C222)-1)^2))</f>
        <v>#DIV/0!</v>
      </c>
      <c r="F222" s="281">
        <f t="shared" si="36"/>
        <v>12.471599999999999</v>
      </c>
      <c r="G222" s="316">
        <v>0</v>
      </c>
      <c r="H222" s="245" t="e">
        <f t="shared" si="34"/>
        <v>#DIV/0!</v>
      </c>
    </row>
    <row r="223" spans="3:16" ht="19">
      <c r="C223" s="156">
        <f t="shared" si="37"/>
        <v>1100</v>
      </c>
      <c r="D223" s="315">
        <f t="shared" si="35"/>
        <v>12.471599999999999</v>
      </c>
      <c r="E223" s="321" t="e" cm="1">
        <f t="array" ref="E223">$B$7*SUM(($D$43:$D$53*$D$43:$D$53)*EXP($D$43:$D$53/$C223)/($C223^2*(EXP($D$43:$D$53/$C223)-1)^2))</f>
        <v>#DIV/0!</v>
      </c>
      <c r="F223" s="281">
        <f t="shared" si="36"/>
        <v>12.471599999999999</v>
      </c>
      <c r="G223" s="316">
        <v>0</v>
      </c>
      <c r="H223" s="245" t="e">
        <f t="shared" si="34"/>
        <v>#DIV/0!</v>
      </c>
    </row>
    <row r="224" spans="3:16" ht="19">
      <c r="C224" s="156">
        <f t="shared" si="37"/>
        <v>1200</v>
      </c>
      <c r="D224" s="315">
        <f t="shared" si="35"/>
        <v>12.471599999999999</v>
      </c>
      <c r="E224" s="321" t="e" cm="1">
        <f t="array" ref="E224">$B$7*SUM(($D$43:$D$53*$D$43:$D$53)*EXP($D$43:$D$53/$C224)/($C224^2*(EXP($D$43:$D$53/$C224)-1)^2))</f>
        <v>#DIV/0!</v>
      </c>
      <c r="F224" s="281">
        <f t="shared" si="36"/>
        <v>12.471599999999999</v>
      </c>
      <c r="G224" s="316">
        <v>0</v>
      </c>
      <c r="H224" s="245" t="e">
        <f t="shared" si="34"/>
        <v>#DIV/0!</v>
      </c>
    </row>
    <row r="225" spans="3:11" ht="19">
      <c r="C225" s="156">
        <f t="shared" si="37"/>
        <v>1300</v>
      </c>
      <c r="D225" s="315">
        <f t="shared" si="35"/>
        <v>12.471599999999999</v>
      </c>
      <c r="E225" s="321" t="e" cm="1">
        <f t="array" ref="E225">$B$7*SUM(($D$43:$D$53*$D$43:$D$53)*EXP($D$43:$D$53/$C225)/($C225^2*(EXP($D$43:$D$53/$C225)-1)^2))</f>
        <v>#DIV/0!</v>
      </c>
      <c r="F225" s="281">
        <f t="shared" si="36"/>
        <v>12.471599999999999</v>
      </c>
      <c r="G225" s="316">
        <v>0</v>
      </c>
      <c r="H225" s="245" t="e">
        <f t="shared" si="34"/>
        <v>#DIV/0!</v>
      </c>
    </row>
    <row r="226" spans="3:11" ht="19">
      <c r="C226" s="156">
        <f t="shared" si="37"/>
        <v>1400</v>
      </c>
      <c r="D226" s="315">
        <f t="shared" si="35"/>
        <v>12.471599999999999</v>
      </c>
      <c r="E226" s="321" t="e" cm="1">
        <f t="array" ref="E226">$B$7*SUM(($D$43:$D$53*$D$43:$D$53)*EXP($D$43:$D$53/$C226)/($C226^2*(EXP($D$43:$D$53/$C226)-1)^2))</f>
        <v>#DIV/0!</v>
      </c>
      <c r="F226" s="281">
        <f t="shared" si="36"/>
        <v>12.471599999999999</v>
      </c>
      <c r="G226" s="316">
        <v>0</v>
      </c>
      <c r="H226" s="245" t="e">
        <f t="shared" si="34"/>
        <v>#DIV/0!</v>
      </c>
    </row>
    <row r="227" spans="3:11" ht="19">
      <c r="C227" s="156">
        <f t="shared" si="37"/>
        <v>1500</v>
      </c>
      <c r="D227" s="315">
        <f t="shared" si="35"/>
        <v>12.471599999999999</v>
      </c>
      <c r="E227" s="321" t="e" cm="1">
        <f t="array" ref="E227">$B$7*SUM(($D$43:$D$53*$D$43:$D$53)*EXP($D$43:$D$53/$C227)/($C227^2*(EXP($D$43:$D$53/$C227)-1)^2))</f>
        <v>#DIV/0!</v>
      </c>
      <c r="F227" s="281">
        <f t="shared" si="36"/>
        <v>12.471599999999999</v>
      </c>
      <c r="G227" s="316">
        <v>0</v>
      </c>
      <c r="H227" s="245" t="e">
        <f t="shared" si="34"/>
        <v>#DIV/0!</v>
      </c>
    </row>
    <row r="228" spans="3:11" ht="19">
      <c r="C228" s="156">
        <f t="shared" si="37"/>
        <v>1600</v>
      </c>
      <c r="D228" s="315">
        <f t="shared" si="35"/>
        <v>12.471599999999999</v>
      </c>
      <c r="E228" s="321" t="e" cm="1">
        <f t="array" ref="E228">$B$7*SUM(($D$43:$D$53*$D$43:$D$53)*EXP($D$43:$D$53/$C228)/($C228^2*(EXP($D$43:$D$53/$C228)-1)^2))</f>
        <v>#DIV/0!</v>
      </c>
      <c r="F228" s="281">
        <f t="shared" si="36"/>
        <v>12.471599999999999</v>
      </c>
      <c r="G228" s="316">
        <v>0</v>
      </c>
      <c r="H228" s="245" t="e">
        <f t="shared" si="34"/>
        <v>#DIV/0!</v>
      </c>
    </row>
    <row r="229" spans="3:11" ht="19">
      <c r="C229" s="156">
        <f t="shared" si="37"/>
        <v>1700</v>
      </c>
      <c r="D229" s="315">
        <f t="shared" si="35"/>
        <v>12.471599999999999</v>
      </c>
      <c r="E229" s="321" t="e" cm="1">
        <f t="array" ref="E229">$B$7*SUM(($D$43:$D$53*$D$43:$D$53)*EXP($D$43:$D$53/$C229)/($C229^2*(EXP($D$43:$D$53/$C229)-1)^2))</f>
        <v>#DIV/0!</v>
      </c>
      <c r="F229" s="281">
        <f t="shared" si="36"/>
        <v>12.471599999999999</v>
      </c>
      <c r="G229" s="316">
        <v>0</v>
      </c>
      <c r="H229" s="245" t="e">
        <f t="shared" si="34"/>
        <v>#DIV/0!</v>
      </c>
    </row>
    <row r="230" spans="3:11" ht="19">
      <c r="C230" s="156">
        <f t="shared" si="37"/>
        <v>1800</v>
      </c>
      <c r="D230" s="315">
        <f t="shared" si="35"/>
        <v>12.471599999999999</v>
      </c>
      <c r="E230" s="321" t="e" cm="1">
        <f t="array" ref="E230">$B$7*SUM(($D$43:$D$53*$D$43:$D$53)*EXP($D$43:$D$53/$C230)/($C230^2*(EXP($D$43:$D$53/$C230)-1)^2))</f>
        <v>#DIV/0!</v>
      </c>
      <c r="F230" s="281">
        <f t="shared" si="36"/>
        <v>12.471599999999999</v>
      </c>
      <c r="G230" s="316">
        <v>0</v>
      </c>
      <c r="H230" s="245" t="e">
        <f t="shared" si="34"/>
        <v>#DIV/0!</v>
      </c>
    </row>
    <row r="231" spans="3:11" ht="19">
      <c r="C231" s="156">
        <f t="shared" si="37"/>
        <v>1900</v>
      </c>
      <c r="D231" s="315">
        <f t="shared" si="35"/>
        <v>12.471599999999999</v>
      </c>
      <c r="E231" s="321" t="e" cm="1">
        <f t="array" ref="E231">$B$7*SUM(($D$43:$D$53*$D$43:$D$53)*EXP($D$43:$D$53/$C231)/($C231^2*(EXP($D$43:$D$53/$C231)-1)^2))</f>
        <v>#DIV/0!</v>
      </c>
      <c r="F231" s="281">
        <f t="shared" si="36"/>
        <v>12.471599999999999</v>
      </c>
      <c r="G231" s="316">
        <v>0</v>
      </c>
      <c r="H231" s="245" t="e">
        <f t="shared" si="34"/>
        <v>#DIV/0!</v>
      </c>
    </row>
    <row r="232" spans="3:11" ht="20" thickBot="1">
      <c r="C232" s="165">
        <f t="shared" si="37"/>
        <v>2000</v>
      </c>
      <c r="D232" s="317">
        <f t="shared" si="35"/>
        <v>12.471599999999999</v>
      </c>
      <c r="E232" s="322" t="e" cm="1">
        <f t="array" ref="E232">$B$7*SUM(($D$43:$D$53*$D$43:$D$53)*EXP($D$43:$D$53/$C232)/($C232^2*(EXP($D$43:$D$53/$C232)-1)^2))</f>
        <v>#DIV/0!</v>
      </c>
      <c r="F232" s="318">
        <f t="shared" si="36"/>
        <v>12.471599999999999</v>
      </c>
      <c r="G232" s="307">
        <v>0</v>
      </c>
      <c r="H232" s="249" t="e">
        <f t="shared" si="34"/>
        <v>#DIV/0!</v>
      </c>
    </row>
    <row r="238" spans="3:11" ht="17" thickBot="1"/>
    <row r="239" spans="3:11" ht="20" thickBot="1">
      <c r="E239" s="66"/>
      <c r="F239" s="66" t="s">
        <v>78</v>
      </c>
      <c r="G239" s="66"/>
      <c r="H239" s="470" t="s">
        <v>118</v>
      </c>
      <c r="I239" s="471"/>
      <c r="J239" s="471"/>
      <c r="K239" s="472"/>
    </row>
    <row r="240" spans="3:11" ht="28" thickBot="1">
      <c r="C240" s="147" t="s">
        <v>132</v>
      </c>
      <c r="D240" s="148"/>
      <c r="E240" s="66"/>
      <c r="F240" s="66"/>
      <c r="G240" s="66"/>
      <c r="H240" s="137" t="s">
        <v>120</v>
      </c>
      <c r="I240" s="137" t="s">
        <v>121</v>
      </c>
      <c r="J240" s="137" t="s">
        <v>122</v>
      </c>
      <c r="K240" s="137" t="s">
        <v>123</v>
      </c>
    </row>
    <row r="244" spans="3:10" ht="20" thickBot="1">
      <c r="D244" s="473"/>
      <c r="E244" s="473"/>
    </row>
    <row r="245" spans="3:10" ht="20" thickBot="1">
      <c r="D245" s="465" t="s">
        <v>133</v>
      </c>
      <c r="E245" s="466"/>
    </row>
    <row r="246" spans="3:10" ht="20" thickBot="1">
      <c r="D246" s="172" t="s">
        <v>125</v>
      </c>
      <c r="E246" s="232" t="s">
        <v>126</v>
      </c>
    </row>
    <row r="247" spans="3:10" ht="19">
      <c r="C247" s="92" t="s">
        <v>45</v>
      </c>
      <c r="D247" s="346">
        <f>$R23</f>
        <v>52.853000000000002</v>
      </c>
      <c r="E247" s="160">
        <f>D247*4.184</f>
        <v>221.13695200000001</v>
      </c>
    </row>
    <row r="248" spans="3:10" ht="19">
      <c r="C248" s="100" t="s">
        <v>48</v>
      </c>
      <c r="D248" s="346">
        <f t="shared" ref="D248:D251" si="39">$R24</f>
        <v>1.377</v>
      </c>
      <c r="E248" s="235">
        <f t="shared" ref="E248:E251" si="40">D248*4.184</f>
        <v>5.761368</v>
      </c>
    </row>
    <row r="249" spans="3:10" ht="19">
      <c r="C249" s="100" t="s">
        <v>50</v>
      </c>
      <c r="D249" s="346">
        <f t="shared" si="39"/>
        <v>34.643000000000001</v>
      </c>
      <c r="E249" s="235">
        <f t="shared" si="40"/>
        <v>144.94631200000001</v>
      </c>
    </row>
    <row r="250" spans="3:10" ht="19">
      <c r="C250" s="100" t="s">
        <v>52</v>
      </c>
      <c r="D250" s="346">
        <f t="shared" si="39"/>
        <v>16.125</v>
      </c>
      <c r="E250" s="235">
        <f t="shared" si="40"/>
        <v>67.466999999999999</v>
      </c>
    </row>
    <row r="251" spans="3:10" ht="20" thickBot="1">
      <c r="C251" s="105" t="s">
        <v>55</v>
      </c>
      <c r="D251" s="346">
        <f t="shared" si="39"/>
        <v>0.70699999999999996</v>
      </c>
      <c r="E251" s="235">
        <f t="shared" si="40"/>
        <v>2.9580880000000001</v>
      </c>
    </row>
    <row r="253" spans="3:10" ht="17" thickBot="1"/>
    <row r="254" spans="3:10" ht="20" thickBot="1">
      <c r="C254" s="67" t="s">
        <v>34</v>
      </c>
      <c r="D254" s="252"/>
      <c r="E254" s="252"/>
      <c r="F254" s="252"/>
      <c r="G254" s="253"/>
      <c r="I254" s="76" t="s">
        <v>134</v>
      </c>
      <c r="J254" s="254">
        <f>($B$14^2)/(8*PI()*PI()*$G$258*$B$8)</f>
        <v>0.6906529207137283</v>
      </c>
    </row>
    <row r="255" spans="3:10" ht="20" thickBot="1">
      <c r="C255" s="255"/>
      <c r="D255" s="73" t="s">
        <v>37</v>
      </c>
      <c r="E255" s="74" t="s">
        <v>38</v>
      </c>
      <c r="F255" s="75" t="s">
        <v>39</v>
      </c>
      <c r="G255" s="203" t="s">
        <v>131</v>
      </c>
      <c r="I255" s="123"/>
      <c r="J255" s="123"/>
    </row>
    <row r="256" spans="3:10" ht="22" thickBot="1">
      <c r="C256" s="84" t="s">
        <v>44</v>
      </c>
      <c r="D256" s="256">
        <f>D$23</f>
        <v>7.2406699999999997</v>
      </c>
      <c r="E256" s="86">
        <f t="shared" ref="E256:F256" si="41">E$23</f>
        <v>23.22364</v>
      </c>
      <c r="F256" s="257">
        <f t="shared" si="41"/>
        <v>25.343810000000001</v>
      </c>
      <c r="G256" s="193">
        <f>SQRT(F256^2 + E256^2 + D256^2)</f>
        <v>35.129381751101171</v>
      </c>
      <c r="J256" s="123"/>
    </row>
    <row r="257" spans="1:18" ht="22" thickBot="1">
      <c r="C257" s="96" t="s">
        <v>47</v>
      </c>
      <c r="D257" s="97">
        <f>D256*$U$9</f>
        <v>1.2019512199999998E-26</v>
      </c>
      <c r="E257" s="98">
        <f t="shared" ref="E257:F257" si="42">E256*$U$9</f>
        <v>3.8551242399999999E-26</v>
      </c>
      <c r="F257" s="258">
        <f t="shared" si="42"/>
        <v>4.2070724599999997E-26</v>
      </c>
      <c r="G257" s="193">
        <f t="shared" ref="G257:G258" si="43">SQRT(F257^2 + E257^2 + D257^2)</f>
        <v>5.8314773706827941E-26</v>
      </c>
    </row>
    <row r="258" spans="1:18" ht="22" thickBot="1">
      <c r="C258" s="101" t="s">
        <v>49</v>
      </c>
      <c r="D258" s="102">
        <f>D257*($Q$8)^2</f>
        <v>1.2019512199999999E-46</v>
      </c>
      <c r="E258" s="103">
        <f>E257*($Q$8)^2</f>
        <v>3.85512424E-46</v>
      </c>
      <c r="F258" s="259">
        <f t="shared" ref="F258" si="44">F257*($Q$8)^2</f>
        <v>4.2070724599999998E-46</v>
      </c>
      <c r="G258" s="193">
        <f t="shared" si="43"/>
        <v>5.8314773706827946E-46</v>
      </c>
    </row>
    <row r="259" spans="1:18" ht="17" thickBot="1"/>
    <row r="260" spans="1:18" ht="20" thickBot="1">
      <c r="F260" s="260" t="s">
        <v>126</v>
      </c>
      <c r="G260" s="261"/>
      <c r="H260" s="261"/>
      <c r="I260" s="261"/>
      <c r="J260" s="262"/>
    </row>
    <row r="261" spans="1:18" ht="23" thickBot="1">
      <c r="C261" s="221" t="s">
        <v>80</v>
      </c>
      <c r="D261" s="263" t="s">
        <v>135</v>
      </c>
      <c r="E261" s="174" t="s">
        <v>136</v>
      </c>
      <c r="F261" s="264" t="s">
        <v>127</v>
      </c>
      <c r="G261" s="265" t="s">
        <v>128</v>
      </c>
      <c r="H261" s="265" t="s">
        <v>129</v>
      </c>
      <c r="I261" s="266" t="s">
        <v>130</v>
      </c>
      <c r="J261" s="203" t="s">
        <v>131</v>
      </c>
      <c r="L261" s="151" t="s">
        <v>160</v>
      </c>
      <c r="M261" s="152"/>
      <c r="N261" s="152"/>
      <c r="O261" s="152"/>
      <c r="P261" s="152"/>
      <c r="Q261" s="152"/>
    </row>
    <row r="262" spans="1:18" ht="20" thickBot="1">
      <c r="C262" s="174">
        <v>298.14999999999998</v>
      </c>
      <c r="D262" s="267">
        <f>$B$7*C262/$B$16</f>
        <v>2.4465219442388352E-2</v>
      </c>
      <c r="E262" s="268">
        <f>((2*PI()*$A$28*$U$9*$B$8*$C262)/($B$14*$B$14))^(3/2)</f>
        <v>7.4061644107984747E+31</v>
      </c>
      <c r="F262" s="269">
        <f t="shared" ref="F262:F280" si="45">$B$7*LN(($D262/$B$6)*EXP(5/2)*E262)</f>
        <v>144.81230358654494</v>
      </c>
      <c r="G262" s="319" cm="1">
        <f t="array" ref="G262">$B$7*SUM((($D$43:$D$50)/$C262)/(EXP($D$43:$D$50/$C262)-1)-LN(1-EXP(-$D$43:$D$50/$C262)))</f>
        <v>2.9035163582390755</v>
      </c>
      <c r="H262" s="270">
        <f>$B$7*(LN((SQRT(PI())/$A$31)*($C262^(3/2)/SQRT(C$29*D$29*E$29)))+3/2)</f>
        <v>67.390551269795537</v>
      </c>
      <c r="I262" s="320">
        <f>$B$7*LN(2)</f>
        <v>5.7631029180476085</v>
      </c>
      <c r="J262" s="272">
        <f t="shared" ref="J262:J280" si="46">SUM(F262:I262)</f>
        <v>220.86947413262718</v>
      </c>
      <c r="L262" s="66"/>
      <c r="M262" s="66"/>
      <c r="N262" s="66"/>
      <c r="O262" s="66"/>
      <c r="P262" s="66"/>
      <c r="Q262" s="66"/>
    </row>
    <row r="263" spans="1:18" ht="20" thickBot="1">
      <c r="C263" s="153">
        <v>300</v>
      </c>
      <c r="D263" s="267">
        <f>$B$7*C263/$B$16</f>
        <v>2.4617024426350848E-2</v>
      </c>
      <c r="E263" s="268">
        <f>((2*PI()*$A$28*$U$9*$B$8*$C263)/($B$14*$B$14))^(3/2)</f>
        <v>7.4752033322932733E+31</v>
      </c>
      <c r="F263" s="239">
        <f t="shared" si="45"/>
        <v>144.94088077492916</v>
      </c>
      <c r="G263" s="313" cm="1">
        <f t="array" ref="G263">$B$7*SUM((($D$43:$D$50)/$C263)/(EXP($D$43:$D$50/$C263)-1)-LN(1-EXP(-$D$43:$D$50/$C263)))</f>
        <v>2.9586230268066775</v>
      </c>
      <c r="H263" s="240">
        <f t="shared" ref="H263:H280" si="47">$B$7*(LN((SQRT(PI())/$A$31)*($C263^(3/2)/SQRT(C$29*D$29*E$29)))+3/2)</f>
        <v>67.467697582826048</v>
      </c>
      <c r="I263" s="314">
        <f t="shared" ref="I263:I280" si="48">$B$7*LN(2)</f>
        <v>5.7631029180476085</v>
      </c>
      <c r="J263" s="272">
        <f t="shared" si="46"/>
        <v>221.13030430260952</v>
      </c>
      <c r="N263" s="236" t="s">
        <v>127</v>
      </c>
      <c r="O263" s="237" t="s">
        <v>128</v>
      </c>
      <c r="P263" s="237" t="s">
        <v>129</v>
      </c>
      <c r="Q263" s="238" t="s">
        <v>130</v>
      </c>
      <c r="R263" s="203" t="s">
        <v>131</v>
      </c>
    </row>
    <row r="264" spans="1:18" ht="20" thickBot="1">
      <c r="C264" s="156">
        <f>C263+100</f>
        <v>400</v>
      </c>
      <c r="D264" s="273">
        <f t="shared" ref="D264:D280" si="49">$B$7*C264/$B$16</f>
        <v>3.2822699235134464E-2</v>
      </c>
      <c r="E264" s="274">
        <f t="shared" ref="E264:E280" si="50">(2*PI()*$A$28*$U$9*$B$8*$C264/($B$14)^2)^(3/2)</f>
        <v>1.1508828416391165E+32</v>
      </c>
      <c r="F264" s="229">
        <f t="shared" si="45"/>
        <v>150.92064033291183</v>
      </c>
      <c r="G264" s="321" cm="1">
        <f t="array" ref="G264">$B$7*SUM((($D$43:$D$50)/$C264)/(EXP($D$43:$D$50/$C264)-1)-LN(1-EXP(-$D$43:$D$50/$C264)))</f>
        <v>6.4303444143376218</v>
      </c>
      <c r="H264" s="243">
        <f t="shared" si="47"/>
        <v>71.055553317615676</v>
      </c>
      <c r="I264" s="316">
        <f t="shared" si="48"/>
        <v>5.7631029180476085</v>
      </c>
      <c r="J264" s="275">
        <f t="shared" si="46"/>
        <v>234.16964098291274</v>
      </c>
      <c r="M264" s="159" t="s">
        <v>85</v>
      </c>
      <c r="N264" s="276">
        <f>F$263</f>
        <v>144.94088077492916</v>
      </c>
      <c r="O264" s="276">
        <f>G$263</f>
        <v>2.9586230268066775</v>
      </c>
      <c r="P264" s="276">
        <f>H$263</f>
        <v>67.467697582826048</v>
      </c>
      <c r="Q264" s="276">
        <f>I$263</f>
        <v>5.7631029180476085</v>
      </c>
      <c r="R264" s="276">
        <f>J$263</f>
        <v>221.13030430260952</v>
      </c>
    </row>
    <row r="265" spans="1:18" ht="20" thickBot="1">
      <c r="C265" s="156">
        <f t="shared" ref="C265:C280" si="51">C264+100</f>
        <v>500</v>
      </c>
      <c r="D265" s="273">
        <f t="shared" si="49"/>
        <v>4.1028374043918084E-2</v>
      </c>
      <c r="E265" s="274">
        <f t="shared" si="50"/>
        <v>1.608407667527003E+32</v>
      </c>
      <c r="F265" s="229">
        <f t="shared" si="45"/>
        <v>155.55890219052904</v>
      </c>
      <c r="G265" s="321" cm="1">
        <f t="array" ref="G265">$B$7*SUM((($D$43:$D$50)/$C265)/(EXP($D$43:$D$50/$C265)-1)-LN(1-EXP(-$D$43:$D$50/$C265)))</f>
        <v>10.52622065981609</v>
      </c>
      <c r="H265" s="243">
        <f t="shared" si="47"/>
        <v>73.838510432185984</v>
      </c>
      <c r="I265" s="316">
        <f t="shared" si="48"/>
        <v>5.7631029180476085</v>
      </c>
      <c r="J265" s="275">
        <f t="shared" si="46"/>
        <v>245.68673620057874</v>
      </c>
      <c r="M265" s="161" t="s">
        <v>86</v>
      </c>
      <c r="N265" s="276">
        <f>E249</f>
        <v>144.94631200000001</v>
      </c>
      <c r="O265" s="276">
        <f>E251</f>
        <v>2.9580880000000001</v>
      </c>
      <c r="P265" s="276">
        <f>E250</f>
        <v>67.466999999999999</v>
      </c>
      <c r="Q265" s="276">
        <f>E248</f>
        <v>5.761368</v>
      </c>
      <c r="R265" s="276">
        <f>E247</f>
        <v>221.13695200000001</v>
      </c>
    </row>
    <row r="266" spans="1:18" ht="22">
      <c r="C266" s="156">
        <f t="shared" si="51"/>
        <v>600</v>
      </c>
      <c r="D266" s="273">
        <f t="shared" si="49"/>
        <v>4.9234048852701696E-2</v>
      </c>
      <c r="E266" s="274">
        <f t="shared" si="50"/>
        <v>2.1143067868051464E+32</v>
      </c>
      <c r="F266" s="229">
        <f t="shared" si="45"/>
        <v>159.3486380700482</v>
      </c>
      <c r="G266" s="321" cm="1">
        <f t="array" ref="G266">$B$7*SUM((($D$43:$D$50)/$C266)/(EXP($D$43:$D$50/$C266)-1)-LN(1-EXP(-$D$43:$D$50/$C266)))</f>
        <v>14.889063878908457</v>
      </c>
      <c r="H266" s="243">
        <f t="shared" si="47"/>
        <v>76.112351959897453</v>
      </c>
      <c r="I266" s="316">
        <f t="shared" si="48"/>
        <v>5.7631029180476085</v>
      </c>
      <c r="J266" s="275">
        <f t="shared" si="46"/>
        <v>256.11315682690167</v>
      </c>
      <c r="L266" s="66"/>
      <c r="M266" s="163" t="s">
        <v>87</v>
      </c>
      <c r="N266" s="164">
        <f>IFERROR(ABS(N264-N265)/N264,0)</f>
        <v>3.7472002666276342E-5</v>
      </c>
      <c r="O266" s="164">
        <f t="shared" ref="O266:R266" si="52">IFERROR(ABS(O264-O265)/O264,0)</f>
        <v>1.8083642350846083E-4</v>
      </c>
      <c r="P266" s="164">
        <f t="shared" si="52"/>
        <v>1.0339508402417161E-5</v>
      </c>
      <c r="Q266" s="164">
        <f t="shared" si="52"/>
        <v>3.0103887997132075E-4</v>
      </c>
      <c r="R266" s="164">
        <f t="shared" si="52"/>
        <v>3.0062353558714631E-5</v>
      </c>
    </row>
    <row r="267" spans="1:18" ht="19">
      <c r="A267" s="188"/>
      <c r="C267" s="156">
        <f t="shared" si="51"/>
        <v>700</v>
      </c>
      <c r="D267" s="273">
        <f t="shared" si="49"/>
        <v>5.7439723661485309E-2</v>
      </c>
      <c r="E267" s="274">
        <f t="shared" si="50"/>
        <v>2.6643310637549012E+32</v>
      </c>
      <c r="F267" s="229">
        <f t="shared" si="45"/>
        <v>162.55281410093761</v>
      </c>
      <c r="G267" s="321" cm="1">
        <f t="array" ref="G267">$B$7*SUM((($D$43:$D$50)/$C267)/(EXP($D$43:$D$50/$C267)-1)-LN(1-EXP(-$D$43:$D$50/$C267)))</f>
        <v>19.316313655288766</v>
      </c>
      <c r="H267" s="243">
        <f t="shared" si="47"/>
        <v>78.034857578431087</v>
      </c>
      <c r="I267" s="316">
        <f t="shared" si="48"/>
        <v>5.7631029180476085</v>
      </c>
      <c r="J267" s="275">
        <f t="shared" si="46"/>
        <v>265.66708825270507</v>
      </c>
    </row>
    <row r="268" spans="1:18" ht="19">
      <c r="A268" s="188"/>
      <c r="C268" s="156">
        <f t="shared" si="51"/>
        <v>800</v>
      </c>
      <c r="D268" s="273">
        <f t="shared" si="49"/>
        <v>6.5645398470268929E-2</v>
      </c>
      <c r="E268" s="274">
        <f t="shared" si="50"/>
        <v>3.2551882466970602E+32</v>
      </c>
      <c r="F268" s="229">
        <f t="shared" si="45"/>
        <v>165.3283976280309</v>
      </c>
      <c r="G268" s="321" cm="1">
        <f t="array" ref="G268">$B$7*SUM((($D$43:$D$50)/$C268)/(EXP($D$43:$D$50/$C268)-1)-LN(1-EXP(-$D$43:$D$50/$C268)))</f>
        <v>23.700479660483015</v>
      </c>
      <c r="H268" s="243">
        <f t="shared" si="47"/>
        <v>79.70020769468708</v>
      </c>
      <c r="I268" s="316">
        <f t="shared" si="48"/>
        <v>5.7631029180476085</v>
      </c>
      <c r="J268" s="275">
        <f t="shared" si="46"/>
        <v>274.4921879012486</v>
      </c>
    </row>
    <row r="269" spans="1:18" ht="19">
      <c r="C269" s="156">
        <f t="shared" si="51"/>
        <v>900</v>
      </c>
      <c r="D269" s="273">
        <f t="shared" si="49"/>
        <v>7.3851073279052548E-2</v>
      </c>
      <c r="E269" s="274">
        <f t="shared" si="50"/>
        <v>3.8842295905320246E+32</v>
      </c>
      <c r="F269" s="229">
        <f t="shared" si="45"/>
        <v>167.77663580718445</v>
      </c>
      <c r="G269" s="321" cm="1">
        <f t="array" ref="G269">$B$7*SUM((($D$43:$D$50)/$C269)/(EXP($D$43:$D$50/$C269)-1)-LN(1-EXP(-$D$43:$D$50/$C269)))</f>
        <v>27.986739565794892</v>
      </c>
      <c r="H269" s="243">
        <f t="shared" si="47"/>
        <v>81.169150602179243</v>
      </c>
      <c r="I269" s="316">
        <f t="shared" si="48"/>
        <v>5.7631029180476085</v>
      </c>
      <c r="J269" s="275">
        <f t="shared" si="46"/>
        <v>282.69562889320616</v>
      </c>
    </row>
    <row r="270" spans="1:18" ht="19">
      <c r="C270" s="156">
        <f t="shared" si="51"/>
        <v>1000</v>
      </c>
      <c r="D270" s="273">
        <f t="shared" si="49"/>
        <v>8.2056748087836168E-2</v>
      </c>
      <c r="E270" s="274">
        <f t="shared" si="50"/>
        <v>4.5492638744831402E+32</v>
      </c>
      <c r="F270" s="229">
        <f t="shared" si="45"/>
        <v>169.96665948564808</v>
      </c>
      <c r="G270" s="321" cm="1">
        <f t="array" ref="G270">$B$7*SUM((($D$43:$D$50)/$C270)/(EXP($D$43:$D$50/$C270)-1)-LN(1-EXP(-$D$43:$D$50/$C270)))</f>
        <v>32.148051718118268</v>
      </c>
      <c r="H270" s="243">
        <f t="shared" si="47"/>
        <v>82.483164809257389</v>
      </c>
      <c r="I270" s="316">
        <f t="shared" si="48"/>
        <v>5.7631029180476085</v>
      </c>
      <c r="J270" s="275">
        <f t="shared" si="46"/>
        <v>290.36097893107132</v>
      </c>
    </row>
    <row r="271" spans="1:18" ht="19">
      <c r="C271" s="156">
        <f t="shared" si="51"/>
        <v>1100</v>
      </c>
      <c r="D271" s="273">
        <f t="shared" si="49"/>
        <v>9.0262422896619773E-2</v>
      </c>
      <c r="E271" s="274">
        <f t="shared" si="50"/>
        <v>5.2484390246405764E+32</v>
      </c>
      <c r="F271" s="229">
        <f t="shared" si="45"/>
        <v>171.94777688306073</v>
      </c>
      <c r="G271" s="321" cm="1">
        <f t="array" ref="G271">$B$7*SUM((($D$43:$D$50)/$C271)/(EXP($D$43:$D$50/$C271)-1)-LN(1-EXP(-$D$43:$D$50/$C271)))</f>
        <v>36.171987679494812</v>
      </c>
      <c r="H271" s="243">
        <f t="shared" si="47"/>
        <v>83.671835247705005</v>
      </c>
      <c r="I271" s="316">
        <f t="shared" si="48"/>
        <v>5.7631029180476085</v>
      </c>
      <c r="J271" s="275">
        <f t="shared" si="46"/>
        <v>297.55470272830814</v>
      </c>
    </row>
    <row r="272" spans="1:18" ht="19">
      <c r="C272" s="156">
        <f t="shared" si="51"/>
        <v>1200</v>
      </c>
      <c r="D272" s="273">
        <f t="shared" si="49"/>
        <v>9.8468097705403393E-2</v>
      </c>
      <c r="E272" s="274">
        <f t="shared" si="50"/>
        <v>5.9801626658346525E+32</v>
      </c>
      <c r="F272" s="229">
        <f t="shared" si="45"/>
        <v>173.75639536516724</v>
      </c>
      <c r="G272" s="321" cm="1">
        <f t="array" ref="G272">$B$7*SUM((($D$43:$D$50)/$C272)/(EXP($D$43:$D$50/$C272)-1)-LN(1-EXP(-$D$43:$D$50/$C272)))</f>
        <v>40.054041933488193</v>
      </c>
      <c r="H272" s="243">
        <f t="shared" si="47"/>
        <v>84.757006336968871</v>
      </c>
      <c r="I272" s="316">
        <f t="shared" si="48"/>
        <v>5.7631029180476085</v>
      </c>
      <c r="J272" s="275">
        <f t="shared" si="46"/>
        <v>304.33054655367187</v>
      </c>
    </row>
    <row r="273" spans="3:10" ht="19">
      <c r="C273" s="156">
        <f t="shared" si="51"/>
        <v>1300</v>
      </c>
      <c r="D273" s="273">
        <f t="shared" si="49"/>
        <v>0.10667377251418701</v>
      </c>
      <c r="E273" s="274">
        <f t="shared" si="50"/>
        <v>6.7430465335700748E+32</v>
      </c>
      <c r="F273" s="229">
        <f t="shared" si="45"/>
        <v>175.42016308686937</v>
      </c>
      <c r="G273" s="321" cm="1">
        <f t="array" ref="G273">$B$7*SUM((($D$43:$D$50)/$C273)/(EXP($D$43:$D$50/$C273)-1)-LN(1-EXP(-$D$43:$D$50/$C273)))</f>
        <v>43.794202015907317</v>
      </c>
      <c r="H273" s="243">
        <f t="shared" si="47"/>
        <v>85.755266969990146</v>
      </c>
      <c r="I273" s="316">
        <f t="shared" si="48"/>
        <v>5.7631029180476085</v>
      </c>
      <c r="J273" s="275">
        <f t="shared" si="46"/>
        <v>310.73273499081444</v>
      </c>
    </row>
    <row r="274" spans="3:10" ht="19">
      <c r="C274" s="156">
        <f t="shared" si="51"/>
        <v>1400</v>
      </c>
      <c r="D274" s="273">
        <f t="shared" si="49"/>
        <v>0.11487944732297062</v>
      </c>
      <c r="E274" s="274">
        <f t="shared" si="50"/>
        <v>7.5358662500282544E+32</v>
      </c>
      <c r="F274" s="229">
        <f t="shared" si="45"/>
        <v>176.96057139605662</v>
      </c>
      <c r="G274" s="321" cm="1">
        <f t="array" ref="G274">$B$7*SUM((($D$43:$D$50)/$C274)/(EXP($D$43:$D$50/$C274)-1)-LN(1-EXP(-$D$43:$D$50/$C274)))</f>
        <v>47.395106147274106</v>
      </c>
      <c r="H274" s="243">
        <f t="shared" si="47"/>
        <v>86.679511955502505</v>
      </c>
      <c r="I274" s="316">
        <f t="shared" si="48"/>
        <v>5.7631029180476085</v>
      </c>
      <c r="J274" s="275">
        <f t="shared" si="46"/>
        <v>316.79829241688083</v>
      </c>
    </row>
    <row r="275" spans="3:10" ht="19">
      <c r="C275" s="156">
        <f t="shared" si="51"/>
        <v>1500</v>
      </c>
      <c r="D275" s="273">
        <f t="shared" si="49"/>
        <v>0.12308512213175424</v>
      </c>
      <c r="E275" s="274">
        <f t="shared" si="50"/>
        <v>8.3575313983204493E+32</v>
      </c>
      <c r="F275" s="229">
        <f t="shared" si="45"/>
        <v>178.39465722278445</v>
      </c>
      <c r="G275" s="321" cm="1">
        <f t="array" ref="G275">$B$7*SUM((($D$43:$D$50)/$C275)/(EXP($D$43:$D$50/$C275)-1)-LN(1-EXP(-$D$43:$D$50/$C275)))</f>
        <v>50.860983969826442</v>
      </c>
      <c r="H275" s="243">
        <f t="shared" si="47"/>
        <v>87.53996345153918</v>
      </c>
      <c r="I275" s="316">
        <f t="shared" si="48"/>
        <v>5.7631029180476085</v>
      </c>
      <c r="J275" s="275">
        <f t="shared" si="46"/>
        <v>322.55870756219764</v>
      </c>
    </row>
    <row r="276" spans="3:10" ht="19">
      <c r="C276" s="156">
        <f t="shared" si="51"/>
        <v>1600</v>
      </c>
      <c r="D276" s="273">
        <f t="shared" si="49"/>
        <v>0.13129079694053786</v>
      </c>
      <c r="E276" s="274">
        <f t="shared" si="50"/>
        <v>9.2070627331129841E+32</v>
      </c>
      <c r="F276" s="229">
        <f t="shared" si="45"/>
        <v>179.73615492314991</v>
      </c>
      <c r="G276" s="321" cm="1">
        <f t="array" ref="G276">$B$7*SUM((($D$43:$D$50)/$C276)/(EXP($D$43:$D$50/$C276)-1)-LN(1-EXP(-$D$43:$D$50/$C276)))</f>
        <v>54.197004128973454</v>
      </c>
      <c r="H276" s="243">
        <f t="shared" si="47"/>
        <v>88.344862071758513</v>
      </c>
      <c r="I276" s="316">
        <f t="shared" si="48"/>
        <v>5.7631029180476085</v>
      </c>
      <c r="J276" s="275">
        <f t="shared" si="46"/>
        <v>328.04112404192949</v>
      </c>
    </row>
    <row r="277" spans="3:10" ht="19">
      <c r="C277" s="156">
        <f t="shared" si="51"/>
        <v>1700</v>
      </c>
      <c r="D277" s="273">
        <f t="shared" si="49"/>
        <v>0.13949647174932148</v>
      </c>
      <c r="E277" s="274">
        <f t="shared" si="50"/>
        <v>1.0083574477426781E+33</v>
      </c>
      <c r="F277" s="229">
        <f t="shared" si="45"/>
        <v>180.99629831222626</v>
      </c>
      <c r="G277" s="321" cm="1">
        <f t="array" ref="G277">$B$7*SUM((($D$43:$D$50)/$C277)/(EXP($D$43:$D$50/$C277)-1)-LN(1-EXP(-$D$43:$D$50/$C277)))</f>
        <v>57.408850394576945</v>
      </c>
      <c r="H277" s="243">
        <f t="shared" si="47"/>
        <v>89.100948105204353</v>
      </c>
      <c r="I277" s="316">
        <f t="shared" si="48"/>
        <v>5.7631029180476085</v>
      </c>
      <c r="J277" s="275">
        <f t="shared" si="46"/>
        <v>333.26919973005516</v>
      </c>
    </row>
    <row r="278" spans="3:10" ht="19">
      <c r="C278" s="156">
        <f t="shared" si="51"/>
        <v>1800</v>
      </c>
      <c r="D278" s="273">
        <f t="shared" si="49"/>
        <v>0.1477021465581051</v>
      </c>
      <c r="E278" s="274">
        <f t="shared" si="50"/>
        <v>1.0986260332602596E+33</v>
      </c>
      <c r="F278" s="229">
        <f t="shared" si="45"/>
        <v>182.18439310230349</v>
      </c>
      <c r="G278" s="321" cm="1">
        <f t="array" ref="G278">$B$7*SUM((($D$43:$D$50)/$C278)/(EXP($D$43:$D$50/$C278)-1)-LN(1-EXP(-$D$43:$D$50/$C278)))</f>
        <v>60.50243740774409</v>
      </c>
      <c r="H278" s="243">
        <f t="shared" si="47"/>
        <v>89.813804979250662</v>
      </c>
      <c r="I278" s="316">
        <f t="shared" si="48"/>
        <v>5.7631029180476085</v>
      </c>
      <c r="J278" s="275">
        <f t="shared" si="46"/>
        <v>338.26373840734584</v>
      </c>
    </row>
    <row r="279" spans="3:10" ht="19">
      <c r="C279" s="156">
        <f t="shared" si="51"/>
        <v>1900</v>
      </c>
      <c r="D279" s="273">
        <f t="shared" si="49"/>
        <v>0.15590782136688872</v>
      </c>
      <c r="E279" s="274">
        <f t="shared" si="50"/>
        <v>1.1914382256079693E+33</v>
      </c>
      <c r="F279" s="229">
        <f t="shared" si="45"/>
        <v>183.30823436362749</v>
      </c>
      <c r="G279" s="321" cm="1">
        <f t="array" ref="G279">$B$7*SUM((($D$43:$D$50)/$C279)/(EXP($D$43:$D$50/$C279)-1)-LN(1-EXP(-$D$43:$D$50/$C279)))</f>
        <v>63.483717928417931</v>
      </c>
      <c r="H279" s="243">
        <f t="shared" si="47"/>
        <v>90.488109736045033</v>
      </c>
      <c r="I279" s="316">
        <f t="shared" si="48"/>
        <v>5.7631029180476085</v>
      </c>
      <c r="J279" s="275">
        <f t="shared" si="46"/>
        <v>343.04316494613806</v>
      </c>
    </row>
    <row r="280" spans="3:10" ht="20" thickBot="1">
      <c r="C280" s="165">
        <f t="shared" si="51"/>
        <v>2000</v>
      </c>
      <c r="D280" s="277">
        <f t="shared" si="49"/>
        <v>0.16411349617567234</v>
      </c>
      <c r="E280" s="278">
        <f t="shared" si="50"/>
        <v>1.2867261340216096E+33</v>
      </c>
      <c r="F280" s="246">
        <f t="shared" si="45"/>
        <v>184.37441678076712</v>
      </c>
      <c r="G280" s="322" cm="1">
        <f t="array" ref="G280">$B$7*SUM((($D$43:$D$50)/$C280)/(EXP($D$43:$D$50/$C280)-1)-LN(1-EXP(-$D$43:$D$50/$C280)))</f>
        <v>66.358552948644785</v>
      </c>
      <c r="H280" s="247">
        <f t="shared" si="47"/>
        <v>91.127819186328793</v>
      </c>
      <c r="I280" s="307">
        <f t="shared" si="48"/>
        <v>5.7631029180476085</v>
      </c>
      <c r="J280" s="279">
        <f t="shared" si="46"/>
        <v>347.62389183378832</v>
      </c>
    </row>
  </sheetData>
  <mergeCells count="10">
    <mergeCell ref="A18:V18"/>
    <mergeCell ref="A54:V54"/>
    <mergeCell ref="AC93:AE93"/>
    <mergeCell ref="AJ101:AP101"/>
    <mergeCell ref="H198:K198"/>
    <mergeCell ref="D203:E203"/>
    <mergeCell ref="D212:H212"/>
    <mergeCell ref="H239:K239"/>
    <mergeCell ref="D244:E244"/>
    <mergeCell ref="D245:E24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CB20-4A98-5546-A1B6-2D4861AD6B52}">
  <dimension ref="A3:AW121"/>
  <sheetViews>
    <sheetView tabSelected="1" zoomScale="75" zoomScaleNormal="167" workbookViewId="0">
      <selection activeCell="R39" sqref="R39"/>
    </sheetView>
  </sheetViews>
  <sheetFormatPr baseColWidth="10" defaultRowHeight="16"/>
  <cols>
    <col min="2" max="2" width="14.83203125" customWidth="1"/>
    <col min="3" max="3" width="16" customWidth="1"/>
    <col min="4" max="4" width="14.5" customWidth="1"/>
    <col min="5" max="5" width="14.6640625" customWidth="1"/>
    <col min="6" max="6" width="13.83203125" customWidth="1"/>
    <col min="7" max="7" width="13.6640625" customWidth="1"/>
    <col min="8" max="8" width="14.83203125" customWidth="1"/>
    <col min="9" max="9" width="14.1640625" customWidth="1"/>
    <col min="10" max="10" width="14.33203125" customWidth="1"/>
    <col min="14" max="14" width="12.33203125" bestFit="1" customWidth="1"/>
    <col min="15" max="15" width="13.33203125" bestFit="1" customWidth="1"/>
    <col min="17" max="17" width="14.6640625" customWidth="1"/>
    <col min="18" max="19" width="20.6640625" customWidth="1"/>
  </cols>
  <sheetData>
    <row r="3" spans="2:31" ht="17" thickBot="1"/>
    <row r="4" spans="2:31" ht="22" thickBot="1">
      <c r="B4" s="506" t="s">
        <v>196</v>
      </c>
      <c r="C4" s="507"/>
      <c r="D4" s="507"/>
      <c r="E4" s="507"/>
      <c r="F4" s="507"/>
      <c r="G4" s="507"/>
      <c r="H4" s="507"/>
      <c r="I4" s="507"/>
      <c r="J4" s="507"/>
      <c r="K4" s="507"/>
      <c r="L4" s="507"/>
      <c r="M4" s="507"/>
      <c r="N4" s="507"/>
      <c r="O4" s="507"/>
      <c r="P4" s="508"/>
      <c r="X4" s="411"/>
      <c r="Z4" s="412" t="s">
        <v>168</v>
      </c>
      <c r="AA4" s="413"/>
      <c r="AB4" s="413"/>
      <c r="AC4" s="413"/>
      <c r="AD4" s="413"/>
      <c r="AE4" s="414"/>
    </row>
    <row r="5" spans="2:31">
      <c r="Z5" s="415" t="s">
        <v>202</v>
      </c>
      <c r="AA5" s="416" t="s">
        <v>169</v>
      </c>
      <c r="AB5" s="417" t="s">
        <v>170</v>
      </c>
      <c r="AC5" s="415" t="s">
        <v>203</v>
      </c>
      <c r="AD5" s="416" t="s">
        <v>169</v>
      </c>
      <c r="AE5" s="417" t="s">
        <v>170</v>
      </c>
    </row>
    <row r="6" spans="2:31">
      <c r="Z6" s="339">
        <v>2.4110999999999998</v>
      </c>
      <c r="AA6">
        <f>AB6*[2]TS!$E$10</f>
        <v>-57.03920129729574</v>
      </c>
      <c r="AB6" s="371">
        <v>-35792.222297220003</v>
      </c>
      <c r="AC6" s="339">
        <v>1.0164</v>
      </c>
      <c r="AD6">
        <f>AE6*[2]TS!$E$10</f>
        <v>-57.040081306881206</v>
      </c>
      <c r="AE6" s="371">
        <v>-35792.774505139998</v>
      </c>
    </row>
    <row r="7" spans="2:31">
      <c r="Z7" s="339">
        <v>2.3111000000000002</v>
      </c>
      <c r="AA7">
        <f>AB7*[2]TS!$E$10</f>
        <v>-57.03893129435474</v>
      </c>
      <c r="AB7" s="371">
        <v>-35792.052869790001</v>
      </c>
      <c r="AC7" s="339">
        <v>1.1164000000000001</v>
      </c>
      <c r="AD7">
        <f>AE7*[2]TS!$E$10</f>
        <v>-57.033341233465222</v>
      </c>
      <c r="AE7" s="371">
        <v>-35788.545094480003</v>
      </c>
    </row>
    <row r="8" spans="2:31" ht="20" thickBot="1">
      <c r="C8" s="411"/>
      <c r="Z8" s="339">
        <v>2.2111000000000001</v>
      </c>
      <c r="AA8">
        <f>AB8*[2]TS!$E$10</f>
        <v>-57.038591290651262</v>
      </c>
      <c r="AB8" s="371">
        <v>-35791.839516729997</v>
      </c>
      <c r="AC8" s="339">
        <v>1.2163999999999999</v>
      </c>
      <c r="AD8">
        <f>AE8*[2]TS!$E$10</f>
        <v>-57.01826106920511</v>
      </c>
      <c r="AE8" s="371">
        <v>-35779.082258759998</v>
      </c>
    </row>
    <row r="9" spans="2:31" ht="22" thickBot="1">
      <c r="B9" s="418" t="s">
        <v>171</v>
      </c>
      <c r="C9" s="374" t="s">
        <v>198</v>
      </c>
      <c r="D9" s="374" t="s">
        <v>172</v>
      </c>
      <c r="E9" s="174" t="s">
        <v>173</v>
      </c>
      <c r="F9" s="280" t="s">
        <v>174</v>
      </c>
      <c r="Z9" s="339">
        <v>2.1111</v>
      </c>
      <c r="AA9">
        <f>AB9*[2]TS!$E$10</f>
        <v>-57.038161285967455</v>
      </c>
      <c r="AB9" s="371">
        <v>-35791.569687859999</v>
      </c>
      <c r="AC9" s="339">
        <v>1.3164</v>
      </c>
      <c r="AD9">
        <f>AE9*[2]TS!$E$10</f>
        <v>-56.999360863335355</v>
      </c>
      <c r="AE9" s="371">
        <v>-35767.222338660002</v>
      </c>
    </row>
    <row r="10" spans="2:31">
      <c r="B10" s="462">
        <f>TS!$C$172</f>
        <v>-2.4846910797804397E-16</v>
      </c>
      <c r="C10" s="462">
        <f>'NH3'!$C$172</f>
        <v>-2.46482168559172E-16</v>
      </c>
      <c r="D10" s="462">
        <f>H!$C$172</f>
        <v>-2.1811893390727599E-18</v>
      </c>
      <c r="E10" s="345">
        <f>B10-C10-D10</f>
        <v>1.942499202007856E-19</v>
      </c>
      <c r="F10" s="345">
        <f>E10*[2]TS!$H$13</f>
        <v>27.971988508913125</v>
      </c>
      <c r="Z10" s="339">
        <v>2.0110999999999999</v>
      </c>
      <c r="AA10">
        <f>AB10*[2]TS!$E$10</f>
        <v>-57.037631280194383</v>
      </c>
      <c r="AB10" s="371">
        <v>-35791.237108089997</v>
      </c>
      <c r="AC10" s="339">
        <v>1.4164000000000001</v>
      </c>
      <c r="AD10">
        <f>AE10*[2]TS!$E$10</f>
        <v>-56.979160643305235</v>
      </c>
      <c r="AE10" s="371">
        <v>-35754.546656860002</v>
      </c>
    </row>
    <row r="11" spans="2:31">
      <c r="Z11" s="339">
        <v>1.9111</v>
      </c>
      <c r="AA11">
        <f>AB11*[2]TS!$E$10</f>
        <v>-57.037231275837357</v>
      </c>
      <c r="AB11" s="371">
        <v>-35790.986104490003</v>
      </c>
      <c r="AC11" s="339">
        <v>1.5164</v>
      </c>
      <c r="AD11">
        <f>AE11*[2]TS!$E$10</f>
        <v>-56.959030424037593</v>
      </c>
      <c r="AE11" s="371">
        <v>-35741.914900689997</v>
      </c>
    </row>
    <row r="12" spans="2:31">
      <c r="Z12" s="339">
        <v>1.8110999999999999</v>
      </c>
      <c r="AA12">
        <f>AB12*[2]TS!$E$10</f>
        <v>-57.036651269519659</v>
      </c>
      <c r="AB12" s="371">
        <v>-35790.622149269999</v>
      </c>
      <c r="AC12" s="339">
        <v>1.6164000000000001</v>
      </c>
      <c r="AD12">
        <f>AE12*[2]TS!$E$10</f>
        <v>-56.939710213592953</v>
      </c>
      <c r="AE12" s="371">
        <v>-35729.791426809999</v>
      </c>
    </row>
    <row r="13" spans="2:31">
      <c r="Z13" s="339">
        <v>1.7111000000000001</v>
      </c>
      <c r="AA13">
        <f>AB13*[2]TS!$E$10</f>
        <v>-57.036011262548399</v>
      </c>
      <c r="AB13" s="371">
        <v>-35790.220543509997</v>
      </c>
      <c r="AC13" s="339">
        <v>1.7163999999999999</v>
      </c>
      <c r="AD13">
        <f>AE13*[2]TS!$E$10</f>
        <v>-56.92153001556585</v>
      </c>
      <c r="AE13" s="371">
        <v>-35718.383313190003</v>
      </c>
    </row>
    <row r="14" spans="2:31">
      <c r="Z14" s="339">
        <v>1.6111</v>
      </c>
      <c r="AA14">
        <f>AB14*[2]TS!$E$10</f>
        <v>-57.035151253180793</v>
      </c>
      <c r="AB14" s="371">
        <v>-35789.680885770002</v>
      </c>
      <c r="AC14" s="339">
        <v>1.8164</v>
      </c>
      <c r="AD14">
        <f>AE14*[2]TS!$E$10</f>
        <v>-56.9046098312634</v>
      </c>
      <c r="AE14" s="371">
        <v>-35707.765860910004</v>
      </c>
    </row>
    <row r="15" spans="2:31">
      <c r="Z15" s="339">
        <v>1.5111000000000001</v>
      </c>
      <c r="AA15">
        <f>AB15*[2]TS!$E$10</f>
        <v>-57.034101241743585</v>
      </c>
      <c r="AB15" s="371">
        <v>-35789.022001320001</v>
      </c>
      <c r="AC15" s="339">
        <v>1.9164000000000001</v>
      </c>
      <c r="AD15">
        <f>AE15*[2]TS!$E$10</f>
        <v>-56.888919660358816</v>
      </c>
      <c r="AE15" s="371">
        <v>-35697.920244699999</v>
      </c>
    </row>
    <row r="16" spans="2:31">
      <c r="Z16" s="339">
        <v>1.4111</v>
      </c>
      <c r="AA16">
        <f>AB16*[2]TS!$E$10</f>
        <v>-57.03281122769215</v>
      </c>
      <c r="AB16" s="371">
        <v>-35788.212514710001</v>
      </c>
      <c r="AC16" s="339">
        <v>2.0164</v>
      </c>
      <c r="AD16">
        <f>AE16*[2]TS!$E$10</f>
        <v>-56.874409502307479</v>
      </c>
      <c r="AE16" s="371">
        <v>-35688.815089110001</v>
      </c>
    </row>
    <row r="17" spans="1:49" ht="17" thickBot="1">
      <c r="Z17" s="339">
        <v>1.3110999999999999</v>
      </c>
      <c r="AA17">
        <f>AB17*[2]TS!$E$10</f>
        <v>-57.031241210590807</v>
      </c>
      <c r="AB17" s="371">
        <v>-35787.227325580003</v>
      </c>
      <c r="AC17" s="339">
        <v>2.1164000000000001</v>
      </c>
      <c r="AD17">
        <f>AE17*[2]TS!$E$10</f>
        <v>-56.86098935612906</v>
      </c>
      <c r="AE17" s="371">
        <v>-35680.393918330003</v>
      </c>
    </row>
    <row r="18" spans="1:49" ht="19" thickBot="1">
      <c r="A18" s="419"/>
      <c r="B18" s="509" t="s">
        <v>175</v>
      </c>
      <c r="C18" s="510"/>
      <c r="D18" s="510"/>
      <c r="E18" s="511"/>
      <c r="F18" s="512" t="s">
        <v>199</v>
      </c>
      <c r="G18" s="513"/>
      <c r="H18" s="513"/>
      <c r="I18" s="514"/>
      <c r="J18" s="515" t="s">
        <v>176</v>
      </c>
      <c r="K18" s="516"/>
      <c r="L18" s="516"/>
      <c r="M18" s="517"/>
      <c r="Z18" s="339">
        <v>1.2111000000000001</v>
      </c>
      <c r="AA18">
        <f>AB18*[2]TS!$E$10</f>
        <v>-57.029311189568119</v>
      </c>
      <c r="AB18" s="371">
        <v>-35786.016233210001</v>
      </c>
      <c r="AC18" s="339">
        <v>2.2164000000000001</v>
      </c>
      <c r="AD18">
        <f>AE18*[2]TS!$E$10</f>
        <v>-56.854959290446793</v>
      </c>
      <c r="AE18" s="371">
        <v>-35676.610039059997</v>
      </c>
    </row>
    <row r="19" spans="1:49" ht="21" thickBot="1">
      <c r="A19" s="137" t="s">
        <v>177</v>
      </c>
      <c r="B19" s="420" t="s">
        <v>178</v>
      </c>
      <c r="C19" s="421" t="s">
        <v>179</v>
      </c>
      <c r="D19" s="421" t="s">
        <v>180</v>
      </c>
      <c r="E19" s="421" t="s">
        <v>181</v>
      </c>
      <c r="F19" s="421" t="s">
        <v>178</v>
      </c>
      <c r="G19" s="421" t="s">
        <v>179</v>
      </c>
      <c r="H19" s="421" t="s">
        <v>180</v>
      </c>
      <c r="I19" s="421" t="s">
        <v>181</v>
      </c>
      <c r="J19" s="421" t="s">
        <v>178</v>
      </c>
      <c r="K19" s="421" t="s">
        <v>179</v>
      </c>
      <c r="L19" s="421" t="s">
        <v>180</v>
      </c>
      <c r="M19" s="421" t="s">
        <v>181</v>
      </c>
      <c r="N19" s="421" t="s">
        <v>182</v>
      </c>
      <c r="O19" s="421" t="s">
        <v>183</v>
      </c>
      <c r="P19" s="421" t="s">
        <v>184</v>
      </c>
      <c r="Q19" s="421" t="s">
        <v>185</v>
      </c>
      <c r="R19" s="422" t="s">
        <v>186</v>
      </c>
      <c r="S19" s="423" t="s">
        <v>187</v>
      </c>
      <c r="T19" s="424" t="s">
        <v>188</v>
      </c>
      <c r="Z19" s="339">
        <v>1.1111</v>
      </c>
      <c r="AA19">
        <f>AB19*[2]TS!$E$10</f>
        <v>-57.026971164079484</v>
      </c>
      <c r="AB19" s="371">
        <v>-35784.547862150001</v>
      </c>
      <c r="AC19" s="339">
        <v>2.3163999999999998</v>
      </c>
      <c r="AD19">
        <f>AE19*[2]TS!$E$10</f>
        <v>-56.855479296110943</v>
      </c>
      <c r="AE19" s="371">
        <v>-35676.936343740002</v>
      </c>
    </row>
    <row r="20" spans="1:49">
      <c r="A20" s="425">
        <v>300</v>
      </c>
      <c r="B20" s="426">
        <f>TS!$E66</f>
        <v>3055703.7692763014</v>
      </c>
      <c r="C20" s="427">
        <f>TS!$E138</f>
        <v>745.87646519433486</v>
      </c>
      <c r="D20" s="428">
        <f>TS!$M103</f>
        <v>1.0793370046353254</v>
      </c>
      <c r="E20" s="429">
        <f>TS!$D176</f>
        <v>2</v>
      </c>
      <c r="F20" s="430">
        <f>'NH3'!$E66</f>
        <v>2803172.1753482632</v>
      </c>
      <c r="G20" s="427">
        <f>'NH3'!$E138</f>
        <v>214.58982499874347</v>
      </c>
      <c r="H20" s="428">
        <f>'NH3'!$J103</f>
        <v>1.0091632980346976</v>
      </c>
      <c r="I20" s="431">
        <f>'NH3'!$D176</f>
        <v>1</v>
      </c>
      <c r="J20" s="426">
        <f>H!$E66</f>
        <v>40368.323106654447</v>
      </c>
      <c r="K20" s="427">
        <f>H!$D138</f>
        <v>1</v>
      </c>
      <c r="L20" s="428">
        <f>H!$E103</f>
        <v>1</v>
      </c>
      <c r="M20" s="429">
        <f>H!$D176</f>
        <v>2</v>
      </c>
      <c r="N20" s="430">
        <f>PRODUCT(B20:E20)</f>
        <v>4920001288.1248741</v>
      </c>
      <c r="O20" s="432">
        <f>PRODUCT(F20:M20)</f>
        <v>49010716494340.164</v>
      </c>
      <c r="P20" s="426">
        <f>(TS!$B$8*A20/TS!$B$14)*N20*EXP(-$E$10/(TS!$B$8*A20))/O20</f>
        <v>2.6915470181753965E-12</v>
      </c>
      <c r="Q20" s="427">
        <f>P20*([2]TS!$B$8*A20/[2]TS!$B$16)*[2]TS!$B$6</f>
        <v>6.6258417327230258E-14</v>
      </c>
      <c r="R20" s="433">
        <f>Q20*10^6/[2]TS!$B$6</f>
        <v>1.1002470438619868E-31</v>
      </c>
      <c r="S20" s="434">
        <v>2.1800000000000001E-20</v>
      </c>
      <c r="T20" s="435">
        <f>ABS(S20-R20)/((R20+S20)/2)</f>
        <v>1.9999999999798119</v>
      </c>
      <c r="Z20" s="339">
        <v>1.0111000000000001</v>
      </c>
      <c r="AA20">
        <f>AB20*[2]TS!$E$10</f>
        <v>-57.024261134560597</v>
      </c>
      <c r="AB20" s="371">
        <v>-35782.847312760001</v>
      </c>
      <c r="AC20" s="339">
        <v>2.4163999999999999</v>
      </c>
      <c r="AD20">
        <f>AE20*[2]TS!$E$10</f>
        <v>-56.855919300903679</v>
      </c>
      <c r="AE20" s="371">
        <v>-35677.212447700003</v>
      </c>
    </row>
    <row r="21" spans="1:49">
      <c r="A21" s="339">
        <f>A20+100</f>
        <v>400</v>
      </c>
      <c r="B21" s="436">
        <f>TS!$E67</f>
        <v>6272751.6222414859</v>
      </c>
      <c r="C21" s="437">
        <f>TS!$E139</f>
        <v>1148.3519412324156</v>
      </c>
      <c r="D21" s="438">
        <f>TS!$M104</f>
        <v>1.2168249504907209</v>
      </c>
      <c r="E21" s="439">
        <f>TS!$D177</f>
        <v>2</v>
      </c>
      <c r="F21" s="440">
        <f>'NH3'!$E67</f>
        <v>5754354.5245233085</v>
      </c>
      <c r="G21" s="437">
        <f>'NH3'!$E139</f>
        <v>330.38264860901137</v>
      </c>
      <c r="H21" s="438">
        <f>'NH3'!$J104</f>
        <v>1.0336527403627873</v>
      </c>
      <c r="I21" s="441">
        <f>'NH3'!$D177</f>
        <v>1</v>
      </c>
      <c r="J21" s="436">
        <f>H!$E67</f>
        <v>82868.132310616726</v>
      </c>
      <c r="K21" s="437">
        <f>H!$D139</f>
        <v>1</v>
      </c>
      <c r="L21" s="438">
        <f>H!$E104</f>
        <v>1</v>
      </c>
      <c r="M21" s="439">
        <f>H!$D177</f>
        <v>2</v>
      </c>
      <c r="N21" s="440">
        <f t="shared" ref="N21:N37" si="0">PRODUCT(B21:E21)</f>
        <v>17530374828.985882</v>
      </c>
      <c r="O21" s="424">
        <f t="shared" ref="O21:O37" si="1">PRODUCT(F21:M21)</f>
        <v>325691221108678.44</v>
      </c>
      <c r="P21" s="436">
        <f>([2]TS!$B$8*A21/[2]TS!$B$14)*N21*EXP(-$E$10/([2]TS!$B$8*A21))/O21</f>
        <v>2.3776995828538898E-7</v>
      </c>
      <c r="Q21" s="437">
        <f>P21*([2]TS!$B$8*A21/[2]TS!$B$16)*[2]TS!$B$6</f>
        <v>7.804315271758356E-9</v>
      </c>
      <c r="R21" s="442">
        <f>Q21*10^6/[2]TS!$B$6</f>
        <v>1.2959372036781538E-26</v>
      </c>
      <c r="S21" s="443">
        <v>3.5900000000000002E-18</v>
      </c>
      <c r="T21" s="435">
        <f t="shared" ref="T21:T37" si="2">ABS(S21-R21)/((R21+S21)/2)</f>
        <v>1.9999999855605881</v>
      </c>
      <c r="Z21" s="339">
        <v>0.91110000000000002</v>
      </c>
      <c r="AA21">
        <f>AB21*[2]TS!$E$10</f>
        <v>-57.021811107873773</v>
      </c>
      <c r="AB21" s="371">
        <v>-35781.30991571</v>
      </c>
      <c r="AC21" s="339">
        <v>2.5164</v>
      </c>
      <c r="AD21">
        <f>AE21*[2]TS!$E$10</f>
        <v>-56.856289304933931</v>
      </c>
      <c r="AE21" s="371">
        <v>-35677.444626030003</v>
      </c>
    </row>
    <row r="22" spans="1:49">
      <c r="A22" s="339">
        <f t="shared" ref="A22:A37" si="3">A21+100</f>
        <v>500</v>
      </c>
      <c r="B22" s="436">
        <f>TS!$E68</f>
        <v>10958046.119768845</v>
      </c>
      <c r="C22" s="437">
        <f>TS!$E140</f>
        <v>1604.8706266809536</v>
      </c>
      <c r="D22" s="438">
        <f>TS!$M105</f>
        <v>1.4334916530276467</v>
      </c>
      <c r="E22" s="439">
        <f>TS!$D178</f>
        <v>2</v>
      </c>
      <c r="F22" s="440">
        <f>'NH3'!$E68</f>
        <v>10052443.658959117</v>
      </c>
      <c r="G22" s="437">
        <f>'NH3'!$E140</f>
        <v>461.72378804761001</v>
      </c>
      <c r="H22" s="438">
        <f>'NH3'!$J105</f>
        <v>1.0779152605996911</v>
      </c>
      <c r="I22" s="441">
        <f>'NH3'!$D178</f>
        <v>1</v>
      </c>
      <c r="J22" s="436">
        <f>H!$E68</f>
        <v>144764.66954295631</v>
      </c>
      <c r="K22" s="437">
        <f>H!$D140</f>
        <v>1</v>
      </c>
      <c r="L22" s="438">
        <f>H!$E105</f>
        <v>1</v>
      </c>
      <c r="M22" s="439">
        <f>H!$D178</f>
        <v>2</v>
      </c>
      <c r="N22" s="440">
        <f t="shared" si="0"/>
        <v>50419474682.796112</v>
      </c>
      <c r="O22" s="424">
        <f t="shared" si="1"/>
        <v>1448542017415442.5</v>
      </c>
      <c r="P22" s="436">
        <f>([2]TS!$B$8*A22/[2]TS!$B$14)*N22*EXP(-$E$10/([2]TS!$B$8*A22))/O22</f>
        <v>2.1821883749933532E-4</v>
      </c>
      <c r="Q22" s="437">
        <f>P22*([2]TS!$B$8*A22/[2]TS!$B$16)*[2]TS!$B$6</f>
        <v>8.9532368721140818E-6</v>
      </c>
      <c r="R22" s="442">
        <f>Q22*10^6/[2]TS!$B$6</f>
        <v>1.4867201480062042E-23</v>
      </c>
      <c r="S22" s="443">
        <v>8.8199999999999996E-17</v>
      </c>
      <c r="T22" s="435">
        <f t="shared" si="2"/>
        <v>1.9999993257506137</v>
      </c>
      <c r="Z22" s="339">
        <v>0.81110000000000004</v>
      </c>
      <c r="AA22">
        <f>AB22*[2]TS!$E$10</f>
        <v>-57.032161220611982</v>
      </c>
      <c r="AB22" s="371">
        <v>-35787.804633860003</v>
      </c>
      <c r="AC22" s="339">
        <v>2.6164000000000001</v>
      </c>
      <c r="AD22">
        <f>AE22*[2]TS!$E$10</f>
        <v>-56.856629308637409</v>
      </c>
      <c r="AE22" s="371">
        <v>-35677.65797909</v>
      </c>
    </row>
    <row r="23" spans="1:49">
      <c r="A23" s="339">
        <f t="shared" si="3"/>
        <v>600</v>
      </c>
      <c r="B23" s="436">
        <f>TS!$E69</f>
        <v>17285670.85242058</v>
      </c>
      <c r="C23" s="437">
        <f>TS!$E141</f>
        <v>2109.6572258654624</v>
      </c>
      <c r="D23" s="438">
        <f>TS!$M106</f>
        <v>1.7412196366899653</v>
      </c>
      <c r="E23" s="439">
        <f>TS!$D179</f>
        <v>2</v>
      </c>
      <c r="F23" s="440">
        <f>'NH3'!$E69</f>
        <v>15857136.432177441</v>
      </c>
      <c r="G23" s="437">
        <f>'NH3'!$E141</f>
        <v>606.95168172098363</v>
      </c>
      <c r="H23" s="438">
        <f>'NH3'!$J106</f>
        <v>1.1427032925665526</v>
      </c>
      <c r="I23" s="441">
        <f>'NH3'!$D179</f>
        <v>1</v>
      </c>
      <c r="J23" s="436">
        <f>H!$E69</f>
        <v>228357.72011076027</v>
      </c>
      <c r="K23" s="437">
        <f>H!$D141</f>
        <v>1</v>
      </c>
      <c r="L23" s="438">
        <f>H!$E106</f>
        <v>1</v>
      </c>
      <c r="M23" s="439">
        <f>H!$D179</f>
        <v>2</v>
      </c>
      <c r="N23" s="440">
        <f t="shared" si="0"/>
        <v>126993557246.82013</v>
      </c>
      <c r="O23" s="424">
        <f t="shared" si="1"/>
        <v>5022940743387250</v>
      </c>
      <c r="P23" s="436">
        <f>([2]TS!$B$8*A23/[2]TS!$B$14)*N23*EXP(-$E$10/([2]TS!$B$8*A23))/O23</f>
        <v>2.0701032829763533E-2</v>
      </c>
      <c r="Q23" s="437">
        <f>P23*([2]TS!$B$8*A23/[2]TS!$B$16)*[2]TS!$B$6</f>
        <v>1.0192039470809527E-3</v>
      </c>
      <c r="R23" s="442">
        <f>Q23*10^6/[2]TS!$B$6</f>
        <v>1.6924281851317851E-21</v>
      </c>
      <c r="S23" s="443">
        <v>8.1699999999999996E-16</v>
      </c>
      <c r="T23" s="435">
        <f t="shared" si="2"/>
        <v>1.9999917139550587</v>
      </c>
      <c r="Z23" s="339">
        <v>0.71109999999999995</v>
      </c>
      <c r="AA23">
        <f>AB23*[2]TS!$E$10</f>
        <v>-57.033661236950842</v>
      </c>
      <c r="AB23" s="371">
        <v>-35788.745897360001</v>
      </c>
      <c r="AC23" s="339">
        <v>2.7164000000000001</v>
      </c>
      <c r="AD23">
        <f>AE23*[2]TS!$E$10</f>
        <v>-56.856939312014106</v>
      </c>
      <c r="AE23" s="371">
        <v>-35677.852506880001</v>
      </c>
      <c r="AW23" s="188"/>
    </row>
    <row r="24" spans="1:49">
      <c r="A24" s="339">
        <f t="shared" si="3"/>
        <v>700</v>
      </c>
      <c r="B24" s="436">
        <f>TS!$E70</f>
        <v>25412840.643683624</v>
      </c>
      <c r="C24" s="437">
        <f>TS!$E142</f>
        <v>2658.4719473193245</v>
      </c>
      <c r="D24" s="438">
        <f>TS!$M107</f>
        <v>2.1580782531620226</v>
      </c>
      <c r="E24" s="439">
        <f>TS!$D180</f>
        <v>2</v>
      </c>
      <c r="F24" s="440">
        <f>'NH3'!$E70</f>
        <v>23312655.010994311</v>
      </c>
      <c r="G24" s="437">
        <f>'NH3'!$E142</f>
        <v>764.84653499649755</v>
      </c>
      <c r="H24" s="438">
        <f>'NH3'!$J107</f>
        <v>1.2280782720316201</v>
      </c>
      <c r="I24" s="441">
        <f>'NH3'!$D180</f>
        <v>1</v>
      </c>
      <c r="J24" s="436">
        <f>H!$E70</f>
        <v>335724.21923775156</v>
      </c>
      <c r="K24" s="437">
        <f>H!$D142</f>
        <v>1</v>
      </c>
      <c r="L24" s="438">
        <f>H!$E107</f>
        <v>1</v>
      </c>
      <c r="M24" s="439">
        <f>H!$D180</f>
        <v>2</v>
      </c>
      <c r="N24" s="440">
        <f t="shared" si="0"/>
        <v>291596615642.28961</v>
      </c>
      <c r="O24" s="424">
        <f t="shared" si="1"/>
        <v>1.4702959338890722E+16</v>
      </c>
      <c r="P24" s="436">
        <f>([2]TS!$B$8*A24/[2]TS!$B$14)*N24*EXP(-$E$10/([2]TS!$B$8*A24))/O24</f>
        <v>0.53991199434770132</v>
      </c>
      <c r="Q24" s="437">
        <f>P24*([2]TS!$B$8*A24/[2]TS!$B$16)*[2]TS!$B$6</f>
        <v>3.1012647868712519E-2</v>
      </c>
      <c r="R24" s="442">
        <f>Q24*10^6/[2]TS!$B$6</f>
        <v>5.1497719861565027E-20</v>
      </c>
      <c r="S24" s="443">
        <v>4.2800000000000001E-15</v>
      </c>
      <c r="T24" s="435">
        <f t="shared" si="2"/>
        <v>1.9999518718689351</v>
      </c>
      <c r="Z24" s="339">
        <v>0.61109999999999998</v>
      </c>
      <c r="AA24">
        <f>AB24*[2]TS!$E$10</f>
        <v>-57.018141067898007</v>
      </c>
      <c r="AB24" s="371">
        <v>-35779.006957680002</v>
      </c>
      <c r="AC24" s="339">
        <v>2.8163999999999998</v>
      </c>
      <c r="AD24">
        <f>AE24*[2]TS!$E$10</f>
        <v>-56.857219315064029</v>
      </c>
      <c r="AE24" s="371">
        <v>-35678.028209399999</v>
      </c>
      <c r="AW24" s="188"/>
    </row>
    <row r="25" spans="1:49">
      <c r="A25" s="339">
        <f t="shared" si="3"/>
        <v>800</v>
      </c>
      <c r="B25" s="436">
        <f>TS!$E71</f>
        <v>35484041.670287065</v>
      </c>
      <c r="C25" s="437">
        <f>TS!$E143</f>
        <v>3248.0297793367045</v>
      </c>
      <c r="D25" s="438">
        <f>TS!$M108</f>
        <v>2.708845526218544</v>
      </c>
      <c r="E25" s="439">
        <f>TS!$D181</f>
        <v>2</v>
      </c>
      <c r="F25" s="440">
        <f>'NH3'!$E71</f>
        <v>32551544.845135011</v>
      </c>
      <c r="G25" s="437">
        <f>'NH3'!$E143</f>
        <v>934.46324487121603</v>
      </c>
      <c r="H25" s="438">
        <f>'NH3'!$J108</f>
        <v>1.3344043127939229</v>
      </c>
      <c r="I25" s="441">
        <f>'NH3'!$D181</f>
        <v>1</v>
      </c>
      <c r="J25" s="436">
        <f>H!$E71</f>
        <v>468772.94640881027</v>
      </c>
      <c r="K25" s="437">
        <f>H!$D143</f>
        <v>1</v>
      </c>
      <c r="L25" s="438">
        <f>H!$E108</f>
        <v>1</v>
      </c>
      <c r="M25" s="439">
        <f>H!$D181</f>
        <v>2</v>
      </c>
      <c r="N25" s="440">
        <f t="shared" si="0"/>
        <v>624406360626.0813</v>
      </c>
      <c r="O25" s="424">
        <f t="shared" si="1"/>
        <v>3.805518178643332E+16</v>
      </c>
      <c r="P25" s="436">
        <f>([2]TS!$B$8*A25/[2]TS!$B$14)*N25*EXP(-$E$10/([2]TS!$B$8*A25))/O25</f>
        <v>6.2967040152737344</v>
      </c>
      <c r="Q25" s="437">
        <f>P25*([2]TS!$B$8*A25/[2]TS!$B$16)*[2]TS!$B$6</f>
        <v>0.41335300441243944</v>
      </c>
      <c r="R25" s="442">
        <f>Q25*10^6/[2]TS!$B$6</f>
        <v>6.863888989834833E-19</v>
      </c>
      <c r="S25" s="443">
        <v>1.5600000000000001E-14</v>
      </c>
      <c r="T25" s="435">
        <f t="shared" si="2"/>
        <v>1.9998240105898231</v>
      </c>
      <c r="Z25" s="339"/>
      <c r="AB25" s="371"/>
      <c r="AC25" s="339"/>
      <c r="AE25" s="371"/>
      <c r="AW25" s="188"/>
    </row>
    <row r="26" spans="1:49" ht="17" thickBot="1">
      <c r="A26" s="339">
        <f t="shared" si="3"/>
        <v>900</v>
      </c>
      <c r="B26" s="436">
        <f>TS!$E72</f>
        <v>47633707.631396353</v>
      </c>
      <c r="C26" s="437">
        <f>TS!$E144</f>
        <v>3875.6878016594019</v>
      </c>
      <c r="D26" s="438">
        <f>TS!$M109</f>
        <v>3.4256498515671061</v>
      </c>
      <c r="E26" s="439">
        <f>TS!$D182</f>
        <v>2</v>
      </c>
      <c r="F26" s="440">
        <f>'NH3'!$E72</f>
        <v>43697129.670598939</v>
      </c>
      <c r="G26" s="437">
        <f>'NH3'!$E144</f>
        <v>1115.0414390554131</v>
      </c>
      <c r="H26" s="438">
        <f>'NH3'!$J109</f>
        <v>1.4626217642539519</v>
      </c>
      <c r="I26" s="441">
        <f>'NH3'!$D182</f>
        <v>1</v>
      </c>
      <c r="J26" s="436">
        <f>H!$E72</f>
        <v>629279.87973373779</v>
      </c>
      <c r="K26" s="437">
        <f>H!$D144</f>
        <v>1</v>
      </c>
      <c r="L26" s="438">
        <f>H!$E109</f>
        <v>1</v>
      </c>
      <c r="M26" s="439">
        <f>H!$D182</f>
        <v>2</v>
      </c>
      <c r="N26" s="440">
        <f t="shared" si="0"/>
        <v>1264841592949.5732</v>
      </c>
      <c r="O26" s="424">
        <f t="shared" si="1"/>
        <v>8.9691191084361952E+16</v>
      </c>
      <c r="P26" s="436">
        <f>([2]TS!$B$8*A26/[2]TS!$B$14)*N26*EXP(-$E$10/([2]TS!$B$8*A26))/O26</f>
        <v>42.968432689542951</v>
      </c>
      <c r="Q26" s="437">
        <f>P26*([2]TS!$B$8*A26/[2]TS!$B$16)*[2]TS!$B$6</f>
        <v>3.1732906679491024</v>
      </c>
      <c r="R26" s="442">
        <f>Q26*10^6/[2]TS!$B$6</f>
        <v>5.2693737906277541E-18</v>
      </c>
      <c r="S26" s="443">
        <v>4.4199999999999997E-14</v>
      </c>
      <c r="T26" s="435">
        <f t="shared" si="2"/>
        <v>1.9995231904372237</v>
      </c>
      <c r="Z26" s="444"/>
      <c r="AA26" s="381"/>
      <c r="AB26" s="372"/>
      <c r="AC26" s="444"/>
      <c r="AD26" s="381"/>
      <c r="AE26" s="372"/>
      <c r="AW26" s="188"/>
    </row>
    <row r="27" spans="1:49">
      <c r="A27" s="339">
        <f t="shared" si="3"/>
        <v>1000</v>
      </c>
      <c r="B27" s="436">
        <f>TS!$E73</f>
        <v>61988069.758748062</v>
      </c>
      <c r="C27" s="437">
        <f>TS!$E145</f>
        <v>4539.2596122128225</v>
      </c>
      <c r="D27" s="438">
        <f>TS!$M110</f>
        <v>4.3489089739503344</v>
      </c>
      <c r="E27" s="439">
        <f>TS!$D183</f>
        <v>2</v>
      </c>
      <c r="F27" s="440">
        <f>'NH3'!$E73</f>
        <v>56865208.629965775</v>
      </c>
      <c r="G27" s="437">
        <f>'NH3'!$E145</f>
        <v>1305.9520862544198</v>
      </c>
      <c r="H27" s="438">
        <f>'NH3'!$J110</f>
        <v>1.6142426138035757</v>
      </c>
      <c r="I27" s="441">
        <f>'NH3'!$D183</f>
        <v>1</v>
      </c>
      <c r="J27" s="436">
        <f>H!$E73</f>
        <v>818912.6360804349</v>
      </c>
      <c r="K27" s="437">
        <f>H!$D145</f>
        <v>1</v>
      </c>
      <c r="L27" s="438">
        <f>H!$E110</f>
        <v>1</v>
      </c>
      <c r="M27" s="439">
        <f>H!$D183</f>
        <v>2</v>
      </c>
      <c r="N27" s="440">
        <f t="shared" si="0"/>
        <v>2447391505313.7217</v>
      </c>
      <c r="O27" s="424">
        <f t="shared" si="1"/>
        <v>1.9634066445325142E+17</v>
      </c>
      <c r="P27" s="436">
        <f>([2]TS!$B$8*A27/[2]TS!$B$14)*N27*EXP(-$E$10/([2]TS!$B$8*A27))/O27</f>
        <v>201.48121140116638</v>
      </c>
      <c r="Q27" s="437">
        <f>P27*([2]TS!$B$8*A27/[2]TS!$B$16)*[2]TS!$B$6</f>
        <v>16.533027410712236</v>
      </c>
      <c r="R27" s="442">
        <f>Q27*10^6/[2]TS!$B$6</f>
        <v>2.7453741378832504E-17</v>
      </c>
      <c r="S27" s="443">
        <v>1.0499999999999999E-13</v>
      </c>
      <c r="T27" s="435">
        <f t="shared" si="2"/>
        <v>1.9989544165682074</v>
      </c>
      <c r="AW27" s="188"/>
    </row>
    <row r="28" spans="1:49">
      <c r="A28" s="339">
        <f t="shared" si="3"/>
        <v>1100</v>
      </c>
      <c r="B28" s="436">
        <f>TS!$E74</f>
        <v>78666499.6131953</v>
      </c>
      <c r="C28" s="437">
        <f>TS!$E146</f>
        <v>5236.8972099732373</v>
      </c>
      <c r="D28" s="438">
        <f>TS!$M111</f>
        <v>5.5285535126630805</v>
      </c>
      <c r="E28" s="439">
        <f>TS!$D184</f>
        <v>2</v>
      </c>
      <c r="F28" s="440">
        <f>'NH3'!$E74</f>
        <v>72165288.096620664</v>
      </c>
      <c r="G28" s="437">
        <f>'NH3'!$E146</f>
        <v>1506.663513684894</v>
      </c>
      <c r="H28" s="438">
        <f>'NH3'!$J111</f>
        <v>1.7912803289131456</v>
      </c>
      <c r="I28" s="441">
        <f>'NH3'!$D184</f>
        <v>1</v>
      </c>
      <c r="J28" s="436">
        <f>H!$E74</f>
        <v>1039248.2105053912</v>
      </c>
      <c r="K28" s="437">
        <f>H!$D146</f>
        <v>1</v>
      </c>
      <c r="L28" s="438">
        <f>H!$E111</f>
        <v>1</v>
      </c>
      <c r="M28" s="439">
        <f>H!$D184</f>
        <v>2</v>
      </c>
      <c r="N28" s="440">
        <f t="shared" si="0"/>
        <v>4555178384042.6875</v>
      </c>
      <c r="O28" s="424">
        <f t="shared" si="1"/>
        <v>4.0481580371575085E+17</v>
      </c>
      <c r="P28" s="436">
        <f>([2]TS!$B$8*A28/[2]TS!$B$14)*N28*EXP(-$E$10/([2]TS!$B$8*A28))/O28</f>
        <v>718.89018439720621</v>
      </c>
      <c r="Q28" s="437">
        <f>P28*([2]TS!$B$8*A28/[2]TS!$B$16)*[2]TS!$B$6</f>
        <v>64.889297346404575</v>
      </c>
      <c r="R28" s="442">
        <f>Q28*10^6/[2]TS!$B$6</f>
        <v>1.0775122688347428E-16</v>
      </c>
      <c r="S28" s="443">
        <v>2.19E-13</v>
      </c>
      <c r="T28" s="435">
        <f t="shared" si="2"/>
        <v>1.9980329088992947</v>
      </c>
      <c r="AW28" s="188"/>
    </row>
    <row r="29" spans="1:49">
      <c r="A29" s="339">
        <f t="shared" si="3"/>
        <v>1200</v>
      </c>
      <c r="B29" s="436">
        <f>TS!$E75</f>
        <v>97782520.616842195</v>
      </c>
      <c r="C29" s="437">
        <f>TS!$E147</f>
        <v>5967.0117215546798</v>
      </c>
      <c r="D29" s="438">
        <f>TS!$M112</f>
        <v>7.0255159022276361</v>
      </c>
      <c r="E29" s="439">
        <f>TS!$D185</f>
        <v>2</v>
      </c>
      <c r="F29" s="440">
        <f>'NH3'!$E75</f>
        <v>89701509.611143649</v>
      </c>
      <c r="G29" s="437">
        <f>'NH3'!$E147</f>
        <v>1716.7185999899482</v>
      </c>
      <c r="H29" s="438">
        <f>'NH3'!$J112</f>
        <v>1.9961870206928807</v>
      </c>
      <c r="I29" s="441">
        <f>'NH3'!$D185</f>
        <v>1</v>
      </c>
      <c r="J29" s="436">
        <f>H!$E75</f>
        <v>1291786.3394129495</v>
      </c>
      <c r="K29" s="437">
        <f>H!$D147</f>
        <v>1</v>
      </c>
      <c r="L29" s="438">
        <f>H!$E112</f>
        <v>1</v>
      </c>
      <c r="M29" s="439">
        <f>H!$D185</f>
        <v>2</v>
      </c>
      <c r="N29" s="440">
        <f t="shared" si="0"/>
        <v>8198347752282.8291</v>
      </c>
      <c r="O29" s="424">
        <f t="shared" si="1"/>
        <v>7.9418334521948608E+17</v>
      </c>
      <c r="P29" s="436">
        <f>([2]TS!$B$8*A29/[2]TS!$B$14)*N29*EXP(-$E$10/([2]TS!$B$8*A29))/O29</f>
        <v>2088.859483199416</v>
      </c>
      <c r="Q29" s="437">
        <f>P29*([2]TS!$B$8*A29/[2]TS!$B$16)*[2]TS!$B$6</f>
        <v>205.68769178640474</v>
      </c>
      <c r="R29" s="442">
        <f>Q29*10^6/[2]TS!$B$6</f>
        <v>3.4155249095239359E-16</v>
      </c>
      <c r="S29" s="443">
        <v>4.1100000000000002E-13</v>
      </c>
      <c r="T29" s="435">
        <f t="shared" si="2"/>
        <v>1.9966786483020345</v>
      </c>
      <c r="AW29" s="188"/>
    </row>
    <row r="30" spans="1:49">
      <c r="A30" s="339">
        <f t="shared" si="3"/>
        <v>1300</v>
      </c>
      <c r="B30" s="436">
        <f>TS!$E76</f>
        <v>119444592.70215228</v>
      </c>
      <c r="C30" s="437">
        <f>TS!$E148</f>
        <v>6728.2179353871297</v>
      </c>
      <c r="D30" s="438">
        <f>TS!$M113</f>
        <v>8.9134771292196255</v>
      </c>
      <c r="E30" s="439">
        <f>TS!$D186</f>
        <v>2</v>
      </c>
      <c r="F30" s="440">
        <f>'NH3'!$E76</f>
        <v>109573369.68490662</v>
      </c>
      <c r="G30" s="437">
        <f>'NH3'!$E148</f>
        <v>1935.7188176355098</v>
      </c>
      <c r="H30" s="438">
        <f>'NH3'!$J113</f>
        <v>2.2318132482351594</v>
      </c>
      <c r="I30" s="441">
        <f>'NH3'!$D186</f>
        <v>1</v>
      </c>
      <c r="J30" s="436">
        <f>H!$E76</f>
        <v>1577959.8664058954</v>
      </c>
      <c r="K30" s="437">
        <f>H!$D148</f>
        <v>1</v>
      </c>
      <c r="L30" s="438">
        <f>H!$E113</f>
        <v>1</v>
      </c>
      <c r="M30" s="439">
        <f>H!$D186</f>
        <v>2</v>
      </c>
      <c r="N30" s="440">
        <f t="shared" si="0"/>
        <v>14326618435688.01</v>
      </c>
      <c r="O30" s="424">
        <f t="shared" si="1"/>
        <v>1.4939328936891474E+18</v>
      </c>
      <c r="P30" s="436">
        <f>([2]TS!$B$8*A30/[2]TS!$B$14)*N30*EXP(-$E$10/([2]TS!$B$8*A30))/O30</f>
        <v>5180.4012385798069</v>
      </c>
      <c r="Q30" s="437">
        <f>P30*([2]TS!$B$8*A30/[2]TS!$B$16)*[2]TS!$B$6</f>
        <v>552.61743566259543</v>
      </c>
      <c r="R30" s="442">
        <f>Q30*10^6/[2]TS!$B$6</f>
        <v>9.176429569265998E-16</v>
      </c>
      <c r="S30" s="443">
        <v>7.1499999999999998E-13</v>
      </c>
      <c r="T30" s="435">
        <f t="shared" si="2"/>
        <v>1.9948729132969181</v>
      </c>
      <c r="AW30" s="188"/>
    </row>
    <row r="31" spans="1:49">
      <c r="A31" s="339">
        <f t="shared" si="3"/>
        <v>1400</v>
      </c>
      <c r="B31" s="436">
        <f>TS!$E77</f>
        <v>143756735.58689478</v>
      </c>
      <c r="C31" s="437">
        <f>TS!$E149</f>
        <v>7519.2941661748109</v>
      </c>
      <c r="D31" s="438">
        <f>TS!$M114</f>
        <v>11.280873446572606</v>
      </c>
      <c r="E31" s="439">
        <f>TS!$D187</f>
        <v>2</v>
      </c>
      <c r="F31" s="440">
        <f>'NH3'!$E77</f>
        <v>131876291.56589337</v>
      </c>
      <c r="G31" s="437">
        <f>'NH3'!$E149</f>
        <v>2163.3126858522319</v>
      </c>
      <c r="H31" s="438">
        <f>'NH3'!$J114</f>
        <v>2.5013879695629635</v>
      </c>
      <c r="I31" s="441">
        <f>'NH3'!$D187</f>
        <v>1</v>
      </c>
      <c r="J31" s="436">
        <f>H!$E77</f>
        <v>1899142.9762525919</v>
      </c>
      <c r="K31" s="437">
        <f>H!$D149</f>
        <v>1</v>
      </c>
      <c r="L31" s="438">
        <f>H!$E114</f>
        <v>1</v>
      </c>
      <c r="M31" s="439">
        <f>H!$D187</f>
        <v>2</v>
      </c>
      <c r="N31" s="440">
        <f t="shared" si="0"/>
        <v>24388101876767.988</v>
      </c>
      <c r="O31" s="424">
        <f t="shared" si="1"/>
        <v>2.7105332378183936E+18</v>
      </c>
      <c r="P31" s="436">
        <f>([2]TS!$B$8*A31/[2]TS!$B$14)*N31*EXP(-$E$10/([2]TS!$B$8*A31))/O31</f>
        <v>11339.365647879251</v>
      </c>
      <c r="Q31" s="437">
        <f>P31*([2]TS!$B$8*A31/[2]TS!$B$16)*[2]TS!$B$6</f>
        <v>1302.6706484530671</v>
      </c>
      <c r="R31" s="442">
        <f>Q31*10^6/[2]TS!$B$6</f>
        <v>2.1631357764068374E-15</v>
      </c>
      <c r="S31" s="443">
        <v>1.1700000000000001E-12</v>
      </c>
      <c r="T31" s="435">
        <f t="shared" si="2"/>
        <v>1.9926183115288842</v>
      </c>
      <c r="AW31" s="188"/>
    </row>
    <row r="32" spans="1:49">
      <c r="A32" s="339">
        <f t="shared" si="3"/>
        <v>1500</v>
      </c>
      <c r="B32" s="436">
        <f>TS!$E78</f>
        <v>170819033.68010557</v>
      </c>
      <c r="C32" s="437">
        <f>TS!$E150</f>
        <v>8339.1523949589482</v>
      </c>
      <c r="D32" s="438">
        <f>TS!$M115</f>
        <v>14.233172050440199</v>
      </c>
      <c r="E32" s="439">
        <f>TS!$D188</f>
        <v>2</v>
      </c>
      <c r="F32" s="440">
        <f>'NH3'!$E78</f>
        <v>156702088.41786647</v>
      </c>
      <c r="G32" s="437">
        <f>'NH3'!$E150</f>
        <v>2399.1871798848724</v>
      </c>
      <c r="H32" s="438">
        <f>'NH3'!$J115</f>
        <v>2.8085129030019038</v>
      </c>
      <c r="I32" s="441">
        <f>'NH3'!$D188</f>
        <v>1</v>
      </c>
      <c r="J32" s="436">
        <f>H!$E78</f>
        <v>2256657.865103865</v>
      </c>
      <c r="K32" s="437">
        <f>H!$D150</f>
        <v>1</v>
      </c>
      <c r="L32" s="438">
        <f>H!$E115</f>
        <v>1</v>
      </c>
      <c r="M32" s="439">
        <f>H!$D188</f>
        <v>2</v>
      </c>
      <c r="N32" s="440">
        <f t="shared" si="0"/>
        <v>40549907328254.742</v>
      </c>
      <c r="O32" s="424">
        <f t="shared" si="1"/>
        <v>4.765528331630466E+18</v>
      </c>
      <c r="P32" s="436">
        <f>([2]TS!$B$8*A32/[2]TS!$B$14)*N32*EXP(-$E$10/([2]TS!$B$8*A32))/O32</f>
        <v>22452.957095088725</v>
      </c>
      <c r="Q32" s="437">
        <f>P32*([2]TS!$B$8*A32/[2]TS!$B$16)*[2]TS!$B$6</f>
        <v>2763.6474328531267</v>
      </c>
      <c r="R32" s="442">
        <f>Q32*10^6/[2]TS!$B$6</f>
        <v>4.5891451093018874E-15</v>
      </c>
      <c r="S32" s="443">
        <v>1.8E-12</v>
      </c>
      <c r="T32" s="435">
        <f t="shared" si="2"/>
        <v>1.9898278339493749</v>
      </c>
      <c r="AW32" s="188"/>
    </row>
    <row r="33" spans="1:49">
      <c r="A33" s="339">
        <f t="shared" si="3"/>
        <v>1600</v>
      </c>
      <c r="B33" s="436">
        <f>TS!$E79</f>
        <v>200728051.91172868</v>
      </c>
      <c r="C33" s="437">
        <f>TS!$E151</f>
        <v>9186.8155298593283</v>
      </c>
      <c r="D33" s="438">
        <f>TS!$M116</f>
        <v>17.895429312936795</v>
      </c>
      <c r="E33" s="439">
        <f>TS!$D189</f>
        <v>2</v>
      </c>
      <c r="F33" s="440">
        <f>'NH3'!$E79</f>
        <v>184139344.78474429</v>
      </c>
      <c r="G33" s="437">
        <f>'NH3'!$E151</f>
        <v>2643.0611888720919</v>
      </c>
      <c r="H33" s="438">
        <f>'NH3'!$J116</f>
        <v>3.1571664555909482</v>
      </c>
      <c r="I33" s="441">
        <f>'NH3'!$D189</f>
        <v>1</v>
      </c>
      <c r="J33" s="436">
        <f>H!$E79</f>
        <v>2651780.2339397119</v>
      </c>
      <c r="K33" s="437">
        <f>H!$D151</f>
        <v>1</v>
      </c>
      <c r="L33" s="438">
        <f>H!$E116</f>
        <v>1</v>
      </c>
      <c r="M33" s="439">
        <f>H!$D189</f>
        <v>2</v>
      </c>
      <c r="N33" s="440">
        <f t="shared" si="0"/>
        <v>66000189562559.547</v>
      </c>
      <c r="O33" s="424">
        <f t="shared" si="1"/>
        <v>8.1492720377340969E+18</v>
      </c>
      <c r="P33" s="436">
        <f>([2]TS!$B$8*A33/[2]TS!$B$14)*N33*EXP(-$E$10/([2]TS!$B$8*A33))/O33</f>
        <v>40968.031018803333</v>
      </c>
      <c r="Q33" s="437">
        <f>P33*([2]TS!$B$8*A33/[2]TS!$B$16)*[2]TS!$B$6</f>
        <v>5378.7691673000427</v>
      </c>
      <c r="R33" s="442">
        <f>Q33*10^6/[2]TS!$B$6</f>
        <v>8.9316574627956893E-15</v>
      </c>
      <c r="S33" s="443">
        <v>2.6700000000000001E-12</v>
      </c>
      <c r="T33" s="435">
        <f t="shared" si="2"/>
        <v>1.9866638517068331</v>
      </c>
      <c r="AW33" s="188"/>
    </row>
    <row r="34" spans="1:49">
      <c r="A34" s="339">
        <f t="shared" si="3"/>
        <v>1700</v>
      </c>
      <c r="B34" s="436">
        <f>TS!$E80</f>
        <v>233577183.06282544</v>
      </c>
      <c r="C34" s="437">
        <f>TS!$E152</f>
        <v>10061.399741804213</v>
      </c>
      <c r="D34" s="438">
        <f>TS!$M117</f>
        <v>22.415148344619812</v>
      </c>
      <c r="E34" s="439">
        <f>TS!$D190</f>
        <v>2</v>
      </c>
      <c r="F34" s="440">
        <f>'NH3'!$E80</f>
        <v>214273735.21648976</v>
      </c>
      <c r="G34" s="437">
        <f>'NH3'!$E152</f>
        <v>2894.6804338083407</v>
      </c>
      <c r="H34" s="438">
        <f>'NH3'!$J117</f>
        <v>3.5517138897680316</v>
      </c>
      <c r="I34" s="441">
        <f>'NH3'!$D190</f>
        <v>1</v>
      </c>
      <c r="J34" s="436">
        <f>H!$E80</f>
        <v>3085743.8770825602</v>
      </c>
      <c r="K34" s="437">
        <f>H!$D152</f>
        <v>1</v>
      </c>
      <c r="L34" s="438">
        <f>H!$E117</f>
        <v>1</v>
      </c>
      <c r="M34" s="439">
        <f>H!$D190</f>
        <v>2</v>
      </c>
      <c r="N34" s="440">
        <f t="shared" si="0"/>
        <v>105356281394954.33</v>
      </c>
      <c r="O34" s="424">
        <f t="shared" si="1"/>
        <v>1.3595569713597141E+19</v>
      </c>
      <c r="P34" s="436">
        <f>([2]TS!$B$8*A34/[2]TS!$B$14)*N34*EXP(-$E$10/([2]TS!$B$8*A34))/O34</f>
        <v>69864.019105984946</v>
      </c>
      <c r="Q34" s="437">
        <f>P34*([2]TS!$B$8*A34/[2]TS!$B$16)*[2]TS!$B$6</f>
        <v>9745.863394792188</v>
      </c>
      <c r="R34" s="442">
        <f>Q34*10^6/[2]TS!$B$6</f>
        <v>1.618338895275133E-14</v>
      </c>
      <c r="S34" s="443">
        <v>3.8200000000000003E-12</v>
      </c>
      <c r="T34" s="435">
        <f t="shared" si="2"/>
        <v>1.9831255314859495</v>
      </c>
      <c r="AW34" s="188"/>
    </row>
    <row r="35" spans="1:49">
      <c r="A35" s="339">
        <f t="shared" si="3"/>
        <v>1800</v>
      </c>
      <c r="B35" s="436">
        <f>TS!$E81</f>
        <v>269456941.43374282</v>
      </c>
      <c r="C35" s="437">
        <f>TS!$E153</f>
        <v>10962.100505261395</v>
      </c>
      <c r="D35" s="438">
        <f>TS!$M118</f>
        <v>27.965454942866483</v>
      </c>
      <c r="E35" s="439">
        <f>TS!$D191</f>
        <v>2</v>
      </c>
      <c r="F35" s="440">
        <f>'NH3'!$E81</f>
        <v>247188293.66774788</v>
      </c>
      <c r="G35" s="437">
        <f>'NH3'!$E153</f>
        <v>3153.8134514403591</v>
      </c>
      <c r="H35" s="438">
        <f>'NH3'!$J118</f>
        <v>3.9969216159415377</v>
      </c>
      <c r="I35" s="441">
        <f>'NH3'!$D191</f>
        <v>1</v>
      </c>
      <c r="J35" s="436">
        <f>H!$E81</f>
        <v>3559744.5617918582</v>
      </c>
      <c r="K35" s="437">
        <f>H!$D153</f>
        <v>1</v>
      </c>
      <c r="L35" s="438">
        <f>H!$E118</f>
        <v>1</v>
      </c>
      <c r="M35" s="439">
        <f>H!$D191</f>
        <v>2</v>
      </c>
      <c r="N35" s="440">
        <f t="shared" si="0"/>
        <v>165209508782988.25</v>
      </c>
      <c r="O35" s="424">
        <f t="shared" si="1"/>
        <v>2.2183923708141044E+19</v>
      </c>
      <c r="P35" s="436">
        <f>([2]TS!$B$8*A35/[2]TS!$B$14)*N35*EXP(-$E$10/([2]TS!$B$8*A35))/O35</f>
        <v>112588.32665689038</v>
      </c>
      <c r="Q35" s="437">
        <f>P35*([2]TS!$B$8*A35/[2]TS!$B$16)*[2]TS!$B$6</f>
        <v>16629.672712603457</v>
      </c>
      <c r="R35" s="442">
        <f>Q35*10^6/[2]TS!$B$6</f>
        <v>2.7614224698534834E-14</v>
      </c>
      <c r="S35" s="443">
        <v>5.2999999999999996E-12</v>
      </c>
      <c r="T35" s="435">
        <f t="shared" si="2"/>
        <v>1.979267098904784</v>
      </c>
      <c r="AW35" s="188"/>
    </row>
    <row r="36" spans="1:49">
      <c r="A36" s="339">
        <f t="shared" si="3"/>
        <v>1900</v>
      </c>
      <c r="B36" s="436">
        <f>TS!$E82</f>
        <v>308455213.79252124</v>
      </c>
      <c r="C36" s="437">
        <f>TS!$E154</f>
        <v>11888.181400695792</v>
      </c>
      <c r="D36" s="438">
        <f>TS!$M119</f>
        <v>34.748612705811134</v>
      </c>
      <c r="E36" s="439">
        <f>TS!$D192</f>
        <v>2</v>
      </c>
      <c r="F36" s="440">
        <f>'NH3'!$E82</f>
        <v>282963643.70721567</v>
      </c>
      <c r="G36" s="437">
        <f>'NH3'!$E154</f>
        <v>3420.248372716726</v>
      </c>
      <c r="H36" s="438">
        <f>'NH3'!$J119</f>
        <v>4.4979743136714108</v>
      </c>
      <c r="I36" s="441">
        <f>'NH3'!$D192</f>
        <v>1</v>
      </c>
      <c r="J36" s="436">
        <f>H!$E82</f>
        <v>4074943.3434961871</v>
      </c>
      <c r="K36" s="437">
        <f>H!$D154</f>
        <v>1</v>
      </c>
      <c r="L36" s="438">
        <f>H!$E119</f>
        <v>1</v>
      </c>
      <c r="M36" s="439">
        <f>H!$D192</f>
        <v>2</v>
      </c>
      <c r="N36" s="440">
        <f t="shared" si="0"/>
        <v>254844347384530.69</v>
      </c>
      <c r="O36" s="424">
        <f t="shared" si="1"/>
        <v>3.5477811809020154E+19</v>
      </c>
      <c r="P36" s="436">
        <f>([2]TS!$B$8*A36/[2]TS!$B$14)*N36*EXP(-$E$10/([2]TS!$B$8*A36))/O36</f>
        <v>172965.42818605003</v>
      </c>
      <c r="Q36" s="437">
        <f>P36*([2]TS!$B$8*A36/[2]TS!$B$16)*[2]TS!$B$6</f>
        <v>26966.882302798585</v>
      </c>
      <c r="R36" s="442">
        <f>Q36*10^6/[2]TS!$B$6</f>
        <v>4.4779567234900855E-14</v>
      </c>
      <c r="S36" s="443">
        <v>7.15E-12</v>
      </c>
      <c r="T36" s="435">
        <f t="shared" si="2"/>
        <v>1.9751044118494876</v>
      </c>
      <c r="AW36" s="188"/>
    </row>
    <row r="37" spans="1:49" ht="17" thickBot="1">
      <c r="A37" s="444">
        <f t="shared" si="3"/>
        <v>2000</v>
      </c>
      <c r="B37" s="445">
        <f>TS!$E83</f>
        <v>350657475.832605</v>
      </c>
      <c r="C37" s="446">
        <f>TS!$E155</f>
        <v>12838.965013447609</v>
      </c>
      <c r="D37" s="447">
        <f>TS!$M120</f>
        <v>42.99989946851192</v>
      </c>
      <c r="E37" s="448">
        <f>TS!$D193</f>
        <v>2</v>
      </c>
      <c r="F37" s="449">
        <f>'NH3'!$E83</f>
        <v>321678197.08668894</v>
      </c>
      <c r="G37" s="446">
        <f>'NH3'!$E155</f>
        <v>3693.7903043808747</v>
      </c>
      <c r="H37" s="447">
        <f>'NH3'!$J120</f>
        <v>5.0604940919624353</v>
      </c>
      <c r="I37" s="450">
        <f>'NH3'!$D193</f>
        <v>1</v>
      </c>
      <c r="J37" s="445">
        <f>H!$E83</f>
        <v>4632469.425374628</v>
      </c>
      <c r="K37" s="446">
        <f>H!$D155</f>
        <v>1</v>
      </c>
      <c r="L37" s="447">
        <f>H!$E120</f>
        <v>1</v>
      </c>
      <c r="M37" s="448">
        <f>H!$D193</f>
        <v>2</v>
      </c>
      <c r="N37" s="449">
        <f t="shared" si="0"/>
        <v>387177894295589.75</v>
      </c>
      <c r="O37" s="451">
        <f t="shared" si="1"/>
        <v>5.5709510498034983E+19</v>
      </c>
      <c r="P37" s="445">
        <f>([2]TS!$B$8*A37/[2]TS!$B$14)*N37*EXP(-$E$10/([2]TS!$B$8*A37))/O37</f>
        <v>255091.35566928762</v>
      </c>
      <c r="Q37" s="446">
        <f>P37*([2]TS!$B$8*A37/[2]TS!$B$16)*[2]TS!$B$6</f>
        <v>41864.274551325849</v>
      </c>
      <c r="R37" s="452">
        <f>Q37*10^6/[2]TS!$B$6</f>
        <v>6.9517272184515565E-14</v>
      </c>
      <c r="S37" s="453">
        <v>9.4400000000000002E-12</v>
      </c>
      <c r="T37" s="435">
        <f t="shared" si="2"/>
        <v>1.9707588639066445</v>
      </c>
      <c r="AW37" s="188"/>
    </row>
    <row r="38" spans="1:49">
      <c r="AW38" s="188"/>
    </row>
    <row r="39" spans="1:49">
      <c r="AW39" s="188"/>
    </row>
    <row r="40" spans="1:49" ht="17" thickBot="1">
      <c r="AW40" s="188"/>
    </row>
    <row r="41" spans="1:49" ht="22" thickBot="1">
      <c r="B41" s="518" t="s">
        <v>197</v>
      </c>
      <c r="C41" s="519"/>
      <c r="D41" s="519"/>
      <c r="E41" s="519"/>
      <c r="F41" s="519"/>
      <c r="G41" s="519"/>
      <c r="H41" s="519"/>
      <c r="I41" s="519"/>
      <c r="J41" s="519"/>
      <c r="K41" s="519"/>
      <c r="L41" s="519"/>
      <c r="M41" s="519"/>
      <c r="N41" s="519"/>
      <c r="O41" s="519"/>
      <c r="P41" s="520"/>
    </row>
    <row r="45" spans="1:49" ht="20" thickBot="1">
      <c r="C45" s="411"/>
    </row>
    <row r="46" spans="1:49" ht="22" thickBot="1">
      <c r="B46" s="418" t="s">
        <v>171</v>
      </c>
      <c r="C46" s="374" t="s">
        <v>201</v>
      </c>
      <c r="D46" s="374" t="s">
        <v>189</v>
      </c>
      <c r="E46" s="174" t="s">
        <v>173</v>
      </c>
      <c r="F46" s="280" t="s">
        <v>174</v>
      </c>
    </row>
    <row r="47" spans="1:49">
      <c r="B47" s="345">
        <f>TS!$C$172</f>
        <v>-2.4846910797804397E-16</v>
      </c>
      <c r="C47" s="345">
        <f>'NH2'!$C$172</f>
        <v>-2.4357778253641999E-16</v>
      </c>
      <c r="D47" s="345">
        <f>'H2'!$C$172</f>
        <v>-5.0940684965887995E-18</v>
      </c>
      <c r="E47" s="345">
        <f>B47-C47-D47</f>
        <v>2.0274305496481754E-19</v>
      </c>
      <c r="F47" s="345">
        <f>E47*[2]TS!$H$13</f>
        <v>29.194999914933724</v>
      </c>
    </row>
    <row r="54" spans="1:20" ht="17" thickBot="1"/>
    <row r="55" spans="1:20" ht="19" thickBot="1">
      <c r="A55" s="454"/>
      <c r="B55" s="509" t="s">
        <v>175</v>
      </c>
      <c r="C55" s="510"/>
      <c r="D55" s="510"/>
      <c r="E55" s="511"/>
      <c r="F55" s="512" t="s">
        <v>200</v>
      </c>
      <c r="G55" s="513"/>
      <c r="H55" s="513"/>
      <c r="I55" s="514"/>
      <c r="J55" s="515" t="s">
        <v>190</v>
      </c>
      <c r="K55" s="516"/>
      <c r="L55" s="516"/>
      <c r="M55" s="517"/>
    </row>
    <row r="56" spans="1:20" ht="21" thickBot="1">
      <c r="A56" s="455" t="s">
        <v>177</v>
      </c>
      <c r="B56" s="420" t="s">
        <v>178</v>
      </c>
      <c r="C56" s="421" t="s">
        <v>179</v>
      </c>
      <c r="D56" s="421" t="s">
        <v>180</v>
      </c>
      <c r="E56" s="421" t="s">
        <v>181</v>
      </c>
      <c r="F56" s="421" t="s">
        <v>178</v>
      </c>
      <c r="G56" s="421" t="s">
        <v>179</v>
      </c>
      <c r="H56" s="421" t="s">
        <v>180</v>
      </c>
      <c r="I56" s="421" t="s">
        <v>181</v>
      </c>
      <c r="J56" s="421" t="s">
        <v>178</v>
      </c>
      <c r="K56" s="421" t="s">
        <v>179</v>
      </c>
      <c r="L56" s="421" t="s">
        <v>180</v>
      </c>
      <c r="M56" s="421" t="s">
        <v>181</v>
      </c>
      <c r="N56" s="421" t="s">
        <v>182</v>
      </c>
      <c r="O56" s="421" t="s">
        <v>183</v>
      </c>
      <c r="P56" s="421" t="s">
        <v>184</v>
      </c>
      <c r="Q56" s="421" t="s">
        <v>185</v>
      </c>
      <c r="R56" s="422" t="s">
        <v>186</v>
      </c>
      <c r="S56" s="423" t="s">
        <v>187</v>
      </c>
      <c r="T56" s="424" t="s">
        <v>188</v>
      </c>
    </row>
    <row r="57" spans="1:20">
      <c r="A57" s="425">
        <v>300</v>
      </c>
      <c r="B57" s="426">
        <f>B20</f>
        <v>3055703.7692763014</v>
      </c>
      <c r="C57" s="427">
        <f t="shared" ref="C57:E57" si="4">C20</f>
        <v>745.87646519433486</v>
      </c>
      <c r="D57" s="428">
        <f t="shared" si="4"/>
        <v>1.0793370046353254</v>
      </c>
      <c r="E57" s="429">
        <f t="shared" si="4"/>
        <v>2</v>
      </c>
      <c r="F57" s="430">
        <f>'NH2'!E66</f>
        <v>2558005.664168728</v>
      </c>
      <c r="G57" s="427">
        <f>'NH2'!E138</f>
        <v>53.650032376505536</v>
      </c>
      <c r="H57" s="428">
        <f>'NH2'!$G$103</f>
        <v>1.0006880140825076</v>
      </c>
      <c r="I57" s="431">
        <f>'NH2'!D176</f>
        <v>2</v>
      </c>
      <c r="J57" s="426">
        <f>'H2'!E66</f>
        <v>114178.01036804235</v>
      </c>
      <c r="K57" s="427">
        <f>'H2'!D138</f>
        <v>1.7184736568947652</v>
      </c>
      <c r="L57" s="428">
        <f>'H2'!E103</f>
        <v>1.000000000497856</v>
      </c>
      <c r="M57" s="429">
        <f>'H2'!D176</f>
        <v>1</v>
      </c>
      <c r="N57" s="430">
        <f>PRODUCT(B57:E57)</f>
        <v>4920001288.1248741</v>
      </c>
      <c r="O57" s="432">
        <f>PRODUCT(F57:M57)</f>
        <v>53892152985777.539</v>
      </c>
      <c r="P57" s="426">
        <f>([2]TS!$B$8*A57/[2]TS!$B$14)*N57*EXP(-$E$10/([2]TS!$B$8*A57))/O57</f>
        <v>2.4477524190542925E-12</v>
      </c>
      <c r="Q57" s="427">
        <f>P57*([2]TS!$B$8*A57/[2]TS!$B$16)*[2]TS!$B$6</f>
        <v>6.0256870937139198E-14</v>
      </c>
      <c r="R57" s="433">
        <f>Q57*10^6/[2]TS!$B$6</f>
        <v>1.0005890088430227E-31</v>
      </c>
      <c r="S57" s="434">
        <v>1.5E-19</v>
      </c>
      <c r="T57" s="435">
        <f>ABS(S57-R57)/((R57+S57)/2)</f>
        <v>1.9999999999973319</v>
      </c>
    </row>
    <row r="58" spans="1:20">
      <c r="A58" s="339">
        <f>A57+100</f>
        <v>400</v>
      </c>
      <c r="B58" s="436">
        <f t="shared" ref="B58:E73" si="5">B21</f>
        <v>6272751.6222414859</v>
      </c>
      <c r="C58" s="437">
        <f t="shared" si="5"/>
        <v>1148.3519412324156</v>
      </c>
      <c r="D58" s="438">
        <f t="shared" si="5"/>
        <v>1.2168249504907209</v>
      </c>
      <c r="E58" s="439">
        <f t="shared" si="5"/>
        <v>2</v>
      </c>
      <c r="F58" s="440">
        <f>'NH2'!E67</f>
        <v>5251076.4757205164</v>
      </c>
      <c r="G58" s="437">
        <f>'NH2'!E139</f>
        <v>82.599628358953638</v>
      </c>
      <c r="H58" s="438">
        <f>'NH2'!$G$103</f>
        <v>1.0006880140825076</v>
      </c>
      <c r="I58" s="441">
        <f>'NH2'!D177</f>
        <v>2</v>
      </c>
      <c r="J58" s="436">
        <f>'H2'!E67</f>
        <v>234384.72896542485</v>
      </c>
      <c r="K58" s="437">
        <f>'H2'!D139</f>
        <v>2.2912982091930205</v>
      </c>
      <c r="L58" s="438">
        <f>'H2'!E104</f>
        <v>1.0000001053968774</v>
      </c>
      <c r="M58" s="439">
        <f>'H2'!D177</f>
        <v>1</v>
      </c>
      <c r="N58" s="440">
        <f t="shared" ref="N58:N74" si="6">PRODUCT(B58:E58)</f>
        <v>17530374828.985882</v>
      </c>
      <c r="O58" s="424">
        <f t="shared" ref="O58:O74" si="7">PRODUCT(F58:M58)</f>
        <v>466193382022235.75</v>
      </c>
      <c r="P58" s="436">
        <f>([2]TS!$B$8*A58/[2]TS!$B$14)*N58*EXP(-$E$10/([2]TS!$B$8*A58))/O58</f>
        <v>1.6611044052365867E-7</v>
      </c>
      <c r="Q58" s="437">
        <f>P58*([2]TS!$B$8*A58/[2]TS!$B$16)*[2]TS!$B$6</f>
        <v>5.4522373521270885E-9</v>
      </c>
      <c r="R58" s="442">
        <f>Q58*10^6/[2]TS!$B$6</f>
        <v>9.0536542692914623E-27</v>
      </c>
      <c r="S58" s="443">
        <v>7.0399999999999995E-18</v>
      </c>
      <c r="T58" s="435">
        <f t="shared" ref="T58:T74" si="8">ABS(S58-R58)/((R58+S58)/2)</f>
        <v>1.999999994855878</v>
      </c>
    </row>
    <row r="59" spans="1:20">
      <c r="A59" s="339">
        <f t="shared" ref="A59:A74" si="9">A58+100</f>
        <v>500</v>
      </c>
      <c r="B59" s="436">
        <f t="shared" si="5"/>
        <v>10958046.119768845</v>
      </c>
      <c r="C59" s="437">
        <f t="shared" si="5"/>
        <v>1604.8706266809536</v>
      </c>
      <c r="D59" s="438">
        <f t="shared" si="5"/>
        <v>1.4334916530276467</v>
      </c>
      <c r="E59" s="439">
        <f t="shared" si="5"/>
        <v>2</v>
      </c>
      <c r="F59" s="440">
        <f>'NH2'!E68</f>
        <v>9173253.0896571595</v>
      </c>
      <c r="G59" s="437">
        <f>'NH2'!E140</f>
        <v>115.43648995427488</v>
      </c>
      <c r="H59" s="438">
        <f>'NH2'!$G$103</f>
        <v>1.0006880140825076</v>
      </c>
      <c r="I59" s="441">
        <f>'NH2'!D178</f>
        <v>2</v>
      </c>
      <c r="J59" s="436">
        <f>'H2'!E68</f>
        <v>409453.27098012256</v>
      </c>
      <c r="K59" s="437">
        <f>'H2'!D140</f>
        <v>2.8641227614912754</v>
      </c>
      <c r="L59" s="438">
        <f>'H2'!E105</f>
        <v>1.0000026197707961</v>
      </c>
      <c r="M59" s="439">
        <f>'H2'!D178</f>
        <v>1</v>
      </c>
      <c r="N59" s="440">
        <f t="shared" si="6"/>
        <v>50419474682.796112</v>
      </c>
      <c r="O59" s="424">
        <f t="shared" si="7"/>
        <v>2485377106538211</v>
      </c>
      <c r="P59" s="436">
        <f>([2]TS!$B$8*A59/[2]TS!$B$14)*N59*EXP(-$E$10/([2]TS!$B$8*A59))/O59</f>
        <v>1.2718357881296433E-4</v>
      </c>
      <c r="Q59" s="437">
        <f>P59*([2]TS!$B$8*A59/[2]TS!$B$16)*[2]TS!$B$6</f>
        <v>5.2181778640403955E-6</v>
      </c>
      <c r="R59" s="442">
        <f>Q59*10^6/[2]TS!$B$6</f>
        <v>8.6649892962309016E-24</v>
      </c>
      <c r="S59" s="443">
        <v>8.1700000000000001E-17</v>
      </c>
      <c r="T59" s="435">
        <f t="shared" si="8"/>
        <v>1.9999995757655633</v>
      </c>
    </row>
    <row r="60" spans="1:20">
      <c r="A60" s="339">
        <f t="shared" si="9"/>
        <v>600</v>
      </c>
      <c r="B60" s="436">
        <f t="shared" si="5"/>
        <v>17285670.85242058</v>
      </c>
      <c r="C60" s="437">
        <f t="shared" si="5"/>
        <v>2109.6572258654624</v>
      </c>
      <c r="D60" s="438">
        <f t="shared" si="5"/>
        <v>1.7412196366899653</v>
      </c>
      <c r="E60" s="439">
        <f t="shared" si="5"/>
        <v>2</v>
      </c>
      <c r="F60" s="440">
        <f>'NH2'!E69</f>
        <v>14470265.211578485</v>
      </c>
      <c r="G60" s="437">
        <f>'NH2'!E141</f>
        <v>151.74520681721944</v>
      </c>
      <c r="H60" s="438">
        <f>'NH2'!$G$103</f>
        <v>1.0006880140825076</v>
      </c>
      <c r="I60" s="441">
        <f>'NH2'!D179</f>
        <v>2</v>
      </c>
      <c r="J60" s="436">
        <f>'H2'!E69</f>
        <v>645888.36314904713</v>
      </c>
      <c r="K60" s="437">
        <f>'H2'!D141</f>
        <v>3.4369473137895303</v>
      </c>
      <c r="L60" s="438">
        <f>'H2'!E106</f>
        <v>1.0000223131810506</v>
      </c>
      <c r="M60" s="439">
        <f>'H2'!D179</f>
        <v>1</v>
      </c>
      <c r="N60" s="440">
        <f t="shared" si="6"/>
        <v>126993557246.82013</v>
      </c>
      <c r="O60" s="424">
        <f t="shared" si="7"/>
        <v>9755739420086552</v>
      </c>
      <c r="P60" s="436">
        <f>([2]TS!$B$8*A60/[2]TS!$B$14)*N60*EXP(-$E$10/([2]TS!$B$8*A60))/O60</f>
        <v>1.0658347538140149E-2</v>
      </c>
      <c r="Q60" s="437">
        <f>P60*([2]TS!$B$8*A60/[2]TS!$B$16)*[2]TS!$B$6</f>
        <v>5.2475786930854717E-4</v>
      </c>
      <c r="R60" s="442">
        <f>Q60*10^6/[2]TS!$B$6</f>
        <v>8.7138105276288356E-22</v>
      </c>
      <c r="S60" s="443">
        <v>4.5999999999999998E-16</v>
      </c>
      <c r="T60" s="435">
        <f t="shared" si="8"/>
        <v>1.9999924227878083</v>
      </c>
    </row>
    <row r="61" spans="1:20">
      <c r="A61" s="339">
        <f t="shared" si="9"/>
        <v>700</v>
      </c>
      <c r="B61" s="436">
        <f t="shared" si="5"/>
        <v>25412840.643683624</v>
      </c>
      <c r="C61" s="437">
        <f t="shared" si="5"/>
        <v>2658.4719473193245</v>
      </c>
      <c r="D61" s="438">
        <f t="shared" si="5"/>
        <v>2.1580782531620226</v>
      </c>
      <c r="E61" s="439">
        <f t="shared" si="5"/>
        <v>2</v>
      </c>
      <c r="F61" s="440">
        <f>'NH2'!E70</f>
        <v>21273721.282398958</v>
      </c>
      <c r="G61" s="437">
        <f>'NH2'!E142</f>
        <v>191.22081564613066</v>
      </c>
      <c r="H61" s="438">
        <f>'NH2'!$G$103</f>
        <v>1.0006880140825076</v>
      </c>
      <c r="I61" s="441">
        <f>'NH2'!D180</f>
        <v>2</v>
      </c>
      <c r="J61" s="436">
        <f>'H2'!E70</f>
        <v>949564.42167925066</v>
      </c>
      <c r="K61" s="437">
        <f>'H2'!D142</f>
        <v>4.0097718660877852</v>
      </c>
      <c r="L61" s="438">
        <f>'H2'!E107</f>
        <v>1.0001030597667218</v>
      </c>
      <c r="M61" s="439">
        <f>'H2'!D180</f>
        <v>1</v>
      </c>
      <c r="N61" s="440">
        <f t="shared" si="6"/>
        <v>291596615642.28961</v>
      </c>
      <c r="O61" s="424">
        <f t="shared" si="7"/>
        <v>3.1002461684738088E+16</v>
      </c>
      <c r="P61" s="436">
        <f>([2]TS!$B$8*A61/[2]TS!$B$14)*N61*EXP(-$E$10/([2]TS!$B$8*A61))/O61</f>
        <v>0.25605399275056678</v>
      </c>
      <c r="Q61" s="437">
        <f>P61*([2]TS!$B$8*A61/[2]TS!$B$16)*[2]TS!$B$6</f>
        <v>1.4707790150402324E-2</v>
      </c>
      <c r="R61" s="442">
        <f>Q61*10^6/[2]TS!$B$6</f>
        <v>2.4422863218726773E-20</v>
      </c>
      <c r="S61" s="443">
        <v>1.69E-15</v>
      </c>
      <c r="T61" s="435">
        <f t="shared" si="8"/>
        <v>1.9999421952419425</v>
      </c>
    </row>
    <row r="62" spans="1:20">
      <c r="A62" s="339">
        <f t="shared" si="9"/>
        <v>800</v>
      </c>
      <c r="B62" s="436">
        <f t="shared" si="5"/>
        <v>35484041.670287065</v>
      </c>
      <c r="C62" s="437">
        <f t="shared" si="5"/>
        <v>3248.0297793367045</v>
      </c>
      <c r="D62" s="438">
        <f t="shared" si="5"/>
        <v>2.708845526218544</v>
      </c>
      <c r="E62" s="439">
        <f t="shared" si="5"/>
        <v>2</v>
      </c>
      <c r="F62" s="440">
        <f>'NH2'!E71</f>
        <v>29704574.276089154</v>
      </c>
      <c r="G62" s="437">
        <f>'NH2'!E143</f>
        <v>233.62702934441893</v>
      </c>
      <c r="H62" s="438">
        <f>'NH2'!$G$103</f>
        <v>1.0006880140825076</v>
      </c>
      <c r="I62" s="441">
        <f>'NH2'!D181</f>
        <v>2</v>
      </c>
      <c r="J62" s="436">
        <f>'H2'!E71</f>
        <v>1325880.2500641872</v>
      </c>
      <c r="K62" s="437">
        <f>'H2'!D143</f>
        <v>4.582596418386041</v>
      </c>
      <c r="L62" s="438">
        <f>'H2'!E108</f>
        <v>1.0003247542664466</v>
      </c>
      <c r="M62" s="439">
        <f>'H2'!D181</f>
        <v>1</v>
      </c>
      <c r="N62" s="440">
        <f t="shared" si="6"/>
        <v>624406360626.0813</v>
      </c>
      <c r="O62" s="424">
        <f t="shared" si="7"/>
        <v>8.4417413574244128E+16</v>
      </c>
      <c r="P62" s="436">
        <f>([2]TS!$B$8*A62/[2]TS!$B$14)*N62*EXP(-$E$10/([2]TS!$B$8*A62))/O62</f>
        <v>2.8385401282859917</v>
      </c>
      <c r="Q62" s="437">
        <f>P62*([2]TS!$B$8*A62/[2]TS!$B$16)*[2]TS!$B$6</f>
        <v>0.18633861260211684</v>
      </c>
      <c r="R62" s="442">
        <f>Q62*10^6/[2]TS!$B$6</f>
        <v>3.09422584998218E-19</v>
      </c>
      <c r="S62" s="443">
        <v>4.7399999999999997E-15</v>
      </c>
      <c r="T62" s="435">
        <f t="shared" si="8"/>
        <v>1.9997389009388089</v>
      </c>
    </row>
    <row r="63" spans="1:20">
      <c r="A63" s="339">
        <f t="shared" si="9"/>
        <v>900</v>
      </c>
      <c r="B63" s="436">
        <f t="shared" si="5"/>
        <v>47633707.631396353</v>
      </c>
      <c r="C63" s="437">
        <f t="shared" si="5"/>
        <v>3875.6878016594019</v>
      </c>
      <c r="D63" s="438">
        <f t="shared" si="5"/>
        <v>3.4256498515671061</v>
      </c>
      <c r="E63" s="439">
        <f t="shared" si="5"/>
        <v>2</v>
      </c>
      <c r="F63" s="440">
        <f>'NH2'!E72</f>
        <v>39875361.987503298</v>
      </c>
      <c r="G63" s="437">
        <f>'NH2'!E144</f>
        <v>278.77374571146851</v>
      </c>
      <c r="H63" s="438">
        <f>'NH2'!$G$103</f>
        <v>1.0006880140825076</v>
      </c>
      <c r="I63" s="441">
        <f>'NH2'!D182</f>
        <v>2</v>
      </c>
      <c r="J63" s="436">
        <f>'H2'!E72</f>
        <v>1779859.0355811976</v>
      </c>
      <c r="K63" s="437">
        <f>'H2'!D144</f>
        <v>5.1554209706842959</v>
      </c>
      <c r="L63" s="438">
        <f>'H2'!E109</f>
        <v>1.0007931930047049</v>
      </c>
      <c r="M63" s="439">
        <f>'H2'!D182</f>
        <v>1</v>
      </c>
      <c r="N63" s="440">
        <f t="shared" si="6"/>
        <v>1264841592949.5732</v>
      </c>
      <c r="O63" s="424">
        <f t="shared" si="7"/>
        <v>2.043051371753543E+17</v>
      </c>
      <c r="P63" s="436">
        <f>([2]TS!$B$8*A63/[2]TS!$B$14)*N63*EXP(-$E$10/([2]TS!$B$8*A63))/O63</f>
        <v>18.863401871513211</v>
      </c>
      <c r="Q63" s="437">
        <f>P63*([2]TS!$B$8*A63/[2]TS!$B$16)*[2]TS!$B$6</f>
        <v>1.3930937988160355</v>
      </c>
      <c r="R63" s="442">
        <f>Q63*10^6/[2]TS!$B$6</f>
        <v>2.3132869691107076E-18</v>
      </c>
      <c r="S63" s="443">
        <v>1.1E-14</v>
      </c>
      <c r="T63" s="435">
        <f t="shared" si="8"/>
        <v>1.9991589816036774</v>
      </c>
    </row>
    <row r="64" spans="1:20">
      <c r="A64" s="339">
        <f t="shared" si="9"/>
        <v>1000</v>
      </c>
      <c r="B64" s="436">
        <f t="shared" si="5"/>
        <v>61988069.758748062</v>
      </c>
      <c r="C64" s="437">
        <f t="shared" si="5"/>
        <v>4539.2596122128225</v>
      </c>
      <c r="D64" s="438">
        <f t="shared" si="5"/>
        <v>4.3489089739503344</v>
      </c>
      <c r="E64" s="439">
        <f t="shared" si="5"/>
        <v>2</v>
      </c>
      <c r="F64" s="440">
        <f>'NH2'!E73</f>
        <v>51891755.72189635</v>
      </c>
      <c r="G64" s="437">
        <f>'NH2'!E145</f>
        <v>326.50369937216192</v>
      </c>
      <c r="H64" s="438">
        <f>'NH2'!$G$103</f>
        <v>1.0006880140825076</v>
      </c>
      <c r="I64" s="441">
        <f>'NH2'!D183</f>
        <v>2</v>
      </c>
      <c r="J64" s="436">
        <f>'H2'!E73</f>
        <v>2316217.475912435</v>
      </c>
      <c r="K64" s="437">
        <f>'H2'!D145</f>
        <v>5.7282455229825509</v>
      </c>
      <c r="L64" s="438">
        <f>'H2'!E110</f>
        <v>1.001621192493636</v>
      </c>
      <c r="M64" s="439">
        <f>'H2'!D183</f>
        <v>1</v>
      </c>
      <c r="N64" s="440">
        <f t="shared" si="6"/>
        <v>2447391505313.7217</v>
      </c>
      <c r="O64" s="424">
        <f t="shared" si="7"/>
        <v>4.5062950958105766E+17</v>
      </c>
      <c r="P64" s="436">
        <f>([2]TS!$B$8*A64/[2]TS!$B$14)*N64*EXP(-$E$10/([2]TS!$B$8*A64))/O64</f>
        <v>87.78598400741285</v>
      </c>
      <c r="Q64" s="437">
        <f>P64*([2]TS!$B$8*A64/[2]TS!$B$16)*[2]TS!$B$6</f>
        <v>7.2034909348500209</v>
      </c>
      <c r="R64" s="442">
        <f>Q64*10^6/[2]TS!$B$6</f>
        <v>1.1961679626926677E-17</v>
      </c>
      <c r="S64" s="443">
        <v>2.2099999999999999E-14</v>
      </c>
      <c r="T64" s="435">
        <f t="shared" si="8"/>
        <v>1.9978361612958206</v>
      </c>
    </row>
    <row r="65" spans="1:20">
      <c r="A65" s="339">
        <f t="shared" si="9"/>
        <v>1100</v>
      </c>
      <c r="B65" s="436">
        <f t="shared" si="5"/>
        <v>78666499.6131953</v>
      </c>
      <c r="C65" s="437">
        <f t="shared" si="5"/>
        <v>5236.8972099732373</v>
      </c>
      <c r="D65" s="438">
        <f t="shared" si="5"/>
        <v>5.5285535126630805</v>
      </c>
      <c r="E65" s="439">
        <f t="shared" si="5"/>
        <v>2</v>
      </c>
      <c r="F65" s="440">
        <f>'NH2'!E74</f>
        <v>65853684.383333303</v>
      </c>
      <c r="G65" s="437">
        <f>'NH2'!E146</f>
        <v>376.68396574799135</v>
      </c>
      <c r="H65" s="438">
        <f>'NH2'!$G$103</f>
        <v>1.0006880140825076</v>
      </c>
      <c r="I65" s="441">
        <f>'NH2'!D184</f>
        <v>2</v>
      </c>
      <c r="J65" s="436">
        <f>'H2'!E74</f>
        <v>2939415.9534582081</v>
      </c>
      <c r="K65" s="437">
        <f>'H2'!D146</f>
        <v>6.3010700752808058</v>
      </c>
      <c r="L65" s="438">
        <f>'H2'!E111</f>
        <v>1.0029114479107326</v>
      </c>
      <c r="M65" s="439">
        <f>'H2'!D184</f>
        <v>1</v>
      </c>
      <c r="N65" s="440">
        <f t="shared" si="6"/>
        <v>4555178384042.6875</v>
      </c>
      <c r="O65" s="424">
        <f t="shared" si="7"/>
        <v>9.2219730922358131E+17</v>
      </c>
      <c r="P65" s="436">
        <f>([2]TS!$B$8*A65/[2]TS!$B$14)*N65*EXP(-$E$10/([2]TS!$B$8*A65))/O65</f>
        <v>315.57032846380139</v>
      </c>
      <c r="Q65" s="437">
        <f>P65*([2]TS!$B$8*A65/[2]TS!$B$16)*[2]TS!$B$6</f>
        <v>28.484374000126834</v>
      </c>
      <c r="R65" s="442">
        <f>Q65*10^6/[2]TS!$B$6</f>
        <v>4.7299421800434456E-17</v>
      </c>
      <c r="S65" s="443">
        <v>4.0300000000000002E-14</v>
      </c>
      <c r="T65" s="435">
        <f t="shared" si="8"/>
        <v>1.9953107719745053</v>
      </c>
    </row>
    <row r="66" spans="1:20">
      <c r="A66" s="339">
        <f t="shared" si="9"/>
        <v>1200</v>
      </c>
      <c r="B66" s="436">
        <f t="shared" si="5"/>
        <v>97782520.616842195</v>
      </c>
      <c r="C66" s="437">
        <f t="shared" si="5"/>
        <v>5967.0117215546798</v>
      </c>
      <c r="D66" s="438">
        <f t="shared" si="5"/>
        <v>7.0255159022276361</v>
      </c>
      <c r="E66" s="439">
        <f t="shared" si="5"/>
        <v>2</v>
      </c>
      <c r="F66" s="440">
        <f>'NH2'!E75</f>
        <v>81856181.253399745</v>
      </c>
      <c r="G66" s="437">
        <f>'NH2'!E147</f>
        <v>429.2002590120444</v>
      </c>
      <c r="H66" s="438">
        <f>'NH2'!$G$103</f>
        <v>1.0006880140825076</v>
      </c>
      <c r="I66" s="441">
        <f>'NH2'!D185</f>
        <v>2</v>
      </c>
      <c r="J66" s="436">
        <f>'H2'!E75</f>
        <v>3653696.3317773752</v>
      </c>
      <c r="K66" s="437">
        <f>'H2'!D147</f>
        <v>6.8738946275790607</v>
      </c>
      <c r="L66" s="438">
        <f>'H2'!E112</f>
        <v>1.0047460488773623</v>
      </c>
      <c r="M66" s="439">
        <f>'H2'!D185</f>
        <v>1</v>
      </c>
      <c r="N66" s="440">
        <f t="shared" si="6"/>
        <v>8198347752282.8291</v>
      </c>
      <c r="O66" s="424">
        <f t="shared" si="7"/>
        <v>1.7743192965446717E+18</v>
      </c>
      <c r="P66" s="436">
        <f>([2]TS!$B$8*A66/[2]TS!$B$14)*N66*EXP(-$E$10/([2]TS!$B$8*A66))/O66</f>
        <v>934.97118319763035</v>
      </c>
      <c r="Q66" s="437">
        <f>P66*([2]TS!$B$8*A66/[2]TS!$B$16)*[2]TS!$B$6</f>
        <v>92.06558224977789</v>
      </c>
      <c r="R66" s="442">
        <f>Q66*10^6/[2]TS!$B$6</f>
        <v>1.5287851536128003E-16</v>
      </c>
      <c r="S66" s="443">
        <v>6.8000000000000001E-14</v>
      </c>
      <c r="T66" s="435">
        <f t="shared" si="8"/>
        <v>1.9910273186581944</v>
      </c>
    </row>
    <row r="67" spans="1:20">
      <c r="A67" s="339">
        <f t="shared" si="9"/>
        <v>1300</v>
      </c>
      <c r="B67" s="436">
        <f t="shared" si="5"/>
        <v>119444592.70215228</v>
      </c>
      <c r="C67" s="437">
        <f t="shared" si="5"/>
        <v>6728.2179353871297</v>
      </c>
      <c r="D67" s="438">
        <f t="shared" si="5"/>
        <v>8.9134771292196255</v>
      </c>
      <c r="E67" s="439">
        <f t="shared" si="5"/>
        <v>2</v>
      </c>
      <c r="F67" s="440">
        <f>'NH2'!E76</f>
        <v>99990040.840508208</v>
      </c>
      <c r="G67" s="437">
        <f>'NH2'!E148</f>
        <v>483.95294249652432</v>
      </c>
      <c r="H67" s="438">
        <f>'NH2'!$G$103</f>
        <v>1.0006880140825076</v>
      </c>
      <c r="I67" s="441">
        <f>'NH2'!D186</f>
        <v>2</v>
      </c>
      <c r="J67" s="436">
        <f>'H2'!E76</f>
        <v>4463111.27442268</v>
      </c>
      <c r="K67" s="437">
        <f>'H2'!D148</f>
        <v>7.4467191798773165</v>
      </c>
      <c r="L67" s="438">
        <f>'H2'!E113</f>
        <v>1.0071826714022107</v>
      </c>
      <c r="M67" s="439">
        <f>'H2'!D186</f>
        <v>1</v>
      </c>
      <c r="N67" s="440">
        <f t="shared" si="6"/>
        <v>14326618435688.01</v>
      </c>
      <c r="O67" s="424">
        <f t="shared" si="7"/>
        <v>3.2418992262278518E+18</v>
      </c>
      <c r="P67" s="436">
        <f>([2]TS!$B$8*A67/[2]TS!$B$14)*N67*EXP(-$E$10/([2]TS!$B$8*A67))/O67</f>
        <v>2387.2339245496455</v>
      </c>
      <c r="Q67" s="437">
        <f>P67*([2]TS!$B$8*A67/[2]TS!$B$16)*[2]TS!$B$6</f>
        <v>254.6573187973836</v>
      </c>
      <c r="R67" s="442">
        <f>Q67*10^6/[2]TS!$B$6</f>
        <v>4.2286847997121228E-16</v>
      </c>
      <c r="S67" s="443">
        <v>1.0799999999999999E-13</v>
      </c>
      <c r="T67" s="435">
        <f t="shared" si="8"/>
        <v>1.9843992882350525</v>
      </c>
    </row>
    <row r="68" spans="1:20">
      <c r="A68" s="339">
        <f t="shared" si="9"/>
        <v>1400</v>
      </c>
      <c r="B68" s="436">
        <f t="shared" si="5"/>
        <v>143756735.58689478</v>
      </c>
      <c r="C68" s="437">
        <f t="shared" si="5"/>
        <v>7519.2941661748109</v>
      </c>
      <c r="D68" s="438">
        <f t="shared" si="5"/>
        <v>11.280873446572606</v>
      </c>
      <c r="E68" s="439">
        <f t="shared" si="5"/>
        <v>2</v>
      </c>
      <c r="F68" s="440">
        <f>'NH2'!E77</f>
        <v>120342340.63885535</v>
      </c>
      <c r="G68" s="437">
        <f>'NH2'!E149</f>
        <v>540.85414178960718</v>
      </c>
      <c r="H68" s="438">
        <f>'NH2'!$G$103</f>
        <v>1.0006880140825076</v>
      </c>
      <c r="I68" s="441">
        <f>'NH2'!D187</f>
        <v>2</v>
      </c>
      <c r="J68" s="436">
        <f>'H2'!E77</f>
        <v>5371547.5339429826</v>
      </c>
      <c r="K68" s="437">
        <f>'H2'!D149</f>
        <v>8.0195437321755705</v>
      </c>
      <c r="L68" s="438">
        <f>'H2'!E114</f>
        <v>1.0102554185092685</v>
      </c>
      <c r="M68" s="439">
        <f>'H2'!D187</f>
        <v>1</v>
      </c>
      <c r="N68" s="440">
        <f t="shared" si="6"/>
        <v>24388101876767.988</v>
      </c>
      <c r="O68" s="424">
        <f t="shared" si="7"/>
        <v>5.6690146511609344E+18</v>
      </c>
      <c r="P68" s="436">
        <f>([2]TS!$B$8*A68/[2]TS!$B$14)*N68*EXP(-$E$10/([2]TS!$B$8*A68))/O68</f>
        <v>5421.7054242501508</v>
      </c>
      <c r="Q68" s="437">
        <f>P68*([2]TS!$B$8*A68/[2]TS!$B$16)*[2]TS!$B$6</f>
        <v>622.8475860155686</v>
      </c>
      <c r="R68" s="442">
        <f>Q68*10^6/[2]TS!$B$6</f>
        <v>1.0342628799987523E-15</v>
      </c>
      <c r="S68" s="443">
        <v>1.6199999999999999E-13</v>
      </c>
      <c r="T68" s="435">
        <f t="shared" si="8"/>
        <v>1.9746246497704592</v>
      </c>
    </row>
    <row r="69" spans="1:20">
      <c r="A69" s="339">
        <f t="shared" si="9"/>
        <v>1500</v>
      </c>
      <c r="B69" s="436">
        <f t="shared" si="5"/>
        <v>170819033.68010557</v>
      </c>
      <c r="C69" s="437">
        <f t="shared" si="5"/>
        <v>8339.1523949589482</v>
      </c>
      <c r="D69" s="438">
        <f t="shared" si="5"/>
        <v>14.233172050440199</v>
      </c>
      <c r="E69" s="439">
        <f t="shared" si="5"/>
        <v>2</v>
      </c>
      <c r="F69" s="440">
        <f>'NH2'!E78</f>
        <v>142996863.79777098</v>
      </c>
      <c r="G69" s="437">
        <f>'NH2'!E150</f>
        <v>599.82559694465522</v>
      </c>
      <c r="H69" s="438">
        <f>'NH2'!$G$103</f>
        <v>1.0006880140825076</v>
      </c>
      <c r="I69" s="441">
        <f>'NH2'!D188</f>
        <v>2</v>
      </c>
      <c r="J69" s="436">
        <f>'H2'!E78</f>
        <v>6382744.8179655354</v>
      </c>
      <c r="K69" s="437">
        <f>'H2'!D150</f>
        <v>8.5923682844738263</v>
      </c>
      <c r="L69" s="438">
        <f>'H2'!E115</f>
        <v>1.013978137584411</v>
      </c>
      <c r="M69" s="439">
        <f>'H2'!D188</f>
        <v>1</v>
      </c>
      <c r="N69" s="440">
        <f t="shared" si="6"/>
        <v>40549907328254.742</v>
      </c>
      <c r="O69" s="424">
        <f t="shared" si="7"/>
        <v>9.5461698555499233E+18</v>
      </c>
      <c r="P69" s="436">
        <f>([2]TS!$B$8*A69/[2]TS!$B$14)*N69*EXP(-$E$10/([2]TS!$B$8*A69))/O69</f>
        <v>11208.705144013455</v>
      </c>
      <c r="Q69" s="437">
        <f>P69*([2]TS!$B$8*A69/[2]TS!$B$16)*[2]TS!$B$6</f>
        <v>1379.6360570980735</v>
      </c>
      <c r="R69" s="442">
        <f>Q69*10^6/[2]TS!$B$6</f>
        <v>2.2909398604118695E-15</v>
      </c>
      <c r="S69" s="443">
        <v>2.3500000000000001E-13</v>
      </c>
      <c r="T69" s="435">
        <f t="shared" si="8"/>
        <v>1.9613817558856734</v>
      </c>
    </row>
    <row r="70" spans="1:20">
      <c r="A70" s="339">
        <f t="shared" si="9"/>
        <v>1600</v>
      </c>
      <c r="B70" s="436">
        <f t="shared" si="5"/>
        <v>200728051.91172868</v>
      </c>
      <c r="C70" s="437">
        <f t="shared" si="5"/>
        <v>9186.8155298593283</v>
      </c>
      <c r="D70" s="438">
        <f t="shared" si="5"/>
        <v>17.895429312936795</v>
      </c>
      <c r="E70" s="439">
        <f t="shared" si="5"/>
        <v>2</v>
      </c>
      <c r="F70" s="440">
        <f>'NH2'!E79</f>
        <v>168034447.22305748</v>
      </c>
      <c r="G70" s="437">
        <f>'NH2'!E151</f>
        <v>660.79702687162933</v>
      </c>
      <c r="H70" s="438">
        <f>'NH2'!$G$103</f>
        <v>1.0006880140825076</v>
      </c>
      <c r="I70" s="441">
        <f>'NH2'!D189</f>
        <v>2</v>
      </c>
      <c r="J70" s="436">
        <f>'H2'!E79</f>
        <v>7500311.326893637</v>
      </c>
      <c r="K70" s="437">
        <f>'H2'!D151</f>
        <v>9.1651928367720821</v>
      </c>
      <c r="L70" s="438">
        <f>'H2'!E116</f>
        <v>1.0183486198834626</v>
      </c>
      <c r="M70" s="439">
        <f>'H2'!D189</f>
        <v>1</v>
      </c>
      <c r="N70" s="440">
        <f t="shared" si="6"/>
        <v>66000189562559.547</v>
      </c>
      <c r="O70" s="424">
        <f t="shared" si="7"/>
        <v>1.5556520743543316E+19</v>
      </c>
      <c r="P70" s="436">
        <f>([2]TS!$B$8*A70/[2]TS!$B$14)*N70*EXP(-$E$10/([2]TS!$B$8*A70))/O70</f>
        <v>21461.073149092448</v>
      </c>
      <c r="Q70" s="437">
        <f>P70*([2]TS!$B$8*A70/[2]TS!$B$16)*[2]TS!$B$6</f>
        <v>2817.6643026492493</v>
      </c>
      <c r="R70" s="442">
        <f>Q70*10^6/[2]TS!$B$6</f>
        <v>4.6788422432046572E-15</v>
      </c>
      <c r="S70" s="443">
        <v>3.2800000000000002E-13</v>
      </c>
      <c r="T70" s="435">
        <f t="shared" si="8"/>
        <v>1.9437434348195284</v>
      </c>
    </row>
    <row r="71" spans="1:20">
      <c r="A71" s="339">
        <f t="shared" si="9"/>
        <v>1700</v>
      </c>
      <c r="B71" s="436">
        <f t="shared" si="5"/>
        <v>233577183.06282544</v>
      </c>
      <c r="C71" s="437">
        <f t="shared" si="5"/>
        <v>10061.399741804213</v>
      </c>
      <c r="D71" s="438">
        <f t="shared" si="5"/>
        <v>22.415148344619812</v>
      </c>
      <c r="E71" s="439">
        <f t="shared" si="5"/>
        <v>2</v>
      </c>
      <c r="F71" s="440">
        <f>'NH2'!E80</f>
        <v>195533272.33575085</v>
      </c>
      <c r="G71" s="437">
        <f>'NH2'!E152</f>
        <v>723.70485876655107</v>
      </c>
      <c r="H71" s="438">
        <f>'NH2'!$G$103</f>
        <v>1.0006880140825076</v>
      </c>
      <c r="I71" s="441">
        <f>'NH2'!D190</f>
        <v>2</v>
      </c>
      <c r="J71" s="436">
        <f>'H2'!E80</f>
        <v>8727736.7320857942</v>
      </c>
      <c r="K71" s="437">
        <f>'H2'!D152</f>
        <v>9.7380173890703361</v>
      </c>
      <c r="L71" s="438">
        <f>'H2'!E117</f>
        <v>1.0233527351716376</v>
      </c>
      <c r="M71" s="439">
        <f>'H2'!D190</f>
        <v>1</v>
      </c>
      <c r="N71" s="440">
        <f t="shared" si="6"/>
        <v>105356281394954.33</v>
      </c>
      <c r="O71" s="424">
        <f t="shared" si="7"/>
        <v>2.4632494151594361E+19</v>
      </c>
      <c r="P71" s="436">
        <f>([2]TS!$B$8*A71/[2]TS!$B$14)*N71*EXP(-$E$10/([2]TS!$B$8*A71))/O71</f>
        <v>38560.493971172691</v>
      </c>
      <c r="Q71" s="437">
        <f>P71*([2]TS!$B$8*A71/[2]TS!$B$16)*[2]TS!$B$6</f>
        <v>5379.0965863079455</v>
      </c>
      <c r="R71" s="442">
        <f>Q71*10^6/[2]TS!$B$6</f>
        <v>8.9322011549182614E-15</v>
      </c>
      <c r="S71" s="443">
        <v>4.4500000000000002E-13</v>
      </c>
      <c r="T71" s="435">
        <f t="shared" si="8"/>
        <v>1.9212904382443678</v>
      </c>
    </row>
    <row r="72" spans="1:20">
      <c r="A72" s="339">
        <f t="shared" si="9"/>
        <v>1800</v>
      </c>
      <c r="B72" s="436">
        <f t="shared" si="5"/>
        <v>269456941.43374282</v>
      </c>
      <c r="C72" s="437">
        <f t="shared" si="5"/>
        <v>10962.100505261395</v>
      </c>
      <c r="D72" s="438">
        <f t="shared" si="5"/>
        <v>27.965454942866483</v>
      </c>
      <c r="E72" s="439">
        <f t="shared" si="5"/>
        <v>2</v>
      </c>
      <c r="F72" s="440">
        <f>'NH2'!E81</f>
        <v>225569110.90905237</v>
      </c>
      <c r="G72" s="437">
        <f>'NH2'!E153</f>
        <v>788.49122403741512</v>
      </c>
      <c r="H72" s="438">
        <f>'NH2'!$G$103</f>
        <v>1.0006880140825076</v>
      </c>
      <c r="I72" s="441">
        <f>'NH2'!D191</f>
        <v>2</v>
      </c>
      <c r="J72" s="436">
        <f>'H2'!E81</f>
        <v>10068403.148924792</v>
      </c>
      <c r="K72" s="437">
        <f>'H2'!D153</f>
        <v>10.310841941368592</v>
      </c>
      <c r="L72" s="438">
        <f>'H2'!E118</f>
        <v>1.0289680427797723</v>
      </c>
      <c r="M72" s="439">
        <f>'H2'!D191</f>
        <v>1</v>
      </c>
      <c r="N72" s="440">
        <f t="shared" si="6"/>
        <v>165209508782988.25</v>
      </c>
      <c r="O72" s="424">
        <f t="shared" si="7"/>
        <v>3.8024349969328325E+19</v>
      </c>
      <c r="P72" s="436">
        <f>([2]TS!$B$8*A72/[2]TS!$B$14)*N72*EXP(-$E$10/([2]TS!$B$8*A72))/O72</f>
        <v>65685.563356070648</v>
      </c>
      <c r="Q72" s="437">
        <f>P72*([2]TS!$B$8*A72/[2]TS!$B$16)*[2]TS!$B$6</f>
        <v>9701.9775760881112</v>
      </c>
      <c r="R72" s="442">
        <f>Q72*10^6/[2]TS!$B$6</f>
        <v>1.6110514827101517E-14</v>
      </c>
      <c r="S72" s="443">
        <v>5.8900000000000001E-13</v>
      </c>
      <c r="T72" s="435">
        <f t="shared" si="8"/>
        <v>1.8935036530858844</v>
      </c>
    </row>
    <row r="73" spans="1:20">
      <c r="A73" s="339">
        <f t="shared" si="9"/>
        <v>1900</v>
      </c>
      <c r="B73" s="436">
        <f t="shared" si="5"/>
        <v>308455213.79252124</v>
      </c>
      <c r="C73" s="437">
        <f t="shared" si="5"/>
        <v>11888.181400695792</v>
      </c>
      <c r="D73" s="438">
        <f t="shared" si="5"/>
        <v>34.748612705811134</v>
      </c>
      <c r="E73" s="439">
        <f t="shared" si="5"/>
        <v>2</v>
      </c>
      <c r="F73" s="440">
        <f>'NH2'!E82</f>
        <v>258215535.14348531</v>
      </c>
      <c r="G73" s="437">
        <f>'NH2'!E154</f>
        <v>855.10315287790161</v>
      </c>
      <c r="H73" s="438">
        <f>'NH2'!$G$103</f>
        <v>1.0006880140825076</v>
      </c>
      <c r="I73" s="441">
        <f>'NH2'!D192</f>
        <v>2</v>
      </c>
      <c r="J73" s="436">
        <f>'H2'!E82</f>
        <v>11525594.513639903</v>
      </c>
      <c r="K73" s="437">
        <f>'H2'!D154</f>
        <v>10.883666493666846</v>
      </c>
      <c r="L73" s="438">
        <f>'H2'!E119</f>
        <v>1.0351667248954137</v>
      </c>
      <c r="M73" s="439">
        <f>'H2'!D192</f>
        <v>1</v>
      </c>
      <c r="N73" s="440">
        <f t="shared" si="6"/>
        <v>254844347384530.69</v>
      </c>
      <c r="O73" s="424">
        <f t="shared" si="7"/>
        <v>5.7382363700664295E+19</v>
      </c>
      <c r="P73" s="436">
        <f>([2]TS!$B$8*A73/[2]TS!$B$14)*N73*EXP(-$E$10/([2]TS!$B$8*A73))/O73</f>
        <v>106939.38894992285</v>
      </c>
      <c r="Q73" s="437">
        <f>P73*([2]TS!$B$8*A73/[2]TS!$B$16)*[2]TS!$B$6</f>
        <v>16672.822688264561</v>
      </c>
      <c r="R73" s="442">
        <f>Q73*10^6/[2]TS!$B$6</f>
        <v>2.7685876927910281E-14</v>
      </c>
      <c r="S73" s="443">
        <v>7.6299999999999998E-13</v>
      </c>
      <c r="T73" s="435">
        <f t="shared" si="8"/>
        <v>1.8599399446188183</v>
      </c>
    </row>
    <row r="74" spans="1:20" ht="17" thickBot="1">
      <c r="A74" s="444">
        <f t="shared" si="9"/>
        <v>2000</v>
      </c>
      <c r="B74" s="445">
        <f t="shared" ref="B74:E74" si="10">B37</f>
        <v>350657475.832605</v>
      </c>
      <c r="C74" s="446">
        <f t="shared" si="10"/>
        <v>12838.965013447609</v>
      </c>
      <c r="D74" s="447">
        <f t="shared" si="10"/>
        <v>42.99989946851192</v>
      </c>
      <c r="E74" s="448">
        <f t="shared" si="10"/>
        <v>2</v>
      </c>
      <c r="F74" s="449">
        <f>'NH2'!E83</f>
        <v>293544098.86903071</v>
      </c>
      <c r="G74" s="446">
        <f>'NH2'!E155</f>
        <v>923.49191963419764</v>
      </c>
      <c r="H74" s="447">
        <f>'NH2'!$G$103</f>
        <v>1.0006880140825076</v>
      </c>
      <c r="I74" s="450">
        <f>'NH2'!D193</f>
        <v>2</v>
      </c>
      <c r="J74" s="445">
        <f>'H2'!E83</f>
        <v>13102504.671363808</v>
      </c>
      <c r="K74" s="446">
        <f>'H2'!D155</f>
        <v>11.456491045965102</v>
      </c>
      <c r="L74" s="447">
        <f>'H2'!E120</f>
        <v>1.0419178518928653</v>
      </c>
      <c r="M74" s="448">
        <f>'H2'!D193</f>
        <v>1</v>
      </c>
      <c r="N74" s="449">
        <f t="shared" si="6"/>
        <v>387177894295589.75</v>
      </c>
      <c r="O74" s="451">
        <f t="shared" si="7"/>
        <v>8.4854439672391352E+19</v>
      </c>
      <c r="P74" s="445">
        <f>([2]TS!$B$8*A74/[2]TS!$B$14)*N74*EXP(-$E$10/([2]TS!$B$8*A74))/O74</f>
        <v>167475.20355425691</v>
      </c>
      <c r="Q74" s="446">
        <f>P74*([2]TS!$B$8*A74/[2]TS!$B$16)*[2]TS!$B$6</f>
        <v>27485.164613826732</v>
      </c>
      <c r="R74" s="452">
        <f>Q74*10^6/[2]TS!$B$6</f>
        <v>4.5640195368800347E-14</v>
      </c>
      <c r="S74" s="453">
        <v>9.71E-13</v>
      </c>
      <c r="T74" s="435">
        <f t="shared" si="8"/>
        <v>1.8204273426263897</v>
      </c>
    </row>
    <row r="77" spans="1:20" ht="17" thickBot="1"/>
    <row r="78" spans="1:20" ht="20" thickBot="1">
      <c r="B78" s="493" t="s">
        <v>191</v>
      </c>
      <c r="C78" s="494"/>
      <c r="D78" s="494"/>
      <c r="E78" s="494"/>
      <c r="F78" s="494"/>
      <c r="G78" s="494"/>
      <c r="H78" s="494"/>
      <c r="I78" s="494"/>
      <c r="J78" s="494"/>
      <c r="K78" s="494"/>
      <c r="L78" s="494"/>
      <c r="M78" s="494"/>
      <c r="N78" s="494"/>
      <c r="O78" s="494"/>
      <c r="P78" s="495"/>
    </row>
    <row r="80" spans="1:20" ht="18">
      <c r="S80" s="463"/>
      <c r="T80" s="464"/>
    </row>
    <row r="81" spans="15:20" ht="18">
      <c r="O81" s="188"/>
      <c r="S81" s="463"/>
      <c r="T81" s="464"/>
    </row>
    <row r="82" spans="15:20" ht="18">
      <c r="O82" s="188"/>
      <c r="S82" s="463"/>
      <c r="T82" s="464"/>
    </row>
    <row r="83" spans="15:20" ht="18">
      <c r="O83" s="188"/>
      <c r="S83" s="463"/>
      <c r="T83" s="464"/>
    </row>
    <row r="84" spans="15:20" ht="18">
      <c r="O84" s="188"/>
      <c r="S84" s="463"/>
      <c r="T84" s="464"/>
    </row>
    <row r="85" spans="15:20" ht="18">
      <c r="O85" s="188"/>
      <c r="S85" s="463"/>
      <c r="T85" s="464"/>
    </row>
    <row r="86" spans="15:20" ht="18">
      <c r="O86" s="188"/>
      <c r="S86" s="463"/>
      <c r="T86" s="464"/>
    </row>
    <row r="87" spans="15:20" ht="18">
      <c r="O87" s="188"/>
      <c r="S87" s="463"/>
      <c r="T87" s="464"/>
    </row>
    <row r="88" spans="15:20" ht="18">
      <c r="O88" s="188"/>
      <c r="S88" s="463"/>
      <c r="T88" s="464"/>
    </row>
    <row r="89" spans="15:20" ht="18">
      <c r="O89" s="188"/>
      <c r="S89" s="463"/>
      <c r="T89" s="464"/>
    </row>
    <row r="90" spans="15:20" ht="18">
      <c r="O90" s="188"/>
      <c r="S90" s="463"/>
      <c r="T90" s="464"/>
    </row>
    <row r="91" spans="15:20" ht="18">
      <c r="O91" s="188"/>
      <c r="S91" s="463"/>
      <c r="T91" s="464"/>
    </row>
    <row r="92" spans="15:20" ht="18">
      <c r="O92" s="188"/>
      <c r="S92" s="463"/>
      <c r="T92" s="464"/>
    </row>
    <row r="93" spans="15:20" ht="18">
      <c r="O93" s="188"/>
      <c r="S93" s="463"/>
      <c r="T93" s="464"/>
    </row>
    <row r="94" spans="15:20" ht="18">
      <c r="O94" s="188"/>
      <c r="S94" s="463"/>
      <c r="T94" s="464"/>
    </row>
    <row r="95" spans="15:20" ht="18">
      <c r="O95" s="188"/>
      <c r="S95" s="463"/>
      <c r="T95" s="464"/>
    </row>
    <row r="96" spans="15:20" ht="18">
      <c r="O96" s="188"/>
      <c r="S96" s="463"/>
      <c r="T96" s="464"/>
    </row>
    <row r="97" spans="2:20" ht="18">
      <c r="O97" s="188"/>
      <c r="S97" s="463"/>
      <c r="T97" s="464"/>
    </row>
    <row r="98" spans="2:20">
      <c r="O98" s="188"/>
    </row>
    <row r="102" spans="2:20" ht="17" thickBot="1"/>
    <row r="103" spans="2:20" ht="21" thickBot="1">
      <c r="B103" s="455" t="s">
        <v>177</v>
      </c>
      <c r="C103" s="496" t="s">
        <v>192</v>
      </c>
      <c r="D103" s="496"/>
      <c r="E103" s="497" t="s">
        <v>193</v>
      </c>
      <c r="F103" s="497"/>
      <c r="G103" s="498" t="s">
        <v>194</v>
      </c>
      <c r="H103" s="499"/>
      <c r="I103" s="500" t="s">
        <v>195</v>
      </c>
      <c r="J103" s="501"/>
    </row>
    <row r="104" spans="2:20">
      <c r="B104" s="425">
        <v>300</v>
      </c>
      <c r="C104" s="502">
        <f>1+(1/24)*(TS!$B$14*TS!$F$42/(TS!$B$8*B104))^2*(1+TS!$B$8*B104/$E$10)</f>
        <v>2.8253510097061811</v>
      </c>
      <c r="D104" s="503"/>
      <c r="E104" s="504">
        <f>1+(1/24)*(TS!$B$14*TS!$F$42/(TS!$B$8*B104))^2*(1+TS!$B$8*B104/$E$47)</f>
        <v>2.8237545814723903</v>
      </c>
      <c r="F104" s="505"/>
      <c r="G104" s="456"/>
      <c r="H104" s="457">
        <f>$R20*C104</f>
        <v>3.1085840963017055E-31</v>
      </c>
      <c r="I104" s="456"/>
      <c r="J104" s="458">
        <f>R57*E104</f>
        <v>2.8254177978914037E-31</v>
      </c>
    </row>
    <row r="105" spans="2:20">
      <c r="B105" s="339">
        <f>B104+100</f>
        <v>400</v>
      </c>
      <c r="C105" s="485">
        <f>1+(1/24)*(TS!$B$14*TS!$F$42/(TS!$B$8*B105))^2*(1+TS!$B$8*B105/$E$10)</f>
        <v>2.0339053774667586</v>
      </c>
      <c r="D105" s="486"/>
      <c r="E105" s="487">
        <f>1+(1/24)*(TS!$B$14*TS!$F$42/(TS!$B$8*B105))^2*(1+TS!$B$8*B105/$E$47)</f>
        <v>2.0327080562914155</v>
      </c>
      <c r="F105" s="488"/>
      <c r="G105" s="459"/>
      <c r="H105" s="460">
        <f t="shared" ref="H105:H121" si="11">$R21*C105</f>
        <v>2.635813647420231E-26</v>
      </c>
      <c r="I105" s="459"/>
      <c r="J105" s="461">
        <f t="shared" ref="J105:J121" si="12">R58*E105</f>
        <v>1.8403435972065923E-26</v>
      </c>
    </row>
    <row r="106" spans="2:20">
      <c r="B106" s="339">
        <f t="shared" ref="B106:B121" si="13">B105+100</f>
        <v>500</v>
      </c>
      <c r="C106" s="485">
        <f>1+(1/24)*(TS!$B$14*TS!$F$42/(TS!$B$8*B106))^2*(1+TS!$B$8*B106/$E$10)</f>
        <v>1.6662725196632264</v>
      </c>
      <c r="D106" s="486"/>
      <c r="E106" s="487">
        <f>1+(1/24)*(TS!$B$14*TS!$F$42/(TS!$B$8*B106))^2*(1+TS!$B$8*B106/$E$47)</f>
        <v>1.6653146627229518</v>
      </c>
      <c r="F106" s="488"/>
      <c r="G106" s="459"/>
      <c r="H106" s="460">
        <f t="shared" si="11"/>
        <v>2.4772809270523828E-23</v>
      </c>
      <c r="I106" s="459"/>
      <c r="J106" s="461">
        <f t="shared" si="12"/>
        <v>1.4429933727350753E-23</v>
      </c>
    </row>
    <row r="107" spans="2:20">
      <c r="B107" s="339">
        <f t="shared" si="13"/>
        <v>600</v>
      </c>
      <c r="C107" s="485">
        <f>1+(1/24)*(TS!$B$14*TS!$F$42/(TS!$B$8*B107))^2*(1+TS!$B$8*B107/$E$10)</f>
        <v>1.4658649984359216</v>
      </c>
      <c r="D107" s="486"/>
      <c r="E107" s="487">
        <f>1+(1/24)*(TS!$B$14*TS!$F$42/(TS!$B$8*B107))^2*(1+TS!$B$8*B107/$E$47)</f>
        <v>1.4650667843190259</v>
      </c>
      <c r="F107" s="488"/>
      <c r="G107" s="459"/>
      <c r="H107" s="460">
        <f t="shared" si="11"/>
        <v>2.4808712389511137E-21</v>
      </c>
      <c r="I107" s="459"/>
      <c r="J107" s="461">
        <f t="shared" si="12"/>
        <v>1.2766314368878454E-21</v>
      </c>
    </row>
    <row r="108" spans="2:20">
      <c r="B108" s="339">
        <f t="shared" si="13"/>
        <v>700</v>
      </c>
      <c r="C108" s="485">
        <f>1+(1/24)*(TS!$B$14*TS!$F$42/(TS!$B$8*B108))^2*(1+TS!$B$8*B108/$E$10)</f>
        <v>1.3446013652205244</v>
      </c>
      <c r="D108" s="486"/>
      <c r="E108" s="487">
        <f>1+(1/24)*(TS!$B$14*TS!$F$42/(TS!$B$8*B108))^2*(1+TS!$B$8*B108/$E$47)</f>
        <v>1.3439171816917568</v>
      </c>
      <c r="F108" s="488"/>
      <c r="G108" s="459"/>
      <c r="H108" s="460">
        <f t="shared" si="11"/>
        <v>6.9243904431604452E-20</v>
      </c>
      <c r="I108" s="459"/>
      <c r="J108" s="461">
        <f t="shared" si="12"/>
        <v>3.2822305505754554E-20</v>
      </c>
    </row>
    <row r="109" spans="2:20">
      <c r="B109" s="339">
        <f t="shared" si="13"/>
        <v>800</v>
      </c>
      <c r="C109" s="485">
        <f>1+(1/24)*(TS!$B$14*TS!$F$42/(TS!$B$8*B109))^2*(1+TS!$B$8*B109/$E$10)</f>
        <v>1.2656217788737218</v>
      </c>
      <c r="D109" s="486"/>
      <c r="E109" s="487">
        <f>1+(1/24)*(TS!$B$14*TS!$F$42/(TS!$B$8*B109))^2*(1+TS!$B$8*B109/$E$47)</f>
        <v>1.2650231182860503</v>
      </c>
      <c r="F109" s="488"/>
      <c r="G109" s="459"/>
      <c r="H109" s="460">
        <f t="shared" si="11"/>
        <v>8.6870873933065145E-19</v>
      </c>
      <c r="I109" s="459"/>
      <c r="J109" s="461">
        <f t="shared" si="12"/>
        <v>3.914267233425762E-19</v>
      </c>
    </row>
    <row r="110" spans="2:20">
      <c r="B110" s="339">
        <f t="shared" si="13"/>
        <v>900</v>
      </c>
      <c r="C110" s="485">
        <f>1+(1/24)*(TS!$B$14*TS!$F$42/(TS!$B$8*B110))^2*(1+TS!$B$8*B110/$E$10)</f>
        <v>1.2112854419756878</v>
      </c>
      <c r="D110" s="486"/>
      <c r="E110" s="487">
        <f>1+(1/24)*(TS!$B$14*TS!$F$42/(TS!$B$8*B110))^2*(1+TS!$B$8*B110/$E$47)</f>
        <v>1.2107532992310908</v>
      </c>
      <c r="F110" s="488"/>
      <c r="G110" s="459"/>
      <c r="H110" s="460">
        <f t="shared" si="11"/>
        <v>6.3827157609156443E-18</v>
      </c>
      <c r="I110" s="459"/>
      <c r="J110" s="461">
        <f t="shared" si="12"/>
        <v>2.8008198299190797E-18</v>
      </c>
    </row>
    <row r="111" spans="2:20">
      <c r="B111" s="339">
        <f t="shared" si="13"/>
        <v>1000</v>
      </c>
      <c r="C111" s="485">
        <f>1+(1/24)*(TS!$B$14*TS!$F$42/(TS!$B$8*B111))^2*(1+TS!$B$8*B111/$E$10)</f>
        <v>1.1722844775214323</v>
      </c>
      <c r="D111" s="486"/>
      <c r="E111" s="487">
        <f>1+(1/24)*(TS!$B$14*TS!$F$42/(TS!$B$8*B111))^2*(1+TS!$B$8*B111/$E$47)</f>
        <v>1.1718055490512951</v>
      </c>
      <c r="F111" s="488"/>
      <c r="G111" s="459"/>
      <c r="H111" s="460">
        <f t="shared" si="11"/>
        <v>3.2183594868293188E-17</v>
      </c>
      <c r="I111" s="459"/>
      <c r="J111" s="461">
        <f t="shared" si="12"/>
        <v>1.4016762562806506E-17</v>
      </c>
    </row>
    <row r="112" spans="2:20">
      <c r="B112" s="339">
        <f t="shared" si="13"/>
        <v>1100</v>
      </c>
      <c r="C112" s="485">
        <f>1+(1/24)*(TS!$B$14*TS!$F$42/(TS!$B$8*B112))^2*(1+TS!$B$8*B112/$E$10)</f>
        <v>1.1433287165640971</v>
      </c>
      <c r="D112" s="486"/>
      <c r="E112" s="487">
        <f>1+(1/24)*(TS!$B$14*TS!$F$42/(TS!$B$8*B112))^2*(1+TS!$B$8*B112/$E$47)</f>
        <v>1.1428933270457904</v>
      </c>
      <c r="F112" s="488"/>
      <c r="G112" s="459"/>
      <c r="H112" s="460">
        <f t="shared" si="11"/>
        <v>1.2319507194088947E-16</v>
      </c>
      <c r="I112" s="459"/>
      <c r="J112" s="461">
        <f t="shared" si="12"/>
        <v>5.4058193548840724E-17</v>
      </c>
    </row>
    <row r="113" spans="2:10">
      <c r="B113" s="339">
        <f t="shared" si="13"/>
        <v>1200</v>
      </c>
      <c r="C113" s="485">
        <f>1+(1/24)*(TS!$B$14*TS!$F$42/(TS!$B$8*B113))^2*(1+TS!$B$8*B113/$E$10)</f>
        <v>1.1212298726136685</v>
      </c>
      <c r="D113" s="486"/>
      <c r="E113" s="487">
        <f>1+(1/24)*(TS!$B$14*TS!$F$42/(TS!$B$8*B113))^2*(1+TS!$B$8*B113/$E$47)</f>
        <v>1.1208307655552208</v>
      </c>
      <c r="F113" s="488"/>
      <c r="G113" s="459"/>
      <c r="H113" s="460">
        <f t="shared" si="11"/>
        <v>3.8295885592143339E-16</v>
      </c>
      <c r="I113" s="459"/>
      <c r="J113" s="461">
        <f t="shared" si="12"/>
        <v>1.7135094340932908E-16</v>
      </c>
    </row>
    <row r="114" spans="2:10">
      <c r="B114" s="339">
        <f t="shared" si="13"/>
        <v>1300</v>
      </c>
      <c r="C114" s="485">
        <f>1+(1/24)*(TS!$B$14*TS!$F$42/(TS!$B$8*B114))^2*(1+TS!$B$8*B114/$E$10)</f>
        <v>1.10397295034604</v>
      </c>
      <c r="D114" s="486"/>
      <c r="E114" s="487">
        <f>1+(1/24)*(TS!$B$14*TS!$F$42/(TS!$B$8*B114))^2*(1+TS!$B$8*B114/$E$47)</f>
        <v>1.10360454383055</v>
      </c>
      <c r="F114" s="488"/>
      <c r="G114" s="459"/>
      <c r="H114" s="460">
        <f t="shared" si="11"/>
        <v>1.0130530025225226E-15</v>
      </c>
      <c r="I114" s="459"/>
      <c r="J114" s="461">
        <f t="shared" si="12"/>
        <v>4.6667957593894781E-16</v>
      </c>
    </row>
    <row r="115" spans="2:10">
      <c r="B115" s="339">
        <f t="shared" si="13"/>
        <v>1400</v>
      </c>
      <c r="C115" s="485">
        <f>1+(1/24)*(TS!$B$14*TS!$F$42/(TS!$B$8*B115))^2*(1+TS!$B$8*B115/$E$10)</f>
        <v>1.0902334467377208</v>
      </c>
      <c r="D115" s="486"/>
      <c r="E115" s="487">
        <f>1+(1/24)*(TS!$B$14*TS!$F$42/(TS!$B$8*B115))^2*(1+TS!$B$8*B115/$E$47)</f>
        <v>1.0898913549733371</v>
      </c>
      <c r="F115" s="488"/>
      <c r="G115" s="459"/>
      <c r="H115" s="460">
        <f t="shared" si="11"/>
        <v>2.358322973273702E-15</v>
      </c>
      <c r="I115" s="459"/>
      <c r="J115" s="461">
        <f t="shared" si="12"/>
        <v>1.127234171680466E-15</v>
      </c>
    </row>
    <row r="116" spans="2:10">
      <c r="B116" s="339">
        <f t="shared" si="13"/>
        <v>1500</v>
      </c>
      <c r="C116" s="485">
        <f>1+(1/24)*(TS!$B$14*TS!$F$42/(TS!$B$8*B116))^2*(1+TS!$B$8*B116/$E$10)</f>
        <v>1.0791114778342481</v>
      </c>
      <c r="D116" s="486"/>
      <c r="E116" s="487">
        <f>1+(1/24)*(TS!$B$14*TS!$F$42/(TS!$B$8*B116))^2*(1+TS!$B$8*B116/$E$47)</f>
        <v>1.0787921921874899</v>
      </c>
      <c r="F116" s="488"/>
      <c r="G116" s="459"/>
      <c r="H116" s="460">
        <f t="shared" si="11"/>
        <v>4.9521991608945719E-15</v>
      </c>
      <c r="I116" s="459"/>
      <c r="J116" s="461">
        <f t="shared" si="12"/>
        <v>2.4714480341834228E-15</v>
      </c>
    </row>
    <row r="117" spans="2:10">
      <c r="B117" s="339">
        <f t="shared" si="13"/>
        <v>1600</v>
      </c>
      <c r="C117" s="485">
        <f>1+(1/24)*(TS!$B$14*TS!$F$42/(TS!$B$8*B117))^2*(1+TS!$B$8*B117/$E$10)</f>
        <v>1.0699781619719466</v>
      </c>
      <c r="D117" s="486"/>
      <c r="E117" s="487">
        <f>1+(1/24)*(TS!$B$14*TS!$F$42/(TS!$B$8*B117))^2*(1+TS!$B$8*B117/$E$47)</f>
        <v>1.0696788316781107</v>
      </c>
      <c r="F117" s="488"/>
      <c r="G117" s="459"/>
      <c r="H117" s="460">
        <f t="shared" si="11"/>
        <v>9.5566784354051511E-15</v>
      </c>
      <c r="I117" s="459"/>
      <c r="J117" s="461">
        <f t="shared" si="12"/>
        <v>5.0048585043173483E-15</v>
      </c>
    </row>
    <row r="118" spans="2:10">
      <c r="B118" s="339">
        <f t="shared" si="13"/>
        <v>1700</v>
      </c>
      <c r="C118" s="485">
        <f>1+(1/24)*(TS!$B$14*TS!$F$42/(TS!$B$8*B118))^2*(1+TS!$B$8*B118/$E$10)</f>
        <v>1.0623831709928402</v>
      </c>
      <c r="D118" s="486"/>
      <c r="E118" s="487">
        <f>1+(1/24)*(TS!$B$14*TS!$F$42/(TS!$B$8*B118))^2*(1+TS!$B$8*B118/$E$47)</f>
        <v>1.0621014483633477</v>
      </c>
      <c r="F118" s="488"/>
      <c r="G118" s="459"/>
      <c r="H118" s="460">
        <f t="shared" si="11"/>
        <v>1.7192960073034457E-14</v>
      </c>
      <c r="I118" s="459"/>
      <c r="J118" s="461">
        <f t="shared" si="12"/>
        <v>9.486903783711453E-15</v>
      </c>
    </row>
    <row r="119" spans="2:10">
      <c r="B119" s="339">
        <f t="shared" si="13"/>
        <v>1800</v>
      </c>
      <c r="C119" s="485">
        <f>1+(1/24)*(TS!$B$14*TS!$F$42/(TS!$B$8*B119))^2*(1+TS!$B$8*B119/$E$10)</f>
        <v>1.0559971091637141</v>
      </c>
      <c r="D119" s="486"/>
      <c r="E119" s="487">
        <f>1+(1/24)*(TS!$B$14*TS!$F$42/(TS!$B$8*B119))^2*(1+TS!$B$8*B119/$E$47)</f>
        <v>1.0557310377914155</v>
      </c>
      <c r="F119" s="488"/>
      <c r="G119" s="459"/>
      <c r="H119" s="460">
        <f t="shared" si="11"/>
        <v>2.9160541453450018E-14</v>
      </c>
      <c r="I119" s="459"/>
      <c r="J119" s="461">
        <f t="shared" si="12"/>
        <v>1.7008370537769873E-14</v>
      </c>
    </row>
    <row r="120" spans="2:10">
      <c r="B120" s="339">
        <f t="shared" si="13"/>
        <v>1900</v>
      </c>
      <c r="C120" s="485">
        <f>1+(1/24)*(TS!$B$14*TS!$F$42/(TS!$B$8*B120))^2*(1+TS!$B$8*B120/$E$10)</f>
        <v>1.0505744884242545</v>
      </c>
      <c r="D120" s="486"/>
      <c r="E120" s="487">
        <f>1+(1/24)*(TS!$B$14*TS!$F$42/(TS!$B$8*B120))^2*(1+TS!$B$8*B120/$E$47)</f>
        <v>1.0503224208083928</v>
      </c>
      <c r="F120" s="488"/>
      <c r="G120" s="459"/>
      <c r="H120" s="460">
        <f t="shared" si="11"/>
        <v>4.7044270939665477E-14</v>
      </c>
      <c r="I120" s="459"/>
      <c r="J120" s="461">
        <f t="shared" si="12"/>
        <v>2.9079097277125958E-14</v>
      </c>
    </row>
    <row r="121" spans="2:10" ht="17" thickBot="1">
      <c r="B121" s="444">
        <f t="shared" si="13"/>
        <v>2000</v>
      </c>
      <c r="C121" s="489">
        <f>1+(1/24)*(TS!$B$14*TS!$F$42/(TS!$B$8*B121))^2*(1+TS!$B$8*B121/$E$10)</f>
        <v>1.045929293183171</v>
      </c>
      <c r="D121" s="490"/>
      <c r="E121" s="491">
        <f>1+(1/24)*(TS!$B$14*TS!$F$42/(TS!$B$8*B121))^2*(1+TS!$B$8*B121/$E$47)</f>
        <v>1.0456898289481023</v>
      </c>
      <c r="F121" s="492"/>
      <c r="G121" s="459"/>
      <c r="H121" s="460">
        <f t="shared" si="11"/>
        <v>7.271015135997247E-14</v>
      </c>
      <c r="I121" s="459"/>
      <c r="J121" s="461">
        <f t="shared" si="12"/>
        <v>4.7725488088358802E-14</v>
      </c>
    </row>
  </sheetData>
  <mergeCells count="49">
    <mergeCell ref="C104:D104"/>
    <mergeCell ref="E104:F104"/>
    <mergeCell ref="B4:P4"/>
    <mergeCell ref="B18:E18"/>
    <mergeCell ref="F18:I18"/>
    <mergeCell ref="J18:M18"/>
    <mergeCell ref="B41:P41"/>
    <mergeCell ref="B55:E55"/>
    <mergeCell ref="F55:I55"/>
    <mergeCell ref="J55:M55"/>
    <mergeCell ref="B78:P78"/>
    <mergeCell ref="C103:D103"/>
    <mergeCell ref="E103:F103"/>
    <mergeCell ref="G103:H103"/>
    <mergeCell ref="I103:J103"/>
    <mergeCell ref="C105:D105"/>
    <mergeCell ref="E105:F105"/>
    <mergeCell ref="C106:D106"/>
    <mergeCell ref="E106:F106"/>
    <mergeCell ref="C107:D107"/>
    <mergeCell ref="E107:F107"/>
    <mergeCell ref="C108:D108"/>
    <mergeCell ref="E108:F108"/>
    <mergeCell ref="C109:D109"/>
    <mergeCell ref="E109:F109"/>
    <mergeCell ref="C110:D110"/>
    <mergeCell ref="E110:F110"/>
    <mergeCell ref="C111:D111"/>
    <mergeCell ref="E111:F111"/>
    <mergeCell ref="C112:D112"/>
    <mergeCell ref="E112:F112"/>
    <mergeCell ref="C113:D113"/>
    <mergeCell ref="E113:F113"/>
    <mergeCell ref="C114:D114"/>
    <mergeCell ref="E114:F114"/>
    <mergeCell ref="C115:D115"/>
    <mergeCell ref="E115:F115"/>
    <mergeCell ref="C116:D116"/>
    <mergeCell ref="E116:F116"/>
    <mergeCell ref="C120:D120"/>
    <mergeCell ref="E120:F120"/>
    <mergeCell ref="C121:D121"/>
    <mergeCell ref="E121:F121"/>
    <mergeCell ref="C117:D117"/>
    <mergeCell ref="E117:F117"/>
    <mergeCell ref="C118:D118"/>
    <mergeCell ref="E118:F118"/>
    <mergeCell ref="C119:D119"/>
    <mergeCell ref="E119:F119"/>
  </mergeCells>
  <conditionalFormatting sqref="T20:T37">
    <cfRule type="colorScale" priority="2">
      <colorScale>
        <cfvo type="min"/>
        <cfvo type="max"/>
        <color rgb="FFFCFCFF"/>
        <color rgb="FFF8696B"/>
      </colorScale>
    </cfRule>
  </conditionalFormatting>
  <conditionalFormatting sqref="T57:T74">
    <cfRule type="colorScale" priority="1">
      <colorScale>
        <cfvo type="min"/>
        <cfvo type="max"/>
        <color rgb="FFFCFCFF"/>
        <color rgb="FFF8696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NH3</vt:lpstr>
      <vt:lpstr>H</vt:lpstr>
      <vt:lpstr>NH2</vt:lpstr>
      <vt:lpstr>H2</vt:lpstr>
      <vt:lpstr>TS</vt:lpstr>
      <vt:lpstr>NH3+H---NH2+H2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2024-09-15T14:30:30Z</dcterms:created>
  <dcterms:modified xsi:type="dcterms:W3CDTF">2024-09-16T10:30:22Z</dcterms:modified>
</cp:coreProperties>
</file>