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2.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3.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202300"/>
  <mc:AlternateContent xmlns:mc="http://schemas.openxmlformats.org/markup-compatibility/2006">
    <mc:Choice Requires="x15">
      <x15ac:absPath xmlns:x15ac="http://schemas.microsoft.com/office/spreadsheetml/2010/11/ac" url="/Users/edoardocabiati/Desktop/Cose_brutte_PoliMI/V_anno/II_semestre/Molecular_Modeling_for_Process_Engineering/MMfP/Project5/"/>
    </mc:Choice>
  </mc:AlternateContent>
  <xr:revisionPtr revIDLastSave="0" documentId="13_ncr:1_{BF949B7E-B005-DD44-8CBA-A480A6CC231E}" xr6:coauthVersionLast="47" xr6:coauthVersionMax="47" xr10:uidLastSave="{00000000-0000-0000-0000-000000000000}"/>
  <bookViews>
    <workbookView xWindow="0" yWindow="760" windowWidth="30240" windowHeight="17720" activeTab="1" xr2:uid="{C55F76C2-6CE8-1A45-B3A1-27BBE6E71A7E}"/>
  </bookViews>
  <sheets>
    <sheet name="CH4" sheetId="2" r:id="rId1"/>
    <sheet name="H" sheetId="3" r:id="rId2"/>
    <sheet name="CH3" sheetId="4" r:id="rId3"/>
    <sheet name="Keq"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72" i="3" l="1"/>
  <c r="E6" i="5"/>
  <c r="D6" i="5"/>
  <c r="C6" i="5"/>
  <c r="G14" i="5"/>
  <c r="G15" i="5"/>
  <c r="G16" i="5"/>
  <c r="G17" i="5"/>
  <c r="G18" i="5"/>
  <c r="G19" i="5"/>
  <c r="G20" i="5"/>
  <c r="G21" i="5"/>
  <c r="G22" i="5"/>
  <c r="G23" i="5"/>
  <c r="G24" i="5"/>
  <c r="G25" i="5"/>
  <c r="G26" i="5"/>
  <c r="G27" i="5"/>
  <c r="G28" i="5"/>
  <c r="G29" i="5"/>
  <c r="G30" i="5"/>
  <c r="G31" i="5"/>
  <c r="G13" i="5"/>
  <c r="E13" i="5"/>
  <c r="D14" i="5"/>
  <c r="E14" i="5" s="1"/>
  <c r="D15" i="5"/>
  <c r="E15" i="5" s="1"/>
  <c r="D26" i="5"/>
  <c r="E26" i="5" s="1"/>
  <c r="D27" i="5"/>
  <c r="E27" i="5" s="1"/>
  <c r="D13" i="5"/>
  <c r="C15" i="5"/>
  <c r="C16" i="5" s="1"/>
  <c r="C17" i="5" s="1"/>
  <c r="C18" i="5" s="1"/>
  <c r="C19" i="5" s="1"/>
  <c r="C20" i="5" s="1"/>
  <c r="C21" i="5" s="1"/>
  <c r="C22" i="5" s="1"/>
  <c r="C23" i="5" s="1"/>
  <c r="C24" i="5" s="1"/>
  <c r="C25" i="5" s="1"/>
  <c r="C26" i="5" s="1"/>
  <c r="C27" i="5" s="1"/>
  <c r="C28" i="5" s="1"/>
  <c r="C29" i="5" s="1"/>
  <c r="C30" i="5" s="1"/>
  <c r="C31" i="5" s="1"/>
  <c r="D31" i="5" s="1"/>
  <c r="E31" i="5" s="1"/>
  <c r="AK107" i="2"/>
  <c r="AJ107" i="2"/>
  <c r="Z104" i="2"/>
  <c r="Z105" i="2" s="1"/>
  <c r="Z106" i="2" s="1"/>
  <c r="Z107" i="2" s="1"/>
  <c r="Z108" i="2" s="1"/>
  <c r="Z109" i="2" s="1"/>
  <c r="Z110" i="2" s="1"/>
  <c r="Z111" i="2" s="1"/>
  <c r="Z112" i="2" s="1"/>
  <c r="Z113" i="2" s="1"/>
  <c r="Z114" i="2" s="1"/>
  <c r="Z115" i="2" s="1"/>
  <c r="Z116" i="2" s="1"/>
  <c r="Z117" i="2" s="1"/>
  <c r="Z118" i="2" s="1"/>
  <c r="Z119" i="2" s="1"/>
  <c r="Z120" i="2" s="1"/>
  <c r="Y103" i="3"/>
  <c r="Y105" i="3"/>
  <c r="Y110" i="3"/>
  <c r="Y111" i="3"/>
  <c r="Y112" i="3"/>
  <c r="Y113" i="3"/>
  <c r="Y118" i="3"/>
  <c r="Y119" i="3"/>
  <c r="Y120" i="3"/>
  <c r="Y102" i="3"/>
  <c r="D175" i="3"/>
  <c r="X107" i="3"/>
  <c r="X108" i="3"/>
  <c r="X109" i="3"/>
  <c r="X115" i="3"/>
  <c r="X116" i="3"/>
  <c r="X117" i="3"/>
  <c r="AE107" i="3"/>
  <c r="U104" i="3"/>
  <c r="U105" i="3" s="1"/>
  <c r="U106" i="3" s="1"/>
  <c r="U107" i="3" s="1"/>
  <c r="U108" i="3" s="1"/>
  <c r="U109" i="3" s="1"/>
  <c r="U110" i="3" s="1"/>
  <c r="U111" i="3" s="1"/>
  <c r="U112" i="3" s="1"/>
  <c r="U113" i="3" s="1"/>
  <c r="U114" i="3" s="1"/>
  <c r="U115" i="3" s="1"/>
  <c r="U116" i="3" s="1"/>
  <c r="U117" i="3" s="1"/>
  <c r="U118" i="3" s="1"/>
  <c r="U119" i="3" s="1"/>
  <c r="U120" i="3" s="1"/>
  <c r="M105" i="3"/>
  <c r="M215" i="3"/>
  <c r="N215" i="3"/>
  <c r="M216" i="3"/>
  <c r="M217" i="3" s="1"/>
  <c r="O216" i="3"/>
  <c r="D138" i="3"/>
  <c r="X103" i="3" s="1"/>
  <c r="C139" i="3"/>
  <c r="C140" i="3" s="1"/>
  <c r="C141" i="3" s="1"/>
  <c r="C142" i="3" s="1"/>
  <c r="C143" i="3" s="1"/>
  <c r="C144" i="3" s="1"/>
  <c r="C145" i="3" s="1"/>
  <c r="C146" i="3" s="1"/>
  <c r="C147" i="3" s="1"/>
  <c r="C148" i="3" s="1"/>
  <c r="C149" i="3" s="1"/>
  <c r="C150" i="3" s="1"/>
  <c r="C151" i="3" s="1"/>
  <c r="C152" i="3" s="1"/>
  <c r="C153" i="3" s="1"/>
  <c r="C154" i="3" s="1"/>
  <c r="C155" i="3" s="1"/>
  <c r="D139" i="3"/>
  <c r="X104" i="3" s="1"/>
  <c r="L139" i="3"/>
  <c r="D140" i="3"/>
  <c r="X105" i="3" s="1"/>
  <c r="L140" i="3"/>
  <c r="D141" i="3"/>
  <c r="X106" i="3" s="1"/>
  <c r="D142" i="3"/>
  <c r="D143" i="3"/>
  <c r="D144" i="3"/>
  <c r="D145" i="3"/>
  <c r="X110" i="3" s="1"/>
  <c r="D146" i="3"/>
  <c r="X111" i="3" s="1"/>
  <c r="D147" i="3"/>
  <c r="X112" i="3" s="1"/>
  <c r="D148" i="3"/>
  <c r="X113" i="3" s="1"/>
  <c r="D149" i="3"/>
  <c r="X114" i="3" s="1"/>
  <c r="D150" i="3"/>
  <c r="D151" i="3"/>
  <c r="D152" i="3"/>
  <c r="D153" i="3"/>
  <c r="X118" i="3" s="1"/>
  <c r="D154" i="3"/>
  <c r="X119" i="3" s="1"/>
  <c r="D155" i="3"/>
  <c r="X120" i="3" s="1"/>
  <c r="D168" i="3"/>
  <c r="D169" i="3" s="1"/>
  <c r="E168" i="3"/>
  <c r="E169" i="3"/>
  <c r="D176" i="3"/>
  <c r="L175" i="3"/>
  <c r="L177" i="3" s="1"/>
  <c r="C177" i="3"/>
  <c r="C178" i="3" s="1"/>
  <c r="C179" i="3" s="1"/>
  <c r="C180" i="3" s="1"/>
  <c r="C181" i="3" s="1"/>
  <c r="C182" i="3" s="1"/>
  <c r="C183" i="3" s="1"/>
  <c r="C184" i="3" s="1"/>
  <c r="C185" i="3" s="1"/>
  <c r="C186" i="3" s="1"/>
  <c r="C187" i="3" s="1"/>
  <c r="C188" i="3" s="1"/>
  <c r="C189" i="3" s="1"/>
  <c r="C190" i="3" s="1"/>
  <c r="C191" i="3" s="1"/>
  <c r="C192" i="3" s="1"/>
  <c r="C193" i="3" s="1"/>
  <c r="D177" i="3"/>
  <c r="Y104" i="3" s="1"/>
  <c r="L176" i="3"/>
  <c r="D178" i="3"/>
  <c r="D179" i="3"/>
  <c r="Y106" i="3" s="1"/>
  <c r="D180" i="3"/>
  <c r="Y107" i="3" s="1"/>
  <c r="D181" i="3"/>
  <c r="Y108" i="3" s="1"/>
  <c r="D182" i="3"/>
  <c r="Y109" i="3" s="1"/>
  <c r="D183" i="3"/>
  <c r="D184" i="3"/>
  <c r="D185" i="3"/>
  <c r="D186" i="3"/>
  <c r="D187" i="3"/>
  <c r="Y114" i="3" s="1"/>
  <c r="D188" i="3"/>
  <c r="Y115" i="3" s="1"/>
  <c r="D189" i="3"/>
  <c r="Y116" i="3" s="1"/>
  <c r="D190" i="3"/>
  <c r="Y117" i="3" s="1"/>
  <c r="D191" i="3"/>
  <c r="D192" i="3"/>
  <c r="D193" i="3"/>
  <c r="D205" i="3"/>
  <c r="E205" i="3" s="1"/>
  <c r="D206" i="3"/>
  <c r="E206" i="3"/>
  <c r="N216" i="3" s="1"/>
  <c r="N217" i="3" s="1"/>
  <c r="D207" i="3"/>
  <c r="E207" i="3"/>
  <c r="K216" i="3" s="1"/>
  <c r="D208" i="3"/>
  <c r="E208" i="3"/>
  <c r="D209" i="3"/>
  <c r="E209" i="3" s="1"/>
  <c r="L216" i="3" s="1"/>
  <c r="K209" i="3"/>
  <c r="D214" i="3"/>
  <c r="H214" i="3" s="1"/>
  <c r="O215" i="3" s="1"/>
  <c r="O217" i="3" s="1"/>
  <c r="D215" i="3"/>
  <c r="H215" i="3" s="1"/>
  <c r="L215" i="3"/>
  <c r="C216" i="3"/>
  <c r="D216" i="3"/>
  <c r="H216" i="3" s="1"/>
  <c r="C217" i="3"/>
  <c r="D217" i="3"/>
  <c r="H217" i="3" s="1"/>
  <c r="C218" i="3"/>
  <c r="C219" i="3" s="1"/>
  <c r="C220" i="3" s="1"/>
  <c r="C221" i="3" s="1"/>
  <c r="C222" i="3" s="1"/>
  <c r="C223" i="3" s="1"/>
  <c r="C224" i="3" s="1"/>
  <c r="C225" i="3" s="1"/>
  <c r="C226" i="3" s="1"/>
  <c r="C227" i="3" s="1"/>
  <c r="C228" i="3" s="1"/>
  <c r="C229" i="3" s="1"/>
  <c r="C230" i="3" s="1"/>
  <c r="C231" i="3" s="1"/>
  <c r="C232" i="3" s="1"/>
  <c r="D218" i="3"/>
  <c r="H218" i="3"/>
  <c r="D219" i="3"/>
  <c r="H219" i="3" s="1"/>
  <c r="D220" i="3"/>
  <c r="H220" i="3" s="1"/>
  <c r="D221" i="3"/>
  <c r="H221" i="3"/>
  <c r="D222" i="3"/>
  <c r="H222" i="3"/>
  <c r="D223" i="3"/>
  <c r="H223" i="3"/>
  <c r="D224" i="3"/>
  <c r="H224" i="3"/>
  <c r="D225" i="3"/>
  <c r="H225" i="3"/>
  <c r="D226" i="3"/>
  <c r="H226" i="3"/>
  <c r="D227" i="3"/>
  <c r="H227" i="3" s="1"/>
  <c r="D228" i="3"/>
  <c r="H228" i="3" s="1"/>
  <c r="D229" i="3"/>
  <c r="H229" i="3"/>
  <c r="D230" i="3"/>
  <c r="H230" i="3"/>
  <c r="D231" i="3"/>
  <c r="H231" i="3"/>
  <c r="D232" i="3"/>
  <c r="H232" i="3"/>
  <c r="D247" i="3"/>
  <c r="E247" i="3"/>
  <c r="R265" i="3" s="1"/>
  <c r="D248" i="3"/>
  <c r="E248" i="3" s="1"/>
  <c r="Q265" i="3" s="1"/>
  <c r="D249" i="3"/>
  <c r="E249" i="3" s="1"/>
  <c r="N265" i="3" s="1"/>
  <c r="D250" i="3"/>
  <c r="E250" i="3" s="1"/>
  <c r="P265" i="3" s="1"/>
  <c r="P266" i="3" s="1"/>
  <c r="D251" i="3"/>
  <c r="E251" i="3"/>
  <c r="O265" i="3" s="1"/>
  <c r="D256" i="3"/>
  <c r="D257" i="3" s="1"/>
  <c r="D258" i="3" s="1"/>
  <c r="E256" i="3"/>
  <c r="E257" i="3" s="1"/>
  <c r="E258" i="3" s="1"/>
  <c r="F256" i="3"/>
  <c r="F257" i="3" s="1"/>
  <c r="D262" i="3"/>
  <c r="E262" i="3"/>
  <c r="F262" i="3"/>
  <c r="J262" i="3" s="1"/>
  <c r="R264" i="3" s="1"/>
  <c r="R266" i="3" s="1"/>
  <c r="G262" i="3"/>
  <c r="O264" i="3" s="1"/>
  <c r="H262" i="3"/>
  <c r="I262" i="3"/>
  <c r="D263" i="3"/>
  <c r="E263" i="3"/>
  <c r="G263" i="3"/>
  <c r="H263" i="3"/>
  <c r="I263" i="3"/>
  <c r="C264" i="3"/>
  <c r="D264" i="3"/>
  <c r="F264" i="3" s="1"/>
  <c r="E264" i="3"/>
  <c r="G264" i="3"/>
  <c r="H264" i="3"/>
  <c r="I264" i="3"/>
  <c r="P264" i="3"/>
  <c r="Q264" i="3"/>
  <c r="C265" i="3"/>
  <c r="D265" i="3" s="1"/>
  <c r="G265" i="3"/>
  <c r="H265" i="3"/>
  <c r="I265" i="3"/>
  <c r="G266" i="3"/>
  <c r="H266" i="3"/>
  <c r="I266" i="3"/>
  <c r="G267" i="3"/>
  <c r="H267" i="3"/>
  <c r="I267" i="3"/>
  <c r="G268" i="3"/>
  <c r="H268" i="3"/>
  <c r="I268" i="3"/>
  <c r="G269" i="3"/>
  <c r="H269" i="3"/>
  <c r="I269" i="3"/>
  <c r="G270" i="3"/>
  <c r="H270" i="3"/>
  <c r="I270" i="3"/>
  <c r="G271" i="3"/>
  <c r="H271" i="3"/>
  <c r="I271" i="3"/>
  <c r="G272" i="3"/>
  <c r="H272" i="3"/>
  <c r="I272" i="3"/>
  <c r="G273" i="3"/>
  <c r="H273" i="3"/>
  <c r="I273" i="3"/>
  <c r="G274" i="3"/>
  <c r="H274" i="3"/>
  <c r="I274" i="3"/>
  <c r="G275" i="3"/>
  <c r="H275" i="3"/>
  <c r="I275" i="3"/>
  <c r="G276" i="3"/>
  <c r="H276" i="3"/>
  <c r="I276" i="3"/>
  <c r="G277" i="3"/>
  <c r="H277" i="3"/>
  <c r="I277" i="3"/>
  <c r="G278" i="3"/>
  <c r="H278" i="3"/>
  <c r="I278" i="3"/>
  <c r="G279" i="3"/>
  <c r="H279" i="3"/>
  <c r="I279" i="3"/>
  <c r="G280" i="3"/>
  <c r="H280" i="3"/>
  <c r="I280" i="3"/>
  <c r="AF107" i="4"/>
  <c r="AE107" i="4"/>
  <c r="D23" i="5" l="1"/>
  <c r="E23" i="5" s="1"/>
  <c r="D30" i="5"/>
  <c r="E30" i="5" s="1"/>
  <c r="D20" i="5"/>
  <c r="E20" i="5" s="1"/>
  <c r="D29" i="5"/>
  <c r="E29" i="5" s="1"/>
  <c r="D19" i="5"/>
  <c r="E19" i="5" s="1"/>
  <c r="D22" i="5"/>
  <c r="E22" i="5" s="1"/>
  <c r="D21" i="5"/>
  <c r="E21" i="5" s="1"/>
  <c r="D28" i="5"/>
  <c r="E28" i="5" s="1"/>
  <c r="D18" i="5"/>
  <c r="E18" i="5" s="1"/>
  <c r="D25" i="5"/>
  <c r="E25" i="5" s="1"/>
  <c r="D17" i="5"/>
  <c r="E17" i="5" s="1"/>
  <c r="D24" i="5"/>
  <c r="E24" i="5" s="1"/>
  <c r="D16" i="5"/>
  <c r="E16" i="5" s="1"/>
  <c r="F258" i="3"/>
  <c r="G258" i="3" s="1"/>
  <c r="J254" i="3" s="1"/>
  <c r="G257" i="3"/>
  <c r="J264" i="3"/>
  <c r="G256" i="3"/>
  <c r="Q266" i="3"/>
  <c r="F263" i="3"/>
  <c r="J263" i="3" s="1"/>
  <c r="L217" i="3"/>
  <c r="L141" i="3"/>
  <c r="O266" i="3"/>
  <c r="N264" i="3"/>
  <c r="N266" i="3" s="1"/>
  <c r="E265" i="3"/>
  <c r="F265" i="3" s="1"/>
  <c r="J265" i="3" s="1"/>
  <c r="C266" i="3"/>
  <c r="K215" i="3"/>
  <c r="K217" i="3" s="1"/>
  <c r="D175" i="2"/>
  <c r="AD102" i="2" s="1"/>
  <c r="M139" i="2"/>
  <c r="E137" i="2"/>
  <c r="AC102" i="2" s="1"/>
  <c r="D137" i="3"/>
  <c r="X102" i="3" s="1"/>
  <c r="D175" i="4"/>
  <c r="Y102" i="4" s="1"/>
  <c r="E137" i="4"/>
  <c r="X102" i="4" s="1"/>
  <c r="M139" i="4" l="1"/>
  <c r="C267" i="3"/>
  <c r="D266" i="3"/>
  <c r="E266" i="3"/>
  <c r="D65" i="2"/>
  <c r="E65" i="2" s="1"/>
  <c r="E65" i="3"/>
  <c r="V102" i="3" s="1"/>
  <c r="D65" i="3"/>
  <c r="D66" i="3"/>
  <c r="E66" i="3"/>
  <c r="V103" i="3" s="1"/>
  <c r="C67" i="3"/>
  <c r="D67" i="3" s="1"/>
  <c r="E67" i="3" s="1"/>
  <c r="V104" i="3" s="1"/>
  <c r="C68" i="3"/>
  <c r="C69" i="3" s="1"/>
  <c r="D66" i="2"/>
  <c r="E66" i="2" s="1"/>
  <c r="AA103" i="2" s="1"/>
  <c r="C67" i="2"/>
  <c r="C68" i="2" s="1"/>
  <c r="D65" i="4"/>
  <c r="E65" i="4" s="1"/>
  <c r="U104" i="4"/>
  <c r="U105" i="4" s="1"/>
  <c r="U106" i="4" s="1"/>
  <c r="U107" i="4" s="1"/>
  <c r="U108" i="4" s="1"/>
  <c r="U109" i="4" s="1"/>
  <c r="U110" i="4" s="1"/>
  <c r="U111" i="4" s="1"/>
  <c r="U112" i="4" s="1"/>
  <c r="U113" i="4" s="1"/>
  <c r="U114" i="4" s="1"/>
  <c r="U115" i="4" s="1"/>
  <c r="U116" i="4" s="1"/>
  <c r="U117" i="4" s="1"/>
  <c r="U118" i="4" s="1"/>
  <c r="U119" i="4" s="1"/>
  <c r="U120" i="4" s="1"/>
  <c r="I263" i="4"/>
  <c r="I264" i="4"/>
  <c r="I265" i="4"/>
  <c r="I266" i="4"/>
  <c r="I267" i="4"/>
  <c r="I268" i="4"/>
  <c r="I269" i="4"/>
  <c r="I270" i="4"/>
  <c r="I271" i="4"/>
  <c r="I272" i="4"/>
  <c r="I273" i="4"/>
  <c r="I274" i="4"/>
  <c r="I275" i="4"/>
  <c r="I276" i="4"/>
  <c r="I277" i="4"/>
  <c r="I278" i="4"/>
  <c r="I279" i="4"/>
  <c r="I280" i="4"/>
  <c r="I262" i="4"/>
  <c r="Q264" i="4" s="1"/>
  <c r="G263" i="4" a="1"/>
  <c r="G263" i="4" s="1"/>
  <c r="G262" i="4" a="1"/>
  <c r="G262" i="4" s="1"/>
  <c r="O264" i="4" s="1"/>
  <c r="E215" i="4" a="1"/>
  <c r="E215" i="4" s="1"/>
  <c r="E214" i="4" a="1"/>
  <c r="E214" i="4" s="1"/>
  <c r="L215" i="4" s="1"/>
  <c r="L175" i="4"/>
  <c r="D177" i="4"/>
  <c r="Y104" i="4" s="1"/>
  <c r="D178" i="4"/>
  <c r="Y105" i="4" s="1"/>
  <c r="D179" i="4"/>
  <c r="Y106" i="4" s="1"/>
  <c r="D180" i="4"/>
  <c r="Y107" i="4" s="1"/>
  <c r="D181" i="4"/>
  <c r="Y108" i="4" s="1"/>
  <c r="D182" i="4"/>
  <c r="Y109" i="4" s="1"/>
  <c r="D183" i="4"/>
  <c r="Y110" i="4" s="1"/>
  <c r="D184" i="4"/>
  <c r="Y111" i="4" s="1"/>
  <c r="D185" i="4"/>
  <c r="Y112" i="4" s="1"/>
  <c r="D186" i="4"/>
  <c r="Y113" i="4" s="1"/>
  <c r="D187" i="4"/>
  <c r="Y114" i="4" s="1"/>
  <c r="D188" i="4"/>
  <c r="Y115" i="4" s="1"/>
  <c r="D189" i="4"/>
  <c r="Y116" i="4" s="1"/>
  <c r="D190" i="4"/>
  <c r="Y117" i="4" s="1"/>
  <c r="D191" i="4"/>
  <c r="Y118" i="4" s="1"/>
  <c r="D192" i="4"/>
  <c r="Y119" i="4" s="1"/>
  <c r="D193" i="4"/>
  <c r="Y120" i="4" s="1"/>
  <c r="D176" i="4"/>
  <c r="Y103" i="4" s="1"/>
  <c r="C264" i="4"/>
  <c r="E264" i="4" s="1"/>
  <c r="H263" i="4"/>
  <c r="E263" i="4"/>
  <c r="D263" i="4"/>
  <c r="H262" i="4"/>
  <c r="P264" i="4" s="1"/>
  <c r="E262" i="4"/>
  <c r="D262" i="4"/>
  <c r="F256" i="4"/>
  <c r="E256" i="4"/>
  <c r="E257" i="4" s="1"/>
  <c r="E258" i="4" s="1"/>
  <c r="D256" i="4"/>
  <c r="D257" i="4" s="1"/>
  <c r="D258" i="4" s="1"/>
  <c r="D251" i="4"/>
  <c r="E251" i="4" s="1"/>
  <c r="O265" i="4" s="1"/>
  <c r="D250" i="4"/>
  <c r="E250" i="4" s="1"/>
  <c r="P265" i="4" s="1"/>
  <c r="D249" i="4"/>
  <c r="E249" i="4" s="1"/>
  <c r="N265" i="4" s="1"/>
  <c r="D248" i="4"/>
  <c r="E248" i="4" s="1"/>
  <c r="Q265" i="4" s="1"/>
  <c r="D247" i="4"/>
  <c r="E247" i="4" s="1"/>
  <c r="R265" i="4" s="1"/>
  <c r="F232" i="4"/>
  <c r="D232" i="4"/>
  <c r="F231" i="4"/>
  <c r="D231" i="4"/>
  <c r="F230" i="4"/>
  <c r="D230" i="4"/>
  <c r="F229" i="4"/>
  <c r="D229" i="4"/>
  <c r="F228" i="4"/>
  <c r="D228" i="4"/>
  <c r="F227" i="4"/>
  <c r="D227" i="4"/>
  <c r="F226" i="4"/>
  <c r="D226" i="4"/>
  <c r="F225" i="4"/>
  <c r="D225" i="4"/>
  <c r="F224" i="4"/>
  <c r="D224" i="4"/>
  <c r="F223" i="4"/>
  <c r="D223" i="4"/>
  <c r="F222" i="4"/>
  <c r="D222" i="4"/>
  <c r="F221" i="4"/>
  <c r="D221" i="4"/>
  <c r="F220" i="4"/>
  <c r="D220" i="4"/>
  <c r="F219" i="4"/>
  <c r="D219" i="4"/>
  <c r="F218" i="4"/>
  <c r="D218" i="4"/>
  <c r="F217" i="4"/>
  <c r="D217" i="4"/>
  <c r="F216" i="4"/>
  <c r="D216" i="4"/>
  <c r="C216" i="4"/>
  <c r="E216" i="4" s="1" a="1"/>
  <c r="E216" i="4" s="1"/>
  <c r="N215" i="4"/>
  <c r="F215" i="4"/>
  <c r="D215" i="4"/>
  <c r="F214" i="4"/>
  <c r="M215" i="4" s="1"/>
  <c r="D214" i="4"/>
  <c r="K215" i="4" s="1"/>
  <c r="K209" i="4"/>
  <c r="D209" i="4"/>
  <c r="E209" i="4" s="1"/>
  <c r="L216" i="4" s="1"/>
  <c r="D208" i="4"/>
  <c r="E208" i="4" s="1"/>
  <c r="M216" i="4" s="1"/>
  <c r="D207" i="4"/>
  <c r="E207" i="4" s="1"/>
  <c r="K216" i="4" s="1"/>
  <c r="D206" i="4"/>
  <c r="E206" i="4" s="1"/>
  <c r="N216" i="4" s="1"/>
  <c r="D205" i="4"/>
  <c r="E205" i="4" s="1"/>
  <c r="O216" i="4" s="1"/>
  <c r="L176" i="4"/>
  <c r="C177" i="4"/>
  <c r="C178" i="4" s="1"/>
  <c r="C179" i="4" s="1"/>
  <c r="C180" i="4" s="1"/>
  <c r="C181" i="4" s="1"/>
  <c r="C182" i="4" s="1"/>
  <c r="C183" i="4" s="1"/>
  <c r="C184" i="4" s="1"/>
  <c r="C185" i="4" s="1"/>
  <c r="C186" i="4" s="1"/>
  <c r="C187" i="4" s="1"/>
  <c r="C188" i="4" s="1"/>
  <c r="C189" i="4" s="1"/>
  <c r="C190" i="4" s="1"/>
  <c r="C191" i="4" s="1"/>
  <c r="C192" i="4" s="1"/>
  <c r="C193" i="4" s="1"/>
  <c r="F168" i="4"/>
  <c r="F169" i="4" s="1"/>
  <c r="E168" i="4"/>
  <c r="E169" i="4" s="1"/>
  <c r="D168" i="4"/>
  <c r="D169" i="4" s="1"/>
  <c r="E167" i="4"/>
  <c r="L140" i="4"/>
  <c r="M140" i="4" s="1"/>
  <c r="C139" i="4"/>
  <c r="E139" i="4" s="1"/>
  <c r="X104" i="4" s="1"/>
  <c r="E138" i="4"/>
  <c r="X103" i="4" s="1"/>
  <c r="N105" i="4"/>
  <c r="C104" i="4"/>
  <c r="C105" i="4" s="1"/>
  <c r="E101" i="4"/>
  <c r="F101" i="4" s="1"/>
  <c r="G101" i="4" s="1"/>
  <c r="H101" i="4" s="1"/>
  <c r="I101" i="4" s="1"/>
  <c r="I97" i="4" a="1"/>
  <c r="I97" i="4" s="1"/>
  <c r="I98" i="4" s="1"/>
  <c r="H97" i="4" a="1"/>
  <c r="H97" i="4" s="1"/>
  <c r="H98" i="4" s="1"/>
  <c r="G97" i="4" a="1"/>
  <c r="G97" i="4" s="1"/>
  <c r="G98" i="4" s="1"/>
  <c r="G103" i="4" s="1"/>
  <c r="F97" i="4" a="1"/>
  <c r="F97" i="4" s="1"/>
  <c r="F98" i="4" s="1"/>
  <c r="E97" i="4" a="1"/>
  <c r="E97" i="4" s="1"/>
  <c r="E98" i="4" s="1"/>
  <c r="D97" i="4" a="1"/>
  <c r="D97" i="4" s="1"/>
  <c r="D98" i="4" s="1"/>
  <c r="L68" i="4"/>
  <c r="C67" i="4"/>
  <c r="C68" i="4" s="1"/>
  <c r="D66" i="4"/>
  <c r="F47" i="4"/>
  <c r="F46" i="4"/>
  <c r="K45" i="4"/>
  <c r="L45" i="4" s="1"/>
  <c r="F45" i="4"/>
  <c r="F44" i="4"/>
  <c r="F43" i="4"/>
  <c r="C43" i="4"/>
  <c r="C44" i="4" s="1"/>
  <c r="C45" i="4" s="1"/>
  <c r="C46" i="4" s="1"/>
  <c r="C47" i="4" s="1"/>
  <c r="F42" i="4"/>
  <c r="L38" i="4"/>
  <c r="K38" i="4"/>
  <c r="J38" i="4"/>
  <c r="I38" i="4"/>
  <c r="L33" i="4"/>
  <c r="K33" i="4"/>
  <c r="J33" i="4"/>
  <c r="I33" i="4"/>
  <c r="L28" i="4"/>
  <c r="K28" i="4"/>
  <c r="J28" i="4"/>
  <c r="I28" i="4"/>
  <c r="F24" i="4"/>
  <c r="F25" i="4" s="1"/>
  <c r="E24" i="4"/>
  <c r="E132" i="4" s="1"/>
  <c r="D24" i="4"/>
  <c r="D25" i="4" s="1"/>
  <c r="L23" i="4"/>
  <c r="K23" i="4"/>
  <c r="J23" i="4"/>
  <c r="I23" i="4"/>
  <c r="B13" i="4"/>
  <c r="T9" i="4"/>
  <c r="V8" i="4"/>
  <c r="V7" i="4"/>
  <c r="D103" i="3"/>
  <c r="D104" i="3"/>
  <c r="D105" i="3"/>
  <c r="D106" i="3"/>
  <c r="D107" i="3"/>
  <c r="D108" i="3"/>
  <c r="D109" i="3"/>
  <c r="D110" i="3"/>
  <c r="D111" i="3"/>
  <c r="D112" i="3"/>
  <c r="D113" i="3"/>
  <c r="D114" i="3"/>
  <c r="D115" i="3"/>
  <c r="D116" i="3"/>
  <c r="D117" i="3"/>
  <c r="D118" i="3"/>
  <c r="D119" i="3"/>
  <c r="D120" i="3"/>
  <c r="D102" i="3"/>
  <c r="AA102" i="2" l="1"/>
  <c r="L67" i="2"/>
  <c r="L177" i="4"/>
  <c r="D67" i="2"/>
  <c r="E67" i="2" s="1"/>
  <c r="AA104" i="2" s="1"/>
  <c r="G264" i="4" a="1"/>
  <c r="G264" i="4" s="1"/>
  <c r="L67" i="3"/>
  <c r="F266" i="3"/>
  <c r="J266" i="3" s="1"/>
  <c r="D267" i="3"/>
  <c r="F267" i="3" s="1"/>
  <c r="J267" i="3" s="1"/>
  <c r="E267" i="3"/>
  <c r="C268" i="3"/>
  <c r="V102" i="4"/>
  <c r="L67" i="4"/>
  <c r="L69" i="4" s="1"/>
  <c r="C172" i="4"/>
  <c r="D69" i="3"/>
  <c r="E69" i="3"/>
  <c r="V106" i="3" s="1"/>
  <c r="C70" i="3"/>
  <c r="D68" i="3"/>
  <c r="E68" i="3" s="1"/>
  <c r="V105" i="3" s="1"/>
  <c r="C69" i="2"/>
  <c r="D68" i="2"/>
  <c r="E68" i="2" s="1"/>
  <c r="AA105" i="2" s="1"/>
  <c r="C140" i="4"/>
  <c r="E140" i="4" s="1"/>
  <c r="X105" i="4" s="1"/>
  <c r="E66" i="4"/>
  <c r="V103" i="4" s="1"/>
  <c r="D132" i="4"/>
  <c r="P266" i="4"/>
  <c r="F262" i="4"/>
  <c r="J262" i="4" s="1"/>
  <c r="R264" i="4" s="1"/>
  <c r="R266" i="4" s="1"/>
  <c r="F263" i="4"/>
  <c r="J263" i="4" s="1"/>
  <c r="F132" i="4"/>
  <c r="E25" i="4"/>
  <c r="G256" i="4"/>
  <c r="M141" i="4"/>
  <c r="O266" i="4"/>
  <c r="K217" i="4"/>
  <c r="C106" i="4"/>
  <c r="H106" i="4" s="1"/>
  <c r="G105" i="4"/>
  <c r="F105" i="4"/>
  <c r="F104" i="4"/>
  <c r="F103" i="4"/>
  <c r="F102" i="4"/>
  <c r="D105" i="4"/>
  <c r="D102" i="4"/>
  <c r="D103" i="4"/>
  <c r="D104" i="4"/>
  <c r="D68" i="4"/>
  <c r="E68" i="4" s="1"/>
  <c r="V105" i="4" s="1"/>
  <c r="C69" i="4"/>
  <c r="I103" i="4"/>
  <c r="I102" i="4"/>
  <c r="I104" i="4"/>
  <c r="I105" i="4"/>
  <c r="E103" i="4"/>
  <c r="E105" i="4"/>
  <c r="E104" i="4"/>
  <c r="E102" i="4"/>
  <c r="H105" i="4"/>
  <c r="D67" i="4"/>
  <c r="F257" i="4"/>
  <c r="E67" i="4"/>
  <c r="V104" i="4" s="1"/>
  <c r="M217" i="4"/>
  <c r="L217" i="4"/>
  <c r="H102" i="4"/>
  <c r="G102" i="4"/>
  <c r="C217" i="4"/>
  <c r="E217" i="4" s="1" a="1"/>
  <c r="E217" i="4" s="1"/>
  <c r="H216" i="4"/>
  <c r="H264" i="4"/>
  <c r="C265" i="4"/>
  <c r="G265" i="4" s="1" a="1"/>
  <c r="G265" i="4" s="1"/>
  <c r="N217" i="4"/>
  <c r="H103" i="4"/>
  <c r="G104" i="4"/>
  <c r="H214" i="4"/>
  <c r="O215" i="4" s="1"/>
  <c r="O217" i="4" s="1"/>
  <c r="Q266" i="4"/>
  <c r="H104" i="4"/>
  <c r="H215" i="4"/>
  <c r="D264" i="4"/>
  <c r="F264" i="4" s="1"/>
  <c r="E102" i="3"/>
  <c r="C104" i="3"/>
  <c r="C105" i="3" s="1"/>
  <c r="C106" i="3" s="1"/>
  <c r="C107" i="3" s="1"/>
  <c r="C108" i="3" s="1"/>
  <c r="C109" i="3" s="1"/>
  <c r="C110" i="3" s="1"/>
  <c r="C111" i="3" s="1"/>
  <c r="C112" i="3" s="1"/>
  <c r="C113" i="3" s="1"/>
  <c r="C114" i="3" s="1"/>
  <c r="C115" i="3" s="1"/>
  <c r="C116" i="3" s="1"/>
  <c r="C117" i="3" s="1"/>
  <c r="C118" i="3" s="1"/>
  <c r="C119" i="3" s="1"/>
  <c r="C120" i="3" s="1"/>
  <c r="E120" i="3" s="1"/>
  <c r="W120" i="3" s="1"/>
  <c r="D97" i="3" a="1"/>
  <c r="D97" i="3" s="1"/>
  <c r="L68" i="3"/>
  <c r="K45" i="3"/>
  <c r="L38" i="3"/>
  <c r="K38" i="3"/>
  <c r="J38" i="3"/>
  <c r="I38" i="3"/>
  <c r="L33" i="3"/>
  <c r="K33" i="3"/>
  <c r="J33" i="3"/>
  <c r="I33" i="3"/>
  <c r="L28" i="3"/>
  <c r="K28" i="3"/>
  <c r="J28" i="3"/>
  <c r="I28" i="3"/>
  <c r="F24" i="3"/>
  <c r="F25" i="3" s="1"/>
  <c r="E24" i="3"/>
  <c r="E132" i="3" s="1"/>
  <c r="D24" i="3"/>
  <c r="D25" i="3" s="1"/>
  <c r="L23" i="3"/>
  <c r="K23" i="3"/>
  <c r="J23" i="3"/>
  <c r="I23" i="3"/>
  <c r="B13" i="3"/>
  <c r="T9" i="3"/>
  <c r="V8" i="3"/>
  <c r="V7" i="3" s="1"/>
  <c r="Q264" i="2"/>
  <c r="C264" i="2"/>
  <c r="D264" i="2" s="1"/>
  <c r="H263" i="2"/>
  <c r="G263" i="2" a="1"/>
  <c r="G263" i="2" s="1"/>
  <c r="F263" i="2"/>
  <c r="J263" i="2" s="1"/>
  <c r="E263" i="2"/>
  <c r="D263" i="2"/>
  <c r="H262" i="2"/>
  <c r="P264" i="2" s="1"/>
  <c r="G262" i="2" a="1"/>
  <c r="G262" i="2" s="1"/>
  <c r="O264" i="2" s="1"/>
  <c r="E262" i="2"/>
  <c r="D262" i="2"/>
  <c r="F257" i="2"/>
  <c r="D257" i="2"/>
  <c r="D258" i="2" s="1"/>
  <c r="F256" i="2"/>
  <c r="E256" i="2"/>
  <c r="E257" i="2" s="1"/>
  <c r="E258" i="2" s="1"/>
  <c r="D256" i="2"/>
  <c r="D251" i="2"/>
  <c r="E251" i="2" s="1"/>
  <c r="O265" i="2" s="1"/>
  <c r="E250" i="2"/>
  <c r="P265" i="2" s="1"/>
  <c r="D250" i="2"/>
  <c r="D249" i="2"/>
  <c r="E249" i="2" s="1"/>
  <c r="N265" i="2" s="1"/>
  <c r="D248" i="2"/>
  <c r="E248" i="2" s="1"/>
  <c r="Q265" i="2" s="1"/>
  <c r="D247" i="2"/>
  <c r="E247" i="2" s="1"/>
  <c r="R265" i="2" s="1"/>
  <c r="F232" i="2"/>
  <c r="D232" i="2"/>
  <c r="F231" i="2"/>
  <c r="D231" i="2"/>
  <c r="F230" i="2"/>
  <c r="D230" i="2"/>
  <c r="F229" i="2"/>
  <c r="D229" i="2"/>
  <c r="F228" i="2"/>
  <c r="D228" i="2"/>
  <c r="F227" i="2"/>
  <c r="D227" i="2"/>
  <c r="F226" i="2"/>
  <c r="D226" i="2"/>
  <c r="F225" i="2"/>
  <c r="D225" i="2"/>
  <c r="F224" i="2"/>
  <c r="D224" i="2"/>
  <c r="F223" i="2"/>
  <c r="D223" i="2"/>
  <c r="F222" i="2"/>
  <c r="D222" i="2"/>
  <c r="F221" i="2"/>
  <c r="D221" i="2"/>
  <c r="F220" i="2"/>
  <c r="D220" i="2"/>
  <c r="F219" i="2"/>
  <c r="D219" i="2"/>
  <c r="F218" i="2"/>
  <c r="D218" i="2"/>
  <c r="F217" i="2"/>
  <c r="D217" i="2"/>
  <c r="F216" i="2"/>
  <c r="D216" i="2"/>
  <c r="C216" i="2"/>
  <c r="N215" i="2"/>
  <c r="L215" i="2"/>
  <c r="F215" i="2"/>
  <c r="E215" i="2"/>
  <c r="E215" i="2" a="1"/>
  <c r="D215" i="2"/>
  <c r="F214" i="2"/>
  <c r="M215" i="2" s="1"/>
  <c r="E214" i="2" a="1"/>
  <c r="E214" i="2" s="1"/>
  <c r="D214" i="2"/>
  <c r="K215" i="2" s="1"/>
  <c r="K209" i="2"/>
  <c r="D209" i="2"/>
  <c r="E209" i="2" s="1"/>
  <c r="L216" i="2" s="1"/>
  <c r="D208" i="2"/>
  <c r="E208" i="2" s="1"/>
  <c r="M216" i="2" s="1"/>
  <c r="D207" i="2"/>
  <c r="E207" i="2" s="1"/>
  <c r="K216" i="2" s="1"/>
  <c r="D206" i="2"/>
  <c r="E206" i="2" s="1"/>
  <c r="N216" i="2" s="1"/>
  <c r="D205" i="2"/>
  <c r="E205" i="2" s="1"/>
  <c r="O216" i="2" s="1"/>
  <c r="D193" i="2"/>
  <c r="AD120" i="2" s="1"/>
  <c r="D192" i="2"/>
  <c r="AD119" i="2" s="1"/>
  <c r="D191" i="2"/>
  <c r="AD118" i="2" s="1"/>
  <c r="D190" i="2"/>
  <c r="AD117" i="2" s="1"/>
  <c r="D189" i="2"/>
  <c r="AD116" i="2" s="1"/>
  <c r="D188" i="2"/>
  <c r="AD115" i="2" s="1"/>
  <c r="D187" i="2"/>
  <c r="AD114" i="2" s="1"/>
  <c r="D186" i="2"/>
  <c r="AD113" i="2" s="1"/>
  <c r="D185" i="2"/>
  <c r="AD112" i="2" s="1"/>
  <c r="D184" i="2"/>
  <c r="AD111" i="2" s="1"/>
  <c r="D183" i="2"/>
  <c r="AD110" i="2" s="1"/>
  <c r="D182" i="2"/>
  <c r="AD109" i="2" s="1"/>
  <c r="D181" i="2"/>
  <c r="AD108" i="2" s="1"/>
  <c r="D180" i="2"/>
  <c r="AD107" i="2" s="1"/>
  <c r="D179" i="2"/>
  <c r="AD106" i="2" s="1"/>
  <c r="D178" i="2"/>
  <c r="AD105" i="2" s="1"/>
  <c r="L176" i="2"/>
  <c r="D177" i="2"/>
  <c r="AD104" i="2" s="1"/>
  <c r="C177" i="2"/>
  <c r="C178" i="2" s="1"/>
  <c r="C179" i="2" s="1"/>
  <c r="C180" i="2" s="1"/>
  <c r="C181" i="2" s="1"/>
  <c r="C182" i="2" s="1"/>
  <c r="C183" i="2" s="1"/>
  <c r="C184" i="2" s="1"/>
  <c r="C185" i="2" s="1"/>
  <c r="C186" i="2" s="1"/>
  <c r="C187" i="2" s="1"/>
  <c r="C188" i="2" s="1"/>
  <c r="C189" i="2" s="1"/>
  <c r="C190" i="2" s="1"/>
  <c r="C191" i="2" s="1"/>
  <c r="C192" i="2" s="1"/>
  <c r="C193" i="2" s="1"/>
  <c r="L175" i="2"/>
  <c r="L177" i="2" s="1"/>
  <c r="D176" i="2"/>
  <c r="AD103" i="2" s="1"/>
  <c r="F168" i="2"/>
  <c r="F169" i="2" s="1"/>
  <c r="C172" i="2" s="1"/>
  <c r="E168" i="2"/>
  <c r="E169" i="2" s="1"/>
  <c r="D168" i="2"/>
  <c r="D169" i="2" s="1"/>
  <c r="E167" i="2"/>
  <c r="L140" i="2"/>
  <c r="M140" i="2" s="1"/>
  <c r="M141" i="2"/>
  <c r="C139" i="2"/>
  <c r="C140" i="2" s="1"/>
  <c r="C141" i="2" s="1"/>
  <c r="E141" i="2" s="1"/>
  <c r="AC106" i="2" s="1"/>
  <c r="E138" i="2"/>
  <c r="AC103" i="2" s="1"/>
  <c r="F132" i="2"/>
  <c r="R105" i="2"/>
  <c r="C104" i="2"/>
  <c r="C105" i="2" s="1"/>
  <c r="C106" i="2" s="1"/>
  <c r="C107" i="2" s="1"/>
  <c r="C108" i="2" s="1"/>
  <c r="C109" i="2" s="1"/>
  <c r="C110" i="2" s="1"/>
  <c r="C111" i="2" s="1"/>
  <c r="C112" i="2" s="1"/>
  <c r="C113" i="2" s="1"/>
  <c r="C114" i="2" s="1"/>
  <c r="E101" i="2"/>
  <c r="F101" i="2" s="1"/>
  <c r="G101" i="2" s="1"/>
  <c r="H101" i="2" s="1"/>
  <c r="I101" i="2" s="1"/>
  <c r="J101" i="2" s="1"/>
  <c r="K101" i="2" s="1"/>
  <c r="L101" i="2" s="1"/>
  <c r="L97" i="2" a="1"/>
  <c r="L97" i="2" s="1"/>
  <c r="L98" i="2" s="1"/>
  <c r="K97" i="2" a="1"/>
  <c r="K97" i="2" s="1"/>
  <c r="K98" i="2" s="1"/>
  <c r="J97" i="2" a="1"/>
  <c r="J97" i="2" s="1"/>
  <c r="J98" i="2" s="1"/>
  <c r="I97" i="2" a="1"/>
  <c r="I97" i="2" s="1"/>
  <c r="I98" i="2" s="1"/>
  <c r="H97" i="2" a="1"/>
  <c r="H97" i="2" s="1"/>
  <c r="H98" i="2" s="1"/>
  <c r="H102" i="2" s="1"/>
  <c r="G97" i="2" a="1"/>
  <c r="G97" i="2" s="1"/>
  <c r="G98" i="2" s="1"/>
  <c r="F97" i="2" a="1"/>
  <c r="F97" i="2" s="1"/>
  <c r="F98" i="2" s="1"/>
  <c r="E97" i="2" a="1"/>
  <c r="E97" i="2" s="1"/>
  <c r="E98" i="2" s="1"/>
  <c r="D97" i="2" a="1"/>
  <c r="D97" i="2" s="1"/>
  <c r="D98" i="2" s="1"/>
  <c r="L69" i="2"/>
  <c r="L68" i="2"/>
  <c r="F50" i="2"/>
  <c r="F49" i="2"/>
  <c r="F48" i="2"/>
  <c r="F47" i="2"/>
  <c r="F46" i="2"/>
  <c r="K45" i="2"/>
  <c r="L45" i="2" s="1"/>
  <c r="F45" i="2"/>
  <c r="F44" i="2"/>
  <c r="F43" i="2"/>
  <c r="C43" i="2"/>
  <c r="C44" i="2" s="1"/>
  <c r="C45" i="2" s="1"/>
  <c r="C46" i="2" s="1"/>
  <c r="C47" i="2" s="1"/>
  <c r="C48" i="2" s="1"/>
  <c r="C49" i="2" s="1"/>
  <c r="C50" i="2" s="1"/>
  <c r="F42" i="2"/>
  <c r="L38" i="2"/>
  <c r="K38" i="2"/>
  <c r="J38" i="2"/>
  <c r="I38" i="2"/>
  <c r="L33" i="2"/>
  <c r="K33" i="2"/>
  <c r="J33" i="2"/>
  <c r="I33" i="2"/>
  <c r="L28" i="2"/>
  <c r="K28" i="2"/>
  <c r="J28" i="2"/>
  <c r="I28" i="2"/>
  <c r="F24" i="2"/>
  <c r="F25" i="2" s="1"/>
  <c r="E24" i="2"/>
  <c r="D24" i="2"/>
  <c r="L23" i="2"/>
  <c r="K23" i="2"/>
  <c r="J23" i="2"/>
  <c r="I23" i="2"/>
  <c r="B13" i="2"/>
  <c r="T9" i="2"/>
  <c r="V8" i="2"/>
  <c r="V7" i="2" s="1"/>
  <c r="F262" i="2" l="1"/>
  <c r="N264" i="2" s="1"/>
  <c r="N266" i="2" s="1"/>
  <c r="Z105" i="3"/>
  <c r="W102" i="3"/>
  <c r="Z102" i="3" s="1"/>
  <c r="AE106" i="3" s="1"/>
  <c r="AE108" i="3" s="1"/>
  <c r="M104" i="3"/>
  <c r="M106" i="3" s="1"/>
  <c r="D106" i="4"/>
  <c r="E140" i="2"/>
  <c r="AC105" i="2" s="1"/>
  <c r="O266" i="2"/>
  <c r="P266" i="2"/>
  <c r="N217" i="2"/>
  <c r="N264" i="4"/>
  <c r="N266" i="4" s="1"/>
  <c r="C269" i="3"/>
  <c r="D268" i="3"/>
  <c r="E268" i="3"/>
  <c r="I106" i="4"/>
  <c r="F106" i="4"/>
  <c r="D139" i="4"/>
  <c r="D137" i="4"/>
  <c r="D138" i="4"/>
  <c r="E139" i="2"/>
  <c r="AC104" i="2" s="1"/>
  <c r="D140" i="4"/>
  <c r="C141" i="4"/>
  <c r="D141" i="4" s="1"/>
  <c r="D70" i="3"/>
  <c r="E70" i="3" s="1"/>
  <c r="V107" i="3" s="1"/>
  <c r="Z107" i="3" s="1"/>
  <c r="C71" i="3"/>
  <c r="G105" i="2"/>
  <c r="G106" i="2"/>
  <c r="C70" i="2"/>
  <c r="D69" i="2"/>
  <c r="E69" i="2" s="1"/>
  <c r="AA106" i="2" s="1"/>
  <c r="D109" i="2"/>
  <c r="D102" i="2"/>
  <c r="D105" i="2"/>
  <c r="D104" i="2"/>
  <c r="H110" i="2"/>
  <c r="H111" i="2"/>
  <c r="D111" i="2"/>
  <c r="J105" i="4"/>
  <c r="W105" i="4" s="1"/>
  <c r="Z105" i="4" s="1"/>
  <c r="H16" i="5" s="1"/>
  <c r="J104" i="4"/>
  <c r="W104" i="4" s="1"/>
  <c r="Z104" i="4" s="1"/>
  <c r="H15" i="5" s="1"/>
  <c r="J103" i="4"/>
  <c r="W103" i="4" s="1"/>
  <c r="Z103" i="4" s="1"/>
  <c r="H14" i="5" s="1"/>
  <c r="J102" i="4"/>
  <c r="W102" i="4" s="1"/>
  <c r="Z102" i="4" s="1"/>
  <c r="J264" i="4"/>
  <c r="G257" i="4"/>
  <c r="F258" i="4"/>
  <c r="G258" i="4" s="1"/>
  <c r="J254" i="4" s="1"/>
  <c r="D265" i="4"/>
  <c r="E265" i="4"/>
  <c r="C266" i="4"/>
  <c r="G266" i="4" s="1" a="1"/>
  <c r="G266" i="4" s="1"/>
  <c r="H265" i="4"/>
  <c r="E106" i="4"/>
  <c r="H217" i="4"/>
  <c r="C218" i="4"/>
  <c r="E218" i="4" s="1" a="1"/>
  <c r="E218" i="4" s="1"/>
  <c r="C70" i="4"/>
  <c r="D69" i="4"/>
  <c r="E69" i="4" s="1"/>
  <c r="V106" i="4" s="1"/>
  <c r="G106" i="4"/>
  <c r="C107" i="4"/>
  <c r="E25" i="3"/>
  <c r="D132" i="3"/>
  <c r="E113" i="3"/>
  <c r="W113" i="3" s="1"/>
  <c r="E108" i="3"/>
  <c r="W108" i="3" s="1"/>
  <c r="E107" i="3"/>
  <c r="W107" i="3" s="1"/>
  <c r="E111" i="3"/>
  <c r="W111" i="3" s="1"/>
  <c r="E110" i="3"/>
  <c r="W110" i="3" s="1"/>
  <c r="E106" i="3"/>
  <c r="W106" i="3" s="1"/>
  <c r="Z106" i="3" s="1"/>
  <c r="E117" i="3"/>
  <c r="W117" i="3" s="1"/>
  <c r="E112" i="3"/>
  <c r="W112" i="3" s="1"/>
  <c r="E104" i="3"/>
  <c r="W104" i="3" s="1"/>
  <c r="Z104" i="3" s="1"/>
  <c r="E116" i="3"/>
  <c r="W116" i="3" s="1"/>
  <c r="E103" i="3"/>
  <c r="W103" i="3" s="1"/>
  <c r="Z103" i="3" s="1"/>
  <c r="E109" i="3"/>
  <c r="W109" i="3" s="1"/>
  <c r="E115" i="3"/>
  <c r="W115" i="3" s="1"/>
  <c r="E119" i="3"/>
  <c r="W119" i="3" s="1"/>
  <c r="E118" i="3"/>
  <c r="W118" i="3" s="1"/>
  <c r="E105" i="3"/>
  <c r="W105" i="3" s="1"/>
  <c r="E114" i="3"/>
  <c r="W114" i="3" s="1"/>
  <c r="L69" i="3"/>
  <c r="F132" i="3"/>
  <c r="K108" i="2"/>
  <c r="K113" i="2"/>
  <c r="K105" i="2"/>
  <c r="K114" i="2"/>
  <c r="K112" i="2"/>
  <c r="K103" i="2"/>
  <c r="K111" i="2"/>
  <c r="K109" i="2"/>
  <c r="K107" i="2"/>
  <c r="K110" i="2"/>
  <c r="K104" i="2"/>
  <c r="K102" i="2"/>
  <c r="K106" i="2"/>
  <c r="J111" i="2"/>
  <c r="J106" i="2"/>
  <c r="J104" i="2"/>
  <c r="J108" i="2"/>
  <c r="J113" i="2"/>
  <c r="J112" i="2"/>
  <c r="J102" i="2"/>
  <c r="J110" i="2"/>
  <c r="J105" i="2"/>
  <c r="J109" i="2"/>
  <c r="J103" i="2"/>
  <c r="J114" i="2"/>
  <c r="J107" i="2"/>
  <c r="I114" i="2"/>
  <c r="I111" i="2"/>
  <c r="I106" i="2"/>
  <c r="I104" i="2"/>
  <c r="I103" i="2"/>
  <c r="I102" i="2"/>
  <c r="I108" i="2"/>
  <c r="I113" i="2"/>
  <c r="I110" i="2"/>
  <c r="I112" i="2"/>
  <c r="I109" i="2"/>
  <c r="I105" i="2"/>
  <c r="I107" i="2"/>
  <c r="E110" i="2"/>
  <c r="E103" i="2"/>
  <c r="E107" i="2"/>
  <c r="E105" i="2"/>
  <c r="E114" i="2"/>
  <c r="E112" i="2"/>
  <c r="E106" i="2"/>
  <c r="E111" i="2"/>
  <c r="E109" i="2"/>
  <c r="E102" i="2"/>
  <c r="E108" i="2"/>
  <c r="E104" i="2"/>
  <c r="E113" i="2"/>
  <c r="F107" i="2"/>
  <c r="F105" i="2"/>
  <c r="F112" i="2"/>
  <c r="F102" i="2"/>
  <c r="F113" i="2"/>
  <c r="F111" i="2"/>
  <c r="F109" i="2"/>
  <c r="F114" i="2"/>
  <c r="F104" i="2"/>
  <c r="F108" i="2"/>
  <c r="F110" i="2"/>
  <c r="F106" i="2"/>
  <c r="F103" i="2"/>
  <c r="L113" i="2"/>
  <c r="L110" i="2"/>
  <c r="L103" i="2"/>
  <c r="L102" i="2"/>
  <c r="L114" i="2"/>
  <c r="L112" i="2"/>
  <c r="L111" i="2"/>
  <c r="L109" i="2"/>
  <c r="L107" i="2"/>
  <c r="L106" i="2"/>
  <c r="L105" i="2"/>
  <c r="L104" i="2"/>
  <c r="L108" i="2"/>
  <c r="D114" i="2"/>
  <c r="C115" i="2"/>
  <c r="C116" i="2" s="1"/>
  <c r="L116" i="2" s="1"/>
  <c r="G111" i="2"/>
  <c r="G114" i="2"/>
  <c r="M217" i="2"/>
  <c r="G104" i="2"/>
  <c r="H103" i="2"/>
  <c r="D112" i="2"/>
  <c r="C142" i="2"/>
  <c r="G256" i="2"/>
  <c r="J262" i="2"/>
  <c r="R264" i="2" s="1"/>
  <c r="R266" i="2" s="1"/>
  <c r="D25" i="2"/>
  <c r="D132" i="2"/>
  <c r="D137" i="2" s="1"/>
  <c r="L139" i="2" s="1"/>
  <c r="D113" i="2"/>
  <c r="D110" i="2"/>
  <c r="D103" i="2"/>
  <c r="D108" i="2"/>
  <c r="H112" i="2"/>
  <c r="G112" i="2"/>
  <c r="G102" i="2"/>
  <c r="G109" i="2"/>
  <c r="G110" i="2"/>
  <c r="G108" i="2"/>
  <c r="G113" i="2"/>
  <c r="D141" i="2"/>
  <c r="H214" i="2"/>
  <c r="O215" i="2" s="1"/>
  <c r="O217" i="2" s="1"/>
  <c r="H113" i="2"/>
  <c r="E132" i="2"/>
  <c r="E25" i="2"/>
  <c r="D107" i="2"/>
  <c r="H109" i="2"/>
  <c r="H114" i="2"/>
  <c r="H107" i="2"/>
  <c r="H106" i="2"/>
  <c r="H105" i="2"/>
  <c r="H104" i="2"/>
  <c r="G103" i="2"/>
  <c r="H108" i="2"/>
  <c r="D106" i="2"/>
  <c r="G107" i="2"/>
  <c r="K217" i="2"/>
  <c r="G257" i="2"/>
  <c r="F258" i="2"/>
  <c r="G258" i="2" s="1"/>
  <c r="J254" i="2" s="1"/>
  <c r="H264" i="2"/>
  <c r="C265" i="2"/>
  <c r="E264" i="2"/>
  <c r="F264" i="2" s="1"/>
  <c r="L217" i="2"/>
  <c r="G264" i="2" a="1"/>
  <c r="G264" i="2" s="1"/>
  <c r="Q266" i="2"/>
  <c r="H215" i="2"/>
  <c r="C217" i="2"/>
  <c r="E216" i="2" a="1"/>
  <c r="E216" i="2" s="1"/>
  <c r="H216" i="2" s="1"/>
  <c r="AE106" i="4" l="1"/>
  <c r="AE108" i="4" s="1"/>
  <c r="H13" i="5"/>
  <c r="D140" i="2"/>
  <c r="J106" i="4"/>
  <c r="W106" i="4" s="1"/>
  <c r="Z106" i="4" s="1"/>
  <c r="H17" i="5" s="1"/>
  <c r="J264" i="2"/>
  <c r="C142" i="4"/>
  <c r="C143" i="4" s="1"/>
  <c r="L139" i="4"/>
  <c r="L141" i="4" s="1"/>
  <c r="AF106" i="4"/>
  <c r="AF108" i="4" s="1"/>
  <c r="D139" i="2"/>
  <c r="E141" i="4"/>
  <c r="X106" i="4" s="1"/>
  <c r="F268" i="3"/>
  <c r="J268" i="3" s="1"/>
  <c r="D269" i="3"/>
  <c r="C270" i="3"/>
  <c r="E269" i="3"/>
  <c r="C72" i="3"/>
  <c r="D71" i="3"/>
  <c r="E71" i="3" s="1"/>
  <c r="V108" i="3" s="1"/>
  <c r="Z108" i="3" s="1"/>
  <c r="M109" i="2"/>
  <c r="AB109" i="2" s="1"/>
  <c r="D70" i="2"/>
  <c r="E70" i="2" s="1"/>
  <c r="AA107" i="2" s="1"/>
  <c r="C71" i="2"/>
  <c r="M111" i="2"/>
  <c r="AB111" i="2" s="1"/>
  <c r="M107" i="2"/>
  <c r="AB107" i="2" s="1"/>
  <c r="M103" i="2"/>
  <c r="AB103" i="2" s="1"/>
  <c r="AE103" i="2" s="1"/>
  <c r="F14" i="5" s="1"/>
  <c r="I14" i="5" s="1"/>
  <c r="M114" i="2"/>
  <c r="AB114" i="2" s="1"/>
  <c r="M110" i="2"/>
  <c r="AB110" i="2" s="1"/>
  <c r="M104" i="2"/>
  <c r="AB104" i="2" s="1"/>
  <c r="AE104" i="2" s="1"/>
  <c r="F15" i="5" s="1"/>
  <c r="I15" i="5" s="1"/>
  <c r="M105" i="2"/>
  <c r="AB105" i="2" s="1"/>
  <c r="AE105" i="2" s="1"/>
  <c r="F16" i="5" s="1"/>
  <c r="I16" i="5" s="1"/>
  <c r="D70" i="4"/>
  <c r="C71" i="4"/>
  <c r="E70" i="4"/>
  <c r="V107" i="4" s="1"/>
  <c r="C219" i="4"/>
  <c r="E219" i="4" s="1" a="1"/>
  <c r="E219" i="4" s="1"/>
  <c r="H218" i="4"/>
  <c r="C108" i="4"/>
  <c r="G107" i="4"/>
  <c r="D107" i="4"/>
  <c r="E107" i="4"/>
  <c r="H107" i="4"/>
  <c r="F107" i="4"/>
  <c r="I107" i="4"/>
  <c r="C267" i="4"/>
  <c r="G267" i="4" s="1" a="1"/>
  <c r="G267" i="4" s="1"/>
  <c r="H266" i="4"/>
  <c r="E266" i="4"/>
  <c r="D266" i="4"/>
  <c r="F266" i="4" s="1"/>
  <c r="F265" i="4"/>
  <c r="J265" i="4" s="1"/>
  <c r="G116" i="2"/>
  <c r="F115" i="2"/>
  <c r="K115" i="2"/>
  <c r="J115" i="2"/>
  <c r="C218" i="2"/>
  <c r="E217" i="2" a="1"/>
  <c r="E217" i="2" s="1"/>
  <c r="H217" i="2" s="1"/>
  <c r="H115" i="2"/>
  <c r="E142" i="2"/>
  <c r="AC107" i="2" s="1"/>
  <c r="D142" i="2"/>
  <c r="C143" i="2"/>
  <c r="I115" i="2"/>
  <c r="M106" i="2"/>
  <c r="AB106" i="2" s="1"/>
  <c r="AE106" i="2" s="1"/>
  <c r="F17" i="5" s="1"/>
  <c r="M112" i="2"/>
  <c r="AB112" i="2" s="1"/>
  <c r="L115" i="2"/>
  <c r="C117" i="2"/>
  <c r="D116" i="2"/>
  <c r="E115" i="2"/>
  <c r="D265" i="2"/>
  <c r="C266" i="2"/>
  <c r="E265" i="2"/>
  <c r="G265" i="2" a="1"/>
  <c r="G265" i="2" s="1"/>
  <c r="H265" i="2"/>
  <c r="M113" i="2"/>
  <c r="AB113" i="2" s="1"/>
  <c r="F116" i="2"/>
  <c r="M108" i="2"/>
  <c r="AB108" i="2" s="1"/>
  <c r="D115" i="2"/>
  <c r="K116" i="2"/>
  <c r="L141" i="2"/>
  <c r="D138" i="2"/>
  <c r="H116" i="2"/>
  <c r="G115" i="2"/>
  <c r="M102" i="2"/>
  <c r="E116" i="2"/>
  <c r="I116" i="2"/>
  <c r="J116" i="2"/>
  <c r="I17" i="5" l="1"/>
  <c r="AE107" i="2"/>
  <c r="F18" i="5" s="1"/>
  <c r="E142" i="4"/>
  <c r="X107" i="4" s="1"/>
  <c r="R104" i="2"/>
  <c r="R106" i="2" s="1"/>
  <c r="AB102" i="2"/>
  <c r="D142" i="4"/>
  <c r="C271" i="3"/>
  <c r="D270" i="3"/>
  <c r="E270" i="3"/>
  <c r="F269" i="3"/>
  <c r="J269" i="3" s="1"/>
  <c r="D72" i="3"/>
  <c r="E72" i="3"/>
  <c r="V109" i="3" s="1"/>
  <c r="Z109" i="3" s="1"/>
  <c r="C73" i="3"/>
  <c r="C72" i="2"/>
  <c r="D71" i="2"/>
  <c r="E71" i="2" s="1"/>
  <c r="AA108" i="2" s="1"/>
  <c r="AE108" i="2" s="1"/>
  <c r="F19" i="5" s="1"/>
  <c r="J107" i="4"/>
  <c r="W107" i="4" s="1"/>
  <c r="Z107" i="4" s="1"/>
  <c r="H18" i="5" s="1"/>
  <c r="J266" i="4"/>
  <c r="C220" i="4"/>
  <c r="E220" i="4" s="1" a="1"/>
  <c r="E220" i="4" s="1"/>
  <c r="H219" i="4"/>
  <c r="D71" i="4"/>
  <c r="C72" i="4"/>
  <c r="E71" i="4"/>
  <c r="V108" i="4" s="1"/>
  <c r="H267" i="4"/>
  <c r="C268" i="4"/>
  <c r="G268" i="4" s="1" a="1"/>
  <c r="G268" i="4" s="1"/>
  <c r="D267" i="4"/>
  <c r="E267" i="4"/>
  <c r="C109" i="4"/>
  <c r="G108" i="4"/>
  <c r="F108" i="4"/>
  <c r="E108" i="4"/>
  <c r="H108" i="4"/>
  <c r="I108" i="4"/>
  <c r="D108" i="4"/>
  <c r="E143" i="4"/>
  <c r="X108" i="4" s="1"/>
  <c r="D143" i="4"/>
  <c r="C144" i="4"/>
  <c r="C118" i="2"/>
  <c r="I117" i="2"/>
  <c r="F117" i="2"/>
  <c r="D117" i="2"/>
  <c r="H117" i="2"/>
  <c r="L117" i="2"/>
  <c r="G117" i="2"/>
  <c r="E117" i="2"/>
  <c r="J117" i="2"/>
  <c r="K117" i="2"/>
  <c r="M116" i="2"/>
  <c r="AB116" i="2" s="1"/>
  <c r="C219" i="2"/>
  <c r="E218" i="2" a="1"/>
  <c r="E218" i="2" s="1"/>
  <c r="H218" i="2" s="1"/>
  <c r="F265" i="2"/>
  <c r="J265" i="2" s="1"/>
  <c r="E143" i="2"/>
  <c r="AC108" i="2" s="1"/>
  <c r="D143" i="2"/>
  <c r="C144" i="2"/>
  <c r="M115" i="2"/>
  <c r="AB115" i="2" s="1"/>
  <c r="G266" i="2" a="1"/>
  <c r="G266" i="2" s="1"/>
  <c r="C267" i="2"/>
  <c r="E266" i="2"/>
  <c r="D266" i="2"/>
  <c r="H266" i="2"/>
  <c r="I18" i="5" l="1"/>
  <c r="AE102" i="2"/>
  <c r="AK106" i="2"/>
  <c r="AK108" i="2" s="1"/>
  <c r="F270" i="3"/>
  <c r="J270" i="3" s="1"/>
  <c r="D271" i="3"/>
  <c r="E271" i="3"/>
  <c r="C272" i="3"/>
  <c r="D73" i="3"/>
  <c r="E73" i="3" s="1"/>
  <c r="V110" i="3" s="1"/>
  <c r="Z110" i="3" s="1"/>
  <c r="C74" i="3"/>
  <c r="D72" i="2"/>
  <c r="E72" i="2"/>
  <c r="AA109" i="2" s="1"/>
  <c r="AE109" i="2" s="1"/>
  <c r="F20" i="5" s="1"/>
  <c r="C73" i="2"/>
  <c r="J108" i="4"/>
  <c r="W108" i="4" s="1"/>
  <c r="Z108" i="4" s="1"/>
  <c r="H19" i="5" s="1"/>
  <c r="I19" i="5" s="1"/>
  <c r="F267" i="4"/>
  <c r="J267" i="4" s="1"/>
  <c r="E144" i="4"/>
  <c r="X109" i="4" s="1"/>
  <c r="D144" i="4"/>
  <c r="C145" i="4"/>
  <c r="H268" i="4"/>
  <c r="C269" i="4"/>
  <c r="G269" i="4" s="1" a="1"/>
  <c r="G269" i="4" s="1"/>
  <c r="E268" i="4"/>
  <c r="D268" i="4"/>
  <c r="G109" i="4"/>
  <c r="C110" i="4"/>
  <c r="F109" i="4"/>
  <c r="D109" i="4"/>
  <c r="I109" i="4"/>
  <c r="H109" i="4"/>
  <c r="E109" i="4"/>
  <c r="C73" i="4"/>
  <c r="D72" i="4"/>
  <c r="E72" i="4" s="1"/>
  <c r="V109" i="4" s="1"/>
  <c r="H220" i="4"/>
  <c r="C221" i="4"/>
  <c r="E221" i="4" s="1" a="1"/>
  <c r="E221" i="4" s="1"/>
  <c r="H267" i="2"/>
  <c r="C268" i="2"/>
  <c r="G267" i="2" a="1"/>
  <c r="G267" i="2" s="1"/>
  <c r="E267" i="2"/>
  <c r="D267" i="2"/>
  <c r="F267" i="2" s="1"/>
  <c r="J267" i="2" s="1"/>
  <c r="D144" i="2"/>
  <c r="C145" i="2"/>
  <c r="E144" i="2"/>
  <c r="AC109" i="2" s="1"/>
  <c r="C220" i="2"/>
  <c r="E219" i="2" a="1"/>
  <c r="E219" i="2" s="1"/>
  <c r="H219" i="2" s="1"/>
  <c r="M117" i="2"/>
  <c r="AB117" i="2" s="1"/>
  <c r="F266" i="2"/>
  <c r="J266" i="2" s="1"/>
  <c r="C119" i="2"/>
  <c r="E118" i="2"/>
  <c r="G118" i="2"/>
  <c r="H118" i="2"/>
  <c r="J118" i="2"/>
  <c r="F118" i="2"/>
  <c r="L118" i="2"/>
  <c r="K118" i="2"/>
  <c r="D118" i="2"/>
  <c r="I118" i="2"/>
  <c r="AJ106" i="2" l="1"/>
  <c r="AJ108" i="2" s="1"/>
  <c r="F13" i="5"/>
  <c r="I13" i="5" s="1"/>
  <c r="C273" i="3"/>
  <c r="D272" i="3"/>
  <c r="E272" i="3"/>
  <c r="F271" i="3"/>
  <c r="J271" i="3" s="1"/>
  <c r="D74" i="3"/>
  <c r="E74" i="3"/>
  <c r="V111" i="3" s="1"/>
  <c r="Z111" i="3" s="1"/>
  <c r="C75" i="3"/>
  <c r="D73" i="2"/>
  <c r="E73" i="2"/>
  <c r="AA110" i="2" s="1"/>
  <c r="C74" i="2"/>
  <c r="M118" i="2"/>
  <c r="AB118" i="2" s="1"/>
  <c r="J109" i="4"/>
  <c r="W109" i="4" s="1"/>
  <c r="Z109" i="4" s="1"/>
  <c r="H20" i="5" s="1"/>
  <c r="I20" i="5" s="1"/>
  <c r="F268" i="4"/>
  <c r="J268" i="4"/>
  <c r="D73" i="4"/>
  <c r="E73" i="4" s="1"/>
  <c r="V110" i="4" s="1"/>
  <c r="C74" i="4"/>
  <c r="H269" i="4"/>
  <c r="C270" i="4"/>
  <c r="G270" i="4" s="1" a="1"/>
  <c r="G270" i="4" s="1"/>
  <c r="E269" i="4"/>
  <c r="D269" i="4"/>
  <c r="F269" i="4" s="1"/>
  <c r="C146" i="4"/>
  <c r="D145" i="4"/>
  <c r="E145" i="4"/>
  <c r="X110" i="4" s="1"/>
  <c r="G110" i="4"/>
  <c r="C111" i="4"/>
  <c r="D110" i="4"/>
  <c r="I110" i="4"/>
  <c r="E110" i="4"/>
  <c r="F110" i="4"/>
  <c r="H110" i="4"/>
  <c r="H221" i="4"/>
  <c r="C222" i="4"/>
  <c r="E222" i="4" s="1" a="1"/>
  <c r="E222" i="4" s="1"/>
  <c r="C120" i="2"/>
  <c r="I119" i="2"/>
  <c r="G119" i="2"/>
  <c r="H119" i="2"/>
  <c r="L119" i="2"/>
  <c r="F119" i="2"/>
  <c r="J119" i="2"/>
  <c r="E119" i="2"/>
  <c r="K119" i="2"/>
  <c r="D119" i="2"/>
  <c r="H268" i="2"/>
  <c r="C269" i="2"/>
  <c r="D268" i="2"/>
  <c r="E268" i="2"/>
  <c r="G268" i="2" a="1"/>
  <c r="G268" i="2" s="1"/>
  <c r="C221" i="2"/>
  <c r="E220" i="2" a="1"/>
  <c r="E220" i="2" s="1"/>
  <c r="H220" i="2" s="1"/>
  <c r="C146" i="2"/>
  <c r="D145" i="2"/>
  <c r="E145" i="2"/>
  <c r="AC110" i="2" s="1"/>
  <c r="AE110" i="2" l="1"/>
  <c r="F21" i="5" s="1"/>
  <c r="F272" i="3"/>
  <c r="J272" i="3" s="1"/>
  <c r="E273" i="3"/>
  <c r="C274" i="3"/>
  <c r="D273" i="3"/>
  <c r="D75" i="3"/>
  <c r="E75" i="3" s="1"/>
  <c r="V112" i="3" s="1"/>
  <c r="Z112" i="3" s="1"/>
  <c r="C76" i="3"/>
  <c r="D74" i="2"/>
  <c r="E74" i="2" s="1"/>
  <c r="AA111" i="2" s="1"/>
  <c r="C75" i="2"/>
  <c r="J110" i="4"/>
  <c r="W110" i="4" s="1"/>
  <c r="Z110" i="4" s="1"/>
  <c r="H21" i="5" s="1"/>
  <c r="J269" i="4"/>
  <c r="C223" i="4"/>
  <c r="E223" i="4" s="1" a="1"/>
  <c r="E223" i="4" s="1"/>
  <c r="H222" i="4"/>
  <c r="H270" i="4"/>
  <c r="C271" i="4"/>
  <c r="G271" i="4" s="1" a="1"/>
  <c r="G271" i="4" s="1"/>
  <c r="E270" i="4"/>
  <c r="D270" i="4"/>
  <c r="F270" i="4" s="1"/>
  <c r="D74" i="4"/>
  <c r="E74" i="4" s="1"/>
  <c r="V111" i="4" s="1"/>
  <c r="C75" i="4"/>
  <c r="D146" i="4"/>
  <c r="E146" i="4"/>
  <c r="X111" i="4" s="1"/>
  <c r="C147" i="4"/>
  <c r="C112" i="4"/>
  <c r="I111" i="4"/>
  <c r="H111" i="4"/>
  <c r="E111" i="4"/>
  <c r="D111" i="4"/>
  <c r="G111" i="4"/>
  <c r="F111" i="4"/>
  <c r="F268" i="2"/>
  <c r="J268" i="2" s="1"/>
  <c r="E221" i="2" a="1"/>
  <c r="E221" i="2" s="1"/>
  <c r="H221" i="2" s="1"/>
  <c r="C222" i="2"/>
  <c r="H269" i="2"/>
  <c r="C270" i="2"/>
  <c r="G269" i="2" a="1"/>
  <c r="G269" i="2" s="1"/>
  <c r="E269" i="2"/>
  <c r="D269" i="2"/>
  <c r="D146" i="2"/>
  <c r="C147" i="2"/>
  <c r="E146" i="2"/>
  <c r="AC111" i="2" s="1"/>
  <c r="M119" i="2"/>
  <c r="AB119" i="2" s="1"/>
  <c r="K120" i="2"/>
  <c r="J120" i="2"/>
  <c r="F120" i="2"/>
  <c r="L120" i="2"/>
  <c r="E120" i="2"/>
  <c r="D120" i="2"/>
  <c r="H120" i="2"/>
  <c r="I120" i="2"/>
  <c r="G120" i="2"/>
  <c r="I21" i="5" l="1"/>
  <c r="AE111" i="2"/>
  <c r="F22" i="5" s="1"/>
  <c r="F273" i="3"/>
  <c r="J273" i="3" s="1"/>
  <c r="D274" i="3"/>
  <c r="C275" i="3"/>
  <c r="E274" i="3"/>
  <c r="C77" i="3"/>
  <c r="D76" i="3"/>
  <c r="E76" i="3" s="1"/>
  <c r="V113" i="3" s="1"/>
  <c r="Z113" i="3" s="1"/>
  <c r="D75" i="2"/>
  <c r="C76" i="2"/>
  <c r="E75" i="2"/>
  <c r="AA112" i="2" s="1"/>
  <c r="J111" i="4"/>
  <c r="W111" i="4" s="1"/>
  <c r="Z111" i="4" s="1"/>
  <c r="H22" i="5" s="1"/>
  <c r="C113" i="4"/>
  <c r="H112" i="4"/>
  <c r="F112" i="4"/>
  <c r="G112" i="4"/>
  <c r="I112" i="4"/>
  <c r="E112" i="4"/>
  <c r="D112" i="4"/>
  <c r="J270" i="4"/>
  <c r="E147" i="4"/>
  <c r="X112" i="4" s="1"/>
  <c r="C148" i="4"/>
  <c r="D147" i="4"/>
  <c r="H271" i="4"/>
  <c r="C272" i="4"/>
  <c r="G272" i="4" s="1" a="1"/>
  <c r="G272" i="4" s="1"/>
  <c r="E271" i="4"/>
  <c r="D271" i="4"/>
  <c r="D75" i="4"/>
  <c r="E75" i="4"/>
  <c r="V112" i="4" s="1"/>
  <c r="C76" i="4"/>
  <c r="C224" i="4"/>
  <c r="E224" i="4" s="1" a="1"/>
  <c r="E224" i="4" s="1"/>
  <c r="H223" i="4"/>
  <c r="H270" i="2"/>
  <c r="C271" i="2"/>
  <c r="G270" i="2" a="1"/>
  <c r="G270" i="2" s="1"/>
  <c r="D270" i="2"/>
  <c r="E270" i="2"/>
  <c r="M120" i="2"/>
  <c r="AB120" i="2" s="1"/>
  <c r="E147" i="2"/>
  <c r="AC112" i="2" s="1"/>
  <c r="D147" i="2"/>
  <c r="C148" i="2"/>
  <c r="F269" i="2"/>
  <c r="J269" i="2" s="1"/>
  <c r="C223" i="2"/>
  <c r="E222" i="2" a="1"/>
  <c r="E222" i="2" s="1"/>
  <c r="H222" i="2" s="1"/>
  <c r="I22" i="5" l="1"/>
  <c r="J112" i="4"/>
  <c r="W112" i="4" s="1"/>
  <c r="Z112" i="4" s="1"/>
  <c r="H23" i="5" s="1"/>
  <c r="AE112" i="2"/>
  <c r="F23" i="5" s="1"/>
  <c r="I23" i="5" s="1"/>
  <c r="D275" i="3"/>
  <c r="E275" i="3"/>
  <c r="C276" i="3"/>
  <c r="F274" i="3"/>
  <c r="J274" i="3" s="1"/>
  <c r="D77" i="3"/>
  <c r="E77" i="3" s="1"/>
  <c r="V114" i="3" s="1"/>
  <c r="Z114" i="3" s="1"/>
  <c r="C78" i="3"/>
  <c r="C77" i="2"/>
  <c r="D76" i="2"/>
  <c r="E76" i="2"/>
  <c r="AA113" i="2" s="1"/>
  <c r="H272" i="4"/>
  <c r="C273" i="4"/>
  <c r="G273" i="4" s="1" a="1"/>
  <c r="G273" i="4" s="1"/>
  <c r="E272" i="4"/>
  <c r="D272" i="4"/>
  <c r="F272" i="4" s="1"/>
  <c r="C114" i="4"/>
  <c r="G113" i="4"/>
  <c r="I113" i="4"/>
  <c r="E113" i="4"/>
  <c r="D113" i="4"/>
  <c r="F113" i="4"/>
  <c r="H113" i="4"/>
  <c r="H224" i="4"/>
  <c r="C225" i="4"/>
  <c r="E225" i="4" s="1" a="1"/>
  <c r="E225" i="4" s="1"/>
  <c r="C77" i="4"/>
  <c r="D76" i="4"/>
  <c r="E76" i="4" s="1"/>
  <c r="V113" i="4" s="1"/>
  <c r="C149" i="4"/>
  <c r="E148" i="4"/>
  <c r="X113" i="4" s="1"/>
  <c r="D148" i="4"/>
  <c r="F271" i="4"/>
  <c r="J271" i="4" s="1"/>
  <c r="C224" i="2"/>
  <c r="E223" i="2" a="1"/>
  <c r="E223" i="2" s="1"/>
  <c r="H223" i="2" s="1"/>
  <c r="F270" i="2"/>
  <c r="J270" i="2" s="1"/>
  <c r="H271" i="2"/>
  <c r="C272" i="2"/>
  <c r="G271" i="2" a="1"/>
  <c r="G271" i="2" s="1"/>
  <c r="E271" i="2"/>
  <c r="D271" i="2"/>
  <c r="F271" i="2" s="1"/>
  <c r="C149" i="2"/>
  <c r="E148" i="2"/>
  <c r="AC113" i="2" s="1"/>
  <c r="D148" i="2"/>
  <c r="AE113" i="2" l="1"/>
  <c r="F24" i="5" s="1"/>
  <c r="C277" i="3"/>
  <c r="D276" i="3"/>
  <c r="E276" i="3"/>
  <c r="F275" i="3"/>
  <c r="J275" i="3" s="1"/>
  <c r="D78" i="3"/>
  <c r="E78" i="3" s="1"/>
  <c r="V115" i="3" s="1"/>
  <c r="Z115" i="3" s="1"/>
  <c r="C79" i="3"/>
  <c r="D77" i="2"/>
  <c r="E77" i="2" s="1"/>
  <c r="AA114" i="2" s="1"/>
  <c r="AE114" i="2" s="1"/>
  <c r="F25" i="5" s="1"/>
  <c r="C78" i="2"/>
  <c r="J113" i="4"/>
  <c r="W113" i="4" s="1"/>
  <c r="Z113" i="4" s="1"/>
  <c r="H24" i="5" s="1"/>
  <c r="J272" i="4"/>
  <c r="C78" i="4"/>
  <c r="D77" i="4"/>
  <c r="E77" i="4" s="1"/>
  <c r="V114" i="4" s="1"/>
  <c r="G114" i="4"/>
  <c r="C115" i="4"/>
  <c r="D114" i="4"/>
  <c r="F114" i="4"/>
  <c r="H114" i="4"/>
  <c r="E114" i="4"/>
  <c r="I114" i="4"/>
  <c r="E149" i="4"/>
  <c r="X114" i="4" s="1"/>
  <c r="D149" i="4"/>
  <c r="C150" i="4"/>
  <c r="H225" i="4"/>
  <c r="C226" i="4"/>
  <c r="E226" i="4" s="1" a="1"/>
  <c r="E226" i="4" s="1"/>
  <c r="H273" i="4"/>
  <c r="C274" i="4"/>
  <c r="G274" i="4" s="1" a="1"/>
  <c r="G274" i="4" s="1"/>
  <c r="E273" i="4"/>
  <c r="D273" i="4"/>
  <c r="H272" i="2"/>
  <c r="C273" i="2"/>
  <c r="D272" i="2"/>
  <c r="E272" i="2"/>
  <c r="G272" i="2" a="1"/>
  <c r="G272" i="2" s="1"/>
  <c r="D149" i="2"/>
  <c r="C150" i="2"/>
  <c r="E149" i="2"/>
  <c r="AC114" i="2" s="1"/>
  <c r="J271" i="2"/>
  <c r="E224" i="2" a="1"/>
  <c r="E224" i="2" s="1"/>
  <c r="H224" i="2" s="1"/>
  <c r="C225" i="2"/>
  <c r="I24" i="5" l="1"/>
  <c r="D277" i="3"/>
  <c r="E277" i="3"/>
  <c r="C278" i="3"/>
  <c r="F276" i="3"/>
  <c r="J276" i="3" s="1"/>
  <c r="F273" i="4"/>
  <c r="J273" i="4" s="1"/>
  <c r="C80" i="3"/>
  <c r="D79" i="3"/>
  <c r="E79" i="3" s="1"/>
  <c r="V116" i="3" s="1"/>
  <c r="Z116" i="3" s="1"/>
  <c r="D78" i="2"/>
  <c r="E78" i="2"/>
  <c r="AA115" i="2" s="1"/>
  <c r="AE115" i="2" s="1"/>
  <c r="F26" i="5" s="1"/>
  <c r="C79" i="2"/>
  <c r="J114" i="4"/>
  <c r="W114" i="4" s="1"/>
  <c r="Z114" i="4" s="1"/>
  <c r="H25" i="5" s="1"/>
  <c r="I25" i="5" s="1"/>
  <c r="C116" i="4"/>
  <c r="G115" i="4"/>
  <c r="E115" i="4"/>
  <c r="I115" i="4"/>
  <c r="F115" i="4"/>
  <c r="D115" i="4"/>
  <c r="H115" i="4"/>
  <c r="D78" i="4"/>
  <c r="E78" i="4" s="1"/>
  <c r="V115" i="4" s="1"/>
  <c r="C79" i="4"/>
  <c r="H274" i="4"/>
  <c r="C275" i="4"/>
  <c r="G275" i="4" s="1" a="1"/>
  <c r="G275" i="4" s="1"/>
  <c r="E274" i="4"/>
  <c r="D274" i="4"/>
  <c r="C227" i="4"/>
  <c r="E227" i="4" s="1" a="1"/>
  <c r="E227" i="4" s="1"/>
  <c r="H226" i="4"/>
  <c r="D150" i="4"/>
  <c r="C151" i="4"/>
  <c r="E150" i="4"/>
  <c r="X115" i="4" s="1"/>
  <c r="E225" i="2" a="1"/>
  <c r="E225" i="2" s="1"/>
  <c r="H225" i="2" s="1"/>
  <c r="C226" i="2"/>
  <c r="F272" i="2"/>
  <c r="J272" i="2" s="1"/>
  <c r="C151" i="2"/>
  <c r="E150" i="2"/>
  <c r="AC115" i="2" s="1"/>
  <c r="D150" i="2"/>
  <c r="H273" i="2"/>
  <c r="C274" i="2"/>
  <c r="G273" i="2" a="1"/>
  <c r="G273" i="2" s="1"/>
  <c r="E273" i="2"/>
  <c r="D273" i="2"/>
  <c r="F273" i="2" s="1"/>
  <c r="J273" i="2" s="1"/>
  <c r="C279" i="3" l="1"/>
  <c r="D278" i="3"/>
  <c r="E278" i="3"/>
  <c r="F277" i="3"/>
  <c r="J277" i="3" s="1"/>
  <c r="J115" i="4"/>
  <c r="W115" i="4" s="1"/>
  <c r="Z115" i="4" s="1"/>
  <c r="H26" i="5" s="1"/>
  <c r="I26" i="5" s="1"/>
  <c r="D80" i="3"/>
  <c r="E80" i="3" s="1"/>
  <c r="V117" i="3" s="1"/>
  <c r="Z117" i="3" s="1"/>
  <c r="C81" i="3"/>
  <c r="C80" i="2"/>
  <c r="D79" i="2"/>
  <c r="E79" i="2" s="1"/>
  <c r="AA116" i="2" s="1"/>
  <c r="F274" i="4"/>
  <c r="C80" i="4"/>
  <c r="D79" i="4"/>
  <c r="E79" i="4" s="1"/>
  <c r="V116" i="4" s="1"/>
  <c r="E151" i="4"/>
  <c r="X116" i="4" s="1"/>
  <c r="C152" i="4"/>
  <c r="D151" i="4"/>
  <c r="C228" i="4"/>
  <c r="E228" i="4" s="1" a="1"/>
  <c r="E228" i="4" s="1"/>
  <c r="H227" i="4"/>
  <c r="J274" i="4"/>
  <c r="C117" i="4"/>
  <c r="I116" i="4"/>
  <c r="E116" i="4"/>
  <c r="G116" i="4"/>
  <c r="D116" i="4"/>
  <c r="H116" i="4"/>
  <c r="F116" i="4"/>
  <c r="H275" i="4"/>
  <c r="C276" i="4"/>
  <c r="G276" i="4" s="1" a="1"/>
  <c r="G276" i="4" s="1"/>
  <c r="D275" i="4"/>
  <c r="E275" i="4"/>
  <c r="E151" i="2"/>
  <c r="AC116" i="2" s="1"/>
  <c r="D151" i="2"/>
  <c r="C152" i="2"/>
  <c r="H274" i="2"/>
  <c r="C275" i="2"/>
  <c r="E274" i="2"/>
  <c r="D274" i="2"/>
  <c r="F274" i="2" s="1"/>
  <c r="J274" i="2" s="1"/>
  <c r="G274" i="2" a="1"/>
  <c r="G274" i="2" s="1"/>
  <c r="C227" i="2"/>
  <c r="E226" i="2" a="1"/>
  <c r="E226" i="2" s="1"/>
  <c r="H226" i="2" s="1"/>
  <c r="AE116" i="2" l="1"/>
  <c r="F27" i="5" s="1"/>
  <c r="F278" i="3"/>
  <c r="J278" i="3" s="1"/>
  <c r="C280" i="3"/>
  <c r="D279" i="3"/>
  <c r="E279" i="3"/>
  <c r="D81" i="3"/>
  <c r="E81" i="3"/>
  <c r="V118" i="3" s="1"/>
  <c r="Z118" i="3" s="1"/>
  <c r="C82" i="3"/>
  <c r="D80" i="2"/>
  <c r="C81" i="2"/>
  <c r="E80" i="2"/>
  <c r="AA117" i="2" s="1"/>
  <c r="J116" i="4"/>
  <c r="W116" i="4" s="1"/>
  <c r="Z116" i="4" s="1"/>
  <c r="H27" i="5" s="1"/>
  <c r="F275" i="4"/>
  <c r="J275" i="4" s="1"/>
  <c r="H228" i="4"/>
  <c r="C229" i="4"/>
  <c r="E229" i="4" s="1" a="1"/>
  <c r="E229" i="4" s="1"/>
  <c r="H276" i="4"/>
  <c r="C277" i="4"/>
  <c r="G277" i="4" s="1" a="1"/>
  <c r="G277" i="4" s="1"/>
  <c r="E276" i="4"/>
  <c r="D276" i="4"/>
  <c r="E152" i="4"/>
  <c r="X117" i="4" s="1"/>
  <c r="D152" i="4"/>
  <c r="C153" i="4"/>
  <c r="C118" i="4"/>
  <c r="D117" i="4"/>
  <c r="F117" i="4"/>
  <c r="H117" i="4"/>
  <c r="I117" i="4"/>
  <c r="E117" i="4"/>
  <c r="G117" i="4"/>
  <c r="D80" i="4"/>
  <c r="E80" i="4" s="1"/>
  <c r="V117" i="4" s="1"/>
  <c r="C81" i="4"/>
  <c r="C228" i="2"/>
  <c r="E227" i="2" a="1"/>
  <c r="E227" i="2" s="1"/>
  <c r="H227" i="2" s="1"/>
  <c r="H275" i="2"/>
  <c r="C276" i="2"/>
  <c r="G275" i="2" a="1"/>
  <c r="G275" i="2" s="1"/>
  <c r="E275" i="2"/>
  <c r="D275" i="2"/>
  <c r="E152" i="2"/>
  <c r="AC117" i="2" s="1"/>
  <c r="C153" i="2"/>
  <c r="D152" i="2"/>
  <c r="I27" i="5" l="1"/>
  <c r="AE117" i="2"/>
  <c r="F28" i="5" s="1"/>
  <c r="F275" i="2"/>
  <c r="J275" i="2" s="1"/>
  <c r="F279" i="3"/>
  <c r="J279" i="3" s="1"/>
  <c r="D280" i="3"/>
  <c r="E280" i="3"/>
  <c r="D82" i="3"/>
  <c r="E82" i="3"/>
  <c r="V119" i="3" s="1"/>
  <c r="Z119" i="3" s="1"/>
  <c r="C83" i="3"/>
  <c r="D81" i="2"/>
  <c r="E81" i="2"/>
  <c r="AA118" i="2" s="1"/>
  <c r="C82" i="2"/>
  <c r="J117" i="4"/>
  <c r="W117" i="4" s="1"/>
  <c r="Z117" i="4" s="1"/>
  <c r="H28" i="5" s="1"/>
  <c r="F276" i="4"/>
  <c r="J276" i="4" s="1"/>
  <c r="C119" i="4"/>
  <c r="G118" i="4"/>
  <c r="H118" i="4"/>
  <c r="I118" i="4"/>
  <c r="D118" i="4"/>
  <c r="E118" i="4"/>
  <c r="F118" i="4"/>
  <c r="E153" i="4"/>
  <c r="X118" i="4" s="1"/>
  <c r="C154" i="4"/>
  <c r="D153" i="4"/>
  <c r="H229" i="4"/>
  <c r="C230" i="4"/>
  <c r="E230" i="4" s="1" a="1"/>
  <c r="E230" i="4" s="1"/>
  <c r="H277" i="4"/>
  <c r="C278" i="4"/>
  <c r="G278" i="4" s="1" a="1"/>
  <c r="G278" i="4" s="1"/>
  <c r="E277" i="4"/>
  <c r="D277" i="4"/>
  <c r="F277" i="4" s="1"/>
  <c r="C82" i="4"/>
  <c r="D81" i="4"/>
  <c r="E81" i="4"/>
  <c r="V118" i="4" s="1"/>
  <c r="C154" i="2"/>
  <c r="E153" i="2"/>
  <c r="AC118" i="2" s="1"/>
  <c r="D153" i="2"/>
  <c r="H276" i="2"/>
  <c r="C277" i="2"/>
  <c r="G276" i="2" a="1"/>
  <c r="G276" i="2" s="1"/>
  <c r="E276" i="2"/>
  <c r="D276" i="2"/>
  <c r="C229" i="2"/>
  <c r="E228" i="2" a="1"/>
  <c r="E228" i="2" s="1"/>
  <c r="H228" i="2" s="1"/>
  <c r="I28" i="5" l="1"/>
  <c r="AE118" i="2"/>
  <c r="F29" i="5" s="1"/>
  <c r="Z118" i="4"/>
  <c r="H29" i="5" s="1"/>
  <c r="F280" i="3"/>
  <c r="J280" i="3" s="1"/>
  <c r="D83" i="3"/>
  <c r="E83" i="3"/>
  <c r="V120" i="3" s="1"/>
  <c r="Z120" i="3" s="1"/>
  <c r="D82" i="2"/>
  <c r="E82" i="2"/>
  <c r="AA119" i="2" s="1"/>
  <c r="AE119" i="2" s="1"/>
  <c r="F30" i="5" s="1"/>
  <c r="C83" i="2"/>
  <c r="J118" i="4"/>
  <c r="W118" i="4" s="1"/>
  <c r="C231" i="4"/>
  <c r="E231" i="4" s="1" a="1"/>
  <c r="E231" i="4" s="1"/>
  <c r="H230" i="4"/>
  <c r="C83" i="4"/>
  <c r="D82" i="4"/>
  <c r="E82" i="4" s="1"/>
  <c r="V119" i="4" s="1"/>
  <c r="J277" i="4"/>
  <c r="D154" i="4"/>
  <c r="E154" i="4"/>
  <c r="X119" i="4" s="1"/>
  <c r="C155" i="4"/>
  <c r="H278" i="4"/>
  <c r="C279" i="4"/>
  <c r="G279" i="4" s="1" a="1"/>
  <c r="G279" i="4" s="1"/>
  <c r="E278" i="4"/>
  <c r="D278" i="4"/>
  <c r="F278" i="4" s="1"/>
  <c r="G119" i="4"/>
  <c r="C120" i="4"/>
  <c r="H119" i="4"/>
  <c r="I119" i="4"/>
  <c r="F119" i="4"/>
  <c r="E119" i="4"/>
  <c r="D119" i="4"/>
  <c r="H277" i="2"/>
  <c r="C278" i="2"/>
  <c r="D277" i="2"/>
  <c r="G277" i="2" a="1"/>
  <c r="G277" i="2" s="1"/>
  <c r="E277" i="2"/>
  <c r="D154" i="2"/>
  <c r="C155" i="2"/>
  <c r="E154" i="2"/>
  <c r="AC119" i="2" s="1"/>
  <c r="F276" i="2"/>
  <c r="J276" i="2" s="1"/>
  <c r="E229" i="2" a="1"/>
  <c r="E229" i="2" s="1"/>
  <c r="H229" i="2" s="1"/>
  <c r="C230" i="2"/>
  <c r="I29" i="5" l="1"/>
  <c r="D83" i="2"/>
  <c r="E83" i="2" s="1"/>
  <c r="AA120" i="2" s="1"/>
  <c r="AE120" i="2" s="1"/>
  <c r="F31" i="5" s="1"/>
  <c r="J119" i="4"/>
  <c r="W119" i="4" s="1"/>
  <c r="Z119" i="4" s="1"/>
  <c r="H30" i="5" s="1"/>
  <c r="I30" i="5" s="1"/>
  <c r="D83" i="4"/>
  <c r="E83" i="4" s="1"/>
  <c r="V120" i="4" s="1"/>
  <c r="E155" i="4"/>
  <c r="X120" i="4" s="1"/>
  <c r="D155" i="4"/>
  <c r="J278" i="4"/>
  <c r="H279" i="4"/>
  <c r="C280" i="4"/>
  <c r="G280" i="4" s="1" a="1"/>
  <c r="G280" i="4" s="1"/>
  <c r="E279" i="4"/>
  <c r="D279" i="4"/>
  <c r="D120" i="4"/>
  <c r="G120" i="4"/>
  <c r="F120" i="4"/>
  <c r="I120" i="4"/>
  <c r="E120" i="4"/>
  <c r="H120" i="4"/>
  <c r="C232" i="4"/>
  <c r="H231" i="4"/>
  <c r="E155" i="2"/>
  <c r="AC120" i="2" s="1"/>
  <c r="D155" i="2"/>
  <c r="C231" i="2"/>
  <c r="E230" i="2" a="1"/>
  <c r="E230" i="2" s="1"/>
  <c r="H230" i="2" s="1"/>
  <c r="F277" i="2"/>
  <c r="J277" i="2" s="1"/>
  <c r="H278" i="2"/>
  <c r="C279" i="2"/>
  <c r="G278" i="2" a="1"/>
  <c r="G278" i="2" s="1"/>
  <c r="E278" i="2"/>
  <c r="D278" i="2"/>
  <c r="F278" i="2" s="1"/>
  <c r="J278" i="2" l="1"/>
  <c r="E232" i="4" a="1"/>
  <c r="E232" i="4" s="1"/>
  <c r="H232" i="4" s="1"/>
  <c r="J120" i="4"/>
  <c r="W120" i="4" s="1"/>
  <c r="Z120" i="4" s="1"/>
  <c r="H31" i="5" s="1"/>
  <c r="I31" i="5" s="1"/>
  <c r="F279" i="4"/>
  <c r="H280" i="4"/>
  <c r="E280" i="4"/>
  <c r="D280" i="4"/>
  <c r="F280" i="4" s="1"/>
  <c r="J279" i="4"/>
  <c r="C232" i="2"/>
  <c r="E232" i="2" s="1" a="1"/>
  <c r="E232" i="2" s="1"/>
  <c r="H232" i="2" s="1"/>
  <c r="E231" i="2" a="1"/>
  <c r="E231" i="2" s="1"/>
  <c r="H231" i="2" s="1"/>
  <c r="H279" i="2"/>
  <c r="C280" i="2"/>
  <c r="G279" i="2" a="1"/>
  <c r="G279" i="2" s="1"/>
  <c r="E279" i="2"/>
  <c r="D279" i="2"/>
  <c r="F279" i="2" s="1"/>
  <c r="J279" i="2" s="1"/>
  <c r="J280" i="4" l="1"/>
  <c r="H280" i="2"/>
  <c r="G280" i="2" a="1"/>
  <c r="G280" i="2" s="1"/>
  <c r="E280" i="2"/>
  <c r="D280" i="2"/>
  <c r="F280" i="2" l="1"/>
  <c r="J280" i="2" s="1"/>
  <c r="N104" i="4"/>
  <c r="N106"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<sst xmlns="http://schemas.openxmlformats.org/spreadsheetml/2006/main" count="803" uniqueCount="155">
  <si>
    <t>TABLE OF CONSTANTS</t>
  </si>
  <si>
    <t>TABLE OF CONVERSIONS (ENERGY)</t>
  </si>
  <si>
    <t>TABLE OF CONVERSIONS (DISTANCE)</t>
  </si>
  <si>
    <t>TABLE OF CONVERSIONS (MASS)</t>
  </si>
  <si>
    <r>
      <rPr>
        <b/>
        <sz val="14"/>
        <color theme="1"/>
        <rFont val="Aptos Narrow"/>
        <scheme val="minor"/>
      </rPr>
      <t>N</t>
    </r>
    <r>
      <rPr>
        <b/>
        <vertAlign val="subscript"/>
        <sz val="14"/>
        <color theme="1"/>
        <rFont val="Aptos Narrow"/>
        <scheme val="minor"/>
      </rPr>
      <t>avo</t>
    </r>
    <r>
      <rPr>
        <b/>
        <sz val="14"/>
        <color theme="1"/>
        <rFont val="Aptos Narrow"/>
        <scheme val="minor"/>
      </rPr>
      <t xml:space="preserve"> </t>
    </r>
    <r>
      <rPr>
        <sz val="14"/>
        <color theme="1"/>
        <rFont val="Aptos Narrow"/>
        <scheme val="minor"/>
      </rPr>
      <t>[ mol</t>
    </r>
    <r>
      <rPr>
        <vertAlign val="superscript"/>
        <sz val="14"/>
        <color theme="1"/>
        <rFont val="Aptos Narrow"/>
        <scheme val="minor"/>
      </rPr>
      <t>-1</t>
    </r>
    <r>
      <rPr>
        <sz val="14"/>
        <color theme="1"/>
        <rFont val="Aptos Narrow (Corpo)"/>
      </rPr>
      <t xml:space="preserve"> ]</t>
    </r>
  </si>
  <si>
    <t xml:space="preserve">                      out
in</t>
  </si>
  <si>
    <t>hartree</t>
  </si>
  <si>
    <t>eV</t>
  </si>
  <si>
    <r>
      <t>cm</t>
    </r>
    <r>
      <rPr>
        <b/>
        <vertAlign val="superscript"/>
        <sz val="14"/>
        <color theme="1"/>
        <rFont val="Aptos Narrow"/>
        <scheme val="minor"/>
      </rPr>
      <t>-1</t>
    </r>
  </si>
  <si>
    <t>kcal/mol</t>
  </si>
  <si>
    <t>kJ/mol</t>
  </si>
  <si>
    <r>
      <t>o</t>
    </r>
    <r>
      <rPr>
        <b/>
        <sz val="14"/>
        <color theme="1"/>
        <rFont val="Aptos Narrow"/>
        <scheme val="minor"/>
      </rPr>
      <t>K</t>
    </r>
  </si>
  <si>
    <t>J</t>
  </si>
  <si>
    <t>Hz</t>
  </si>
  <si>
    <t xml:space="preserve">                   out
in</t>
  </si>
  <si>
    <t>a0</t>
  </si>
  <si>
    <t>angstrom</t>
  </si>
  <si>
    <t>m</t>
  </si>
  <si>
    <r>
      <t>m</t>
    </r>
    <r>
      <rPr>
        <b/>
        <vertAlign val="subscript"/>
        <sz val="14"/>
        <color theme="1"/>
        <rFont val="Aptos Narrow (Body)"/>
      </rPr>
      <t>e</t>
    </r>
  </si>
  <si>
    <t>kg</t>
  </si>
  <si>
    <t>u</t>
  </si>
  <si>
    <r>
      <rPr>
        <b/>
        <sz val="14"/>
        <color theme="1"/>
        <rFont val="Aptos Narrow"/>
        <scheme val="minor"/>
      </rPr>
      <t>R</t>
    </r>
    <r>
      <rPr>
        <sz val="14"/>
        <color theme="1"/>
        <rFont val="Aptos Narrow"/>
        <scheme val="minor"/>
      </rPr>
      <t xml:space="preserve"> [ J mol</t>
    </r>
    <r>
      <rPr>
        <vertAlign val="superscript"/>
        <sz val="14"/>
        <color theme="1"/>
        <rFont val="Aptos Narrow"/>
        <scheme val="minor"/>
      </rPr>
      <t xml:space="preserve">-1 </t>
    </r>
    <r>
      <rPr>
        <sz val="14"/>
        <color theme="1"/>
        <rFont val="Aptos Narrow"/>
        <scheme val="minor"/>
      </rPr>
      <t xml:space="preserve">K </t>
    </r>
    <r>
      <rPr>
        <vertAlign val="superscript"/>
        <sz val="14"/>
        <color theme="1"/>
        <rFont val="Aptos Narrow"/>
        <scheme val="minor"/>
      </rPr>
      <t>-1</t>
    </r>
    <r>
      <rPr>
        <sz val="14"/>
        <color theme="1"/>
        <rFont val="Aptos Narrow (Corpo)"/>
      </rPr>
      <t xml:space="preserve"> ]</t>
    </r>
  </si>
  <si>
    <r>
      <rPr>
        <b/>
        <sz val="14"/>
        <color rgb="FF202122"/>
        <rFont val="Aptos Narrow"/>
        <scheme val="minor"/>
      </rPr>
      <t>k</t>
    </r>
    <r>
      <rPr>
        <b/>
        <vertAlign val="subscript"/>
        <sz val="14"/>
        <color rgb="FF202122"/>
        <rFont val="Aptos Narrow"/>
        <scheme val="minor"/>
      </rPr>
      <t>b</t>
    </r>
    <r>
      <rPr>
        <vertAlign val="subscript"/>
        <sz val="14"/>
        <color rgb="FF202122"/>
        <rFont val="Aptos Narrow"/>
        <scheme val="minor"/>
      </rPr>
      <t xml:space="preserve"> </t>
    </r>
    <r>
      <rPr>
        <sz val="14"/>
        <color rgb="FF202122"/>
        <rFont val="Aptos Narrow (Corpo)"/>
      </rPr>
      <t xml:space="preserve">[ </t>
    </r>
    <r>
      <rPr>
        <sz val="14"/>
        <color rgb="FF202122"/>
        <rFont val="Aptos Narrow"/>
        <scheme val="minor"/>
      </rPr>
      <t>J K</t>
    </r>
    <r>
      <rPr>
        <vertAlign val="superscript"/>
        <sz val="14"/>
        <color rgb="FF202122"/>
        <rFont val="Aptos Narrow"/>
        <scheme val="minor"/>
      </rPr>
      <t>-1</t>
    </r>
    <r>
      <rPr>
        <sz val="14"/>
        <color rgb="FF202122"/>
        <rFont val="Aptos Narrow (Corpo)"/>
      </rPr>
      <t xml:space="preserve"> ]</t>
    </r>
  </si>
  <si>
    <r>
      <rPr>
        <b/>
        <sz val="14"/>
        <color theme="1"/>
        <rFont val="Aptos Narrow"/>
        <scheme val="minor"/>
      </rPr>
      <t>e</t>
    </r>
    <r>
      <rPr>
        <sz val="14"/>
        <color theme="1"/>
        <rFont val="Aptos Narrow"/>
        <scheme val="minor"/>
      </rPr>
      <t xml:space="preserve"> [ C ]</t>
    </r>
  </si>
  <si>
    <r>
      <rPr>
        <b/>
        <sz val="14"/>
        <color theme="1"/>
        <rFont val="Aptos Narrow"/>
        <scheme val="minor"/>
      </rPr>
      <t>m</t>
    </r>
    <r>
      <rPr>
        <b/>
        <vertAlign val="subscript"/>
        <sz val="14"/>
        <color theme="1"/>
        <rFont val="Aptos Narrow (Corpo)"/>
      </rPr>
      <t xml:space="preserve">e </t>
    </r>
    <r>
      <rPr>
        <sz val="14"/>
        <color theme="1"/>
        <rFont val="Aptos Narrow"/>
        <scheme val="minor"/>
      </rPr>
      <t>[ kg ]</t>
    </r>
  </si>
  <si>
    <r>
      <rPr>
        <b/>
        <sz val="14"/>
        <color theme="1"/>
        <rFont val="Aptos Narrow"/>
        <scheme val="minor"/>
      </rPr>
      <t>eps</t>
    </r>
    <r>
      <rPr>
        <b/>
        <vertAlign val="subscript"/>
        <sz val="14"/>
        <color theme="1"/>
        <rFont val="Aptos Narrow (Corpo)"/>
      </rPr>
      <t>0</t>
    </r>
    <r>
      <rPr>
        <sz val="14"/>
        <color theme="1"/>
        <rFont val="Aptos Narrow"/>
        <scheme val="minor"/>
      </rPr>
      <t xml:space="preserve"> [ F m</t>
    </r>
    <r>
      <rPr>
        <vertAlign val="superscript"/>
        <sz val="14"/>
        <color theme="1"/>
        <rFont val="Aptos Narrow (Body)"/>
      </rPr>
      <t>-1</t>
    </r>
    <r>
      <rPr>
        <sz val="14"/>
        <color theme="1"/>
        <rFont val="Aptos Narrow"/>
        <scheme val="minor"/>
      </rPr>
      <t>]</t>
    </r>
  </si>
  <si>
    <r>
      <rPr>
        <b/>
        <sz val="14"/>
        <color theme="1"/>
        <rFont val="Aptos Narrow"/>
        <scheme val="minor"/>
      </rPr>
      <t>a</t>
    </r>
    <r>
      <rPr>
        <b/>
        <vertAlign val="subscript"/>
        <sz val="14"/>
        <color theme="1"/>
        <rFont val="Aptos Narrow (Corpo)"/>
      </rPr>
      <t>0</t>
    </r>
    <r>
      <rPr>
        <sz val="14"/>
        <color theme="1"/>
        <rFont val="Aptos Narrow"/>
        <scheme val="minor"/>
      </rPr>
      <t xml:space="preserve"> [ m ]</t>
    </r>
  </si>
  <si>
    <r>
      <rPr>
        <b/>
        <sz val="14"/>
        <color theme="1"/>
        <rFont val="Aptos Narrow"/>
        <scheme val="minor"/>
      </rPr>
      <t>Tamb</t>
    </r>
    <r>
      <rPr>
        <sz val="14"/>
        <color theme="1"/>
        <rFont val="Aptos Narrow"/>
        <scheme val="minor"/>
      </rPr>
      <t xml:space="preserve"> [ K ]</t>
    </r>
  </si>
  <si>
    <r>
      <rPr>
        <b/>
        <sz val="14"/>
        <color theme="1"/>
        <rFont val="Aptos Narrow"/>
        <scheme val="minor"/>
      </rPr>
      <t>h</t>
    </r>
    <r>
      <rPr>
        <sz val="14"/>
        <color theme="1"/>
        <rFont val="Aptos Narrow"/>
        <scheme val="minor"/>
      </rPr>
      <t xml:space="preserve"> [ J s ]</t>
    </r>
  </si>
  <si>
    <r>
      <rPr>
        <b/>
        <sz val="14"/>
        <color theme="1"/>
        <rFont val="Aptos Narrow"/>
        <scheme val="minor"/>
      </rPr>
      <t xml:space="preserve">P </t>
    </r>
    <r>
      <rPr>
        <sz val="14"/>
        <color theme="1"/>
        <rFont val="Aptos Narrow"/>
        <scheme val="minor"/>
      </rPr>
      <t>[ atm ]</t>
    </r>
  </si>
  <si>
    <r>
      <rPr>
        <b/>
        <sz val="14"/>
        <color theme="1"/>
        <rFont val="Aptos Narrow"/>
        <scheme val="minor"/>
      </rPr>
      <t xml:space="preserve">P </t>
    </r>
    <r>
      <rPr>
        <sz val="14"/>
        <color theme="1"/>
        <rFont val="Aptos Narrow"/>
        <scheme val="minor"/>
      </rPr>
      <t>[ Pa ]</t>
    </r>
  </si>
  <si>
    <r>
      <rPr>
        <b/>
        <sz val="14"/>
        <color theme="1"/>
        <rFont val="Aptos Narrow"/>
        <scheme val="minor"/>
      </rPr>
      <t>c</t>
    </r>
    <r>
      <rPr>
        <sz val="14"/>
        <color theme="1"/>
        <rFont val="Aptos Narrow"/>
        <scheme val="minor"/>
      </rPr>
      <t xml:space="preserve"> [ m s</t>
    </r>
    <r>
      <rPr>
        <vertAlign val="superscript"/>
        <sz val="14"/>
        <color theme="1"/>
        <rFont val="Aptos Narrow (Body)"/>
      </rPr>
      <t>-1</t>
    </r>
    <r>
      <rPr>
        <sz val="14"/>
        <color theme="1"/>
        <rFont val="Aptos Narrow"/>
        <scheme val="minor"/>
      </rPr>
      <t xml:space="preserve"> ]</t>
    </r>
  </si>
  <si>
    <r>
      <t>EXPERIMENTAL DATA - CH</t>
    </r>
    <r>
      <rPr>
        <b/>
        <vertAlign val="subscript"/>
        <sz val="22"/>
        <color theme="1"/>
        <rFont val="Aptos Narrow (Body)"/>
      </rPr>
      <t>4</t>
    </r>
  </si>
  <si>
    <t>Temperature [ K ]</t>
  </si>
  <si>
    <t xml:space="preserve">Principal Moments of Inertia </t>
  </si>
  <si>
    <t>Zero-point Correction [ Hartree/Particle ]</t>
  </si>
  <si>
    <t>INTERNAL ENERGY, HEAT CAPACITY,ENTROPY</t>
  </si>
  <si>
    <t>x</t>
  </si>
  <si>
    <t>y</t>
  </si>
  <si>
    <t>z</t>
  </si>
  <si>
    <t>Hartree</t>
  </si>
  <si>
    <t>E (Thermal) [KCal/Mol]</t>
  </si>
  <si>
    <r>
      <t>C</t>
    </r>
    <r>
      <rPr>
        <b/>
        <vertAlign val="subscript"/>
        <sz val="14"/>
        <rFont val="Calibri"/>
        <family val="2"/>
      </rPr>
      <t>V</t>
    </r>
    <r>
      <rPr>
        <b/>
        <sz val="14"/>
        <rFont val="Calibri"/>
        <family val="2"/>
      </rPr>
      <t xml:space="preserve"> [Cal/Mol-Kelvin]</t>
    </r>
  </si>
  <si>
    <t>S [Cal/Mol-Kelvin]</t>
  </si>
  <si>
    <r>
      <t>[ amu Å</t>
    </r>
    <r>
      <rPr>
        <b/>
        <vertAlign val="superscript"/>
        <sz val="14"/>
        <color theme="1"/>
        <rFont val="Aptos Narrow (Body)"/>
      </rPr>
      <t xml:space="preserve">2 </t>
    </r>
    <r>
      <rPr>
        <b/>
        <sz val="14"/>
        <color theme="1"/>
        <rFont val="Aptos Narrow"/>
        <family val="2"/>
        <scheme val="minor"/>
      </rPr>
      <t>]</t>
    </r>
  </si>
  <si>
    <t>Total</t>
  </si>
  <si>
    <t>Pressure [Atm]</t>
  </si>
  <si>
    <r>
      <t>[ kg Å</t>
    </r>
    <r>
      <rPr>
        <b/>
        <vertAlign val="superscript"/>
        <sz val="14"/>
        <color theme="1"/>
        <rFont val="Aptos Narrow (Body)"/>
      </rPr>
      <t>2</t>
    </r>
    <r>
      <rPr>
        <b/>
        <sz val="14"/>
        <color theme="1"/>
        <rFont val="Aptos Narrow"/>
        <family val="2"/>
        <scheme val="minor"/>
      </rPr>
      <t xml:space="preserve"> ]</t>
    </r>
  </si>
  <si>
    <t>Electronic</t>
  </si>
  <si>
    <r>
      <t>[ kg m</t>
    </r>
    <r>
      <rPr>
        <b/>
        <vertAlign val="superscript"/>
        <sz val="14"/>
        <color theme="1"/>
        <rFont val="Aptos Narrow (Body)"/>
      </rPr>
      <t>2</t>
    </r>
    <r>
      <rPr>
        <b/>
        <sz val="14"/>
        <color theme="1"/>
        <rFont val="Aptos Narrow"/>
        <family val="2"/>
        <scheme val="minor"/>
      </rPr>
      <t xml:space="preserve"> ]</t>
    </r>
  </si>
  <si>
    <t>Translational</t>
  </si>
  <si>
    <t>Thermal Correction to Energy [ Hartree/Particle ]</t>
  </si>
  <si>
    <t>Rotational</t>
  </si>
  <si>
    <t>Molecular Mass [ amu ]</t>
  </si>
  <si>
    <t>Rotational Temperatures [ K ]</t>
  </si>
  <si>
    <t>Vibrational</t>
  </si>
  <si>
    <t>Rotational Symmetry Number</t>
  </si>
  <si>
    <t>MOLECULAR PARTITION FUNCTION</t>
  </si>
  <si>
    <t>Rotational Constants [ GHZ ]</t>
  </si>
  <si>
    <t>Thermal Correction to Enthalpy [ Hartree/Particle ]</t>
  </si>
  <si>
    <t>Q</t>
  </si>
  <si>
    <t>Log10(Q)</t>
  </si>
  <si>
    <t>Ln(Q)</t>
  </si>
  <si>
    <t>Total Bot</t>
  </si>
  <si>
    <t>Zero-point Vibrational Energy</t>
  </si>
  <si>
    <t>Thermal Correction to Gibbs Free Energy [ Hartree/Particle ]</t>
  </si>
  <si>
    <t>Total V=0</t>
  </si>
  <si>
    <t xml:space="preserve"> [ J/mol ]</t>
  </si>
  <si>
    <t>Vib (Bot)</t>
  </si>
  <si>
    <t xml:space="preserve"> [ Kcal/mol ]</t>
  </si>
  <si>
    <t>Vib (V=0)</t>
  </si>
  <si>
    <t>Vibrational Temperatures
 [ K ]</t>
  </si>
  <si>
    <t>Harmonic 
Frequencies 
[ cm^-1 ]</t>
  </si>
  <si>
    <t>Harmonic 
Frequencies 
[ Hz ]</t>
  </si>
  <si>
    <t>Reduced Masses [ amu ]</t>
  </si>
  <si>
    <t>Energies SCF [ Hartree ]</t>
  </si>
  <si>
    <r>
      <t>THEORETICAL DATA - CH</t>
    </r>
    <r>
      <rPr>
        <b/>
        <vertAlign val="subscript"/>
        <sz val="22"/>
        <color theme="1"/>
        <rFont val="Aptos Narrow (Body)"/>
      </rPr>
      <t>4</t>
    </r>
  </si>
  <si>
    <t xml:space="preserve"> from theory...</t>
  </si>
  <si>
    <t>1. TRANSLATIONAL P.F.</t>
  </si>
  <si>
    <t>Temperatures[K]</t>
  </si>
  <si>
    <r>
      <t>Volume [ m</t>
    </r>
    <r>
      <rPr>
        <b/>
        <vertAlign val="superscript"/>
        <sz val="14"/>
        <color rgb="FFFF0000"/>
        <rFont val="Aptos Narrow (Body)"/>
      </rPr>
      <t>3</t>
    </r>
    <r>
      <rPr>
        <b/>
        <sz val="14"/>
        <color rgb="FFFF0000"/>
        <rFont val="Aptos Narrow (Body)"/>
      </rPr>
      <t xml:space="preserve"> ]</t>
    </r>
  </si>
  <si>
    <r>
      <t>Q</t>
    </r>
    <r>
      <rPr>
        <b/>
        <vertAlign val="subscript"/>
        <sz val="14"/>
        <color rgb="FFFF0000"/>
        <rFont val="Aptos Narrow (Body)"/>
      </rPr>
      <t>transl</t>
    </r>
  </si>
  <si>
    <t>COMPARISON AT 298.15 K (Gaussian output is actually set at 298.15 K)</t>
  </si>
  <si>
    <t>298.15 K</t>
  </si>
  <si>
    <t>Theoretical</t>
  </si>
  <si>
    <t>Gaussian</t>
  </si>
  <si>
    <t>P. Error</t>
  </si>
  <si>
    <t>2. VIBRATIONAL  P.F.</t>
  </si>
  <si>
    <t>Harmonic Freq.</t>
  </si>
  <si>
    <r>
      <t>[ cm</t>
    </r>
    <r>
      <rPr>
        <b/>
        <vertAlign val="superscript"/>
        <sz val="14"/>
        <color rgb="FFFF0000"/>
        <rFont val="Aptos Narrow (Body)"/>
      </rPr>
      <t>-1</t>
    </r>
    <r>
      <rPr>
        <b/>
        <sz val="14"/>
        <color rgb="FFFF0000"/>
        <rFont val="Aptos Narrow (Body)"/>
      </rPr>
      <t xml:space="preserve"> ]</t>
    </r>
  </si>
  <si>
    <t>[ Hz ]</t>
  </si>
  <si>
    <r>
      <t>Q</t>
    </r>
    <r>
      <rPr>
        <b/>
        <vertAlign val="subscript"/>
        <sz val="20"/>
        <color rgb="FFFF0000"/>
        <rFont val="Aptos Narrow (Body)"/>
      </rPr>
      <t>i,vib</t>
    </r>
  </si>
  <si>
    <r>
      <t>Q</t>
    </r>
    <r>
      <rPr>
        <b/>
        <vertAlign val="subscript"/>
        <sz val="20"/>
        <color theme="1"/>
        <rFont val="Aptos Narrow (Body)"/>
      </rPr>
      <t>tot</t>
    </r>
  </si>
  <si>
    <t xml:space="preserve">                               i
T[K]</t>
  </si>
  <si>
    <t>3. ROTATIONAL P.F.</t>
  </si>
  <si>
    <r>
      <t>[ kg m</t>
    </r>
    <r>
      <rPr>
        <b/>
        <vertAlign val="superscript"/>
        <sz val="14"/>
        <color rgb="FFFF0000"/>
        <rFont val="Aptos Narrow (Body)"/>
      </rPr>
      <t>2</t>
    </r>
    <r>
      <rPr>
        <b/>
        <sz val="14"/>
        <color rgb="FFFF0000"/>
        <rFont val="Aptos Narrow"/>
        <family val="2"/>
        <scheme val="minor"/>
      </rPr>
      <t xml:space="preserve"> ]</t>
    </r>
  </si>
  <si>
    <r>
      <t>Q</t>
    </r>
    <r>
      <rPr>
        <b/>
        <vertAlign val="subscript"/>
        <sz val="14"/>
        <color rgb="FFFF0000"/>
        <rFont val="Aptos Narrow (Body)"/>
      </rPr>
      <t>rot</t>
    </r>
    <r>
      <rPr>
        <b/>
        <sz val="14"/>
        <color rgb="FFFF0000"/>
        <rFont val="Aptos Narrow"/>
        <scheme val="minor"/>
      </rPr>
      <t>(1) and 𝜎=12</t>
    </r>
  </si>
  <si>
    <r>
      <t>Q</t>
    </r>
    <r>
      <rPr>
        <b/>
        <vertAlign val="subscript"/>
        <sz val="14"/>
        <color rgb="FFFF0000"/>
        <rFont val="Aptos Narrow (Body)"/>
      </rPr>
      <t>rot</t>
    </r>
    <r>
      <rPr>
        <b/>
        <sz val="14"/>
        <color rgb="FFFF0000"/>
        <rFont val="Aptos Narrow"/>
        <scheme val="minor"/>
      </rPr>
      <t>(2) and 𝜎=3</t>
    </r>
  </si>
  <si>
    <t>𝜎=12 and (1)</t>
  </si>
  <si>
    <t>𝜎=3 and (2)</t>
  </si>
  <si>
    <t>Theoretical 𝜎</t>
  </si>
  <si>
    <t>4. ELECTRONIC P.F.</t>
  </si>
  <si>
    <t xml:space="preserve">Energies SCF </t>
  </si>
  <si>
    <t>final</t>
  </si>
  <si>
    <t>[ Hartree ]</t>
  </si>
  <si>
    <t>[ J ]</t>
  </si>
  <si>
    <r>
      <t>E</t>
    </r>
    <r>
      <rPr>
        <b/>
        <vertAlign val="subscript"/>
        <sz val="14"/>
        <color rgb="FFFF0000"/>
        <rFont val="Aptos Narrow (Body)"/>
      </rPr>
      <t>el</t>
    </r>
    <r>
      <rPr>
        <b/>
        <sz val="14"/>
        <color rgb="FFFF0000"/>
        <rFont val="Aptos Narrow"/>
        <scheme val="minor"/>
      </rPr>
      <t xml:space="preserve"> [ J ]</t>
    </r>
  </si>
  <si>
    <r>
      <t>Q</t>
    </r>
    <r>
      <rPr>
        <b/>
        <vertAlign val="subscript"/>
        <sz val="14"/>
        <color rgb="FFFF0000"/>
        <rFont val="Aptos Narrow (Body)"/>
      </rPr>
      <t>el</t>
    </r>
  </si>
  <si>
    <t>CONTRIBUTES</t>
  </si>
  <si>
    <t>5. HEAT CAPACITY</t>
  </si>
  <si>
    <t>TRANS.</t>
  </si>
  <si>
    <t>VIBR.</t>
  </si>
  <si>
    <t>ROT.</t>
  </si>
  <si>
    <t>ELECT.</t>
  </si>
  <si>
    <t>Heat Capacity (V=const)</t>
  </si>
  <si>
    <t>[Cal/Mol-Kelvin]</t>
  </si>
  <si>
    <t>[ J mol-1 K -1 ]</t>
  </si>
  <si>
    <t xml:space="preserve">Translation </t>
  </si>
  <si>
    <t>Vibration</t>
  </si>
  <si>
    <t>Rotation</t>
  </si>
  <si>
    <t>Electron</t>
  </si>
  <si>
    <t>TOT</t>
  </si>
  <si>
    <t>6. ENTROPY</t>
  </si>
  <si>
    <t>Entropy</t>
  </si>
  <si>
    <t>ϑrot</t>
  </si>
  <si>
    <t>Vtilde</t>
  </si>
  <si>
    <t>Transl. Factor (A)</t>
  </si>
  <si>
    <t>-</t>
  </si>
  <si>
    <r>
      <t>Q</t>
    </r>
    <r>
      <rPr>
        <b/>
        <vertAlign val="subscript"/>
        <sz val="14"/>
        <color rgb="FFFF0000"/>
        <rFont val="Aptos Narrow (Body)"/>
      </rPr>
      <t>rot</t>
    </r>
  </si>
  <si>
    <t>EXPERIMENTAL DATA - H</t>
  </si>
  <si>
    <t>THEORETICAL DATA - H</t>
  </si>
  <si>
    <r>
      <t>EXPERIMENTAL DATA - CH</t>
    </r>
    <r>
      <rPr>
        <b/>
        <vertAlign val="subscript"/>
        <sz val="22"/>
        <color theme="1"/>
        <rFont val="Aptos Narrow (Body)"/>
      </rPr>
      <t>3</t>
    </r>
  </si>
  <si>
    <r>
      <t>THEORETICAL DATA - CH</t>
    </r>
    <r>
      <rPr>
        <b/>
        <vertAlign val="subscript"/>
        <sz val="22"/>
        <color theme="1"/>
        <rFont val="Aptos Narrow (Body)"/>
      </rPr>
      <t>3</t>
    </r>
  </si>
  <si>
    <t>𝜎=6 and (1)</t>
  </si>
  <si>
    <t>𝜎=6 and (2)</t>
  </si>
  <si>
    <r>
      <t>Q</t>
    </r>
    <r>
      <rPr>
        <b/>
        <vertAlign val="subscript"/>
        <sz val="14"/>
        <color rgb="FFFF0000"/>
        <rFont val="Aptos Narrow (Body)"/>
      </rPr>
      <t>rot</t>
    </r>
    <r>
      <rPr>
        <b/>
        <sz val="14"/>
        <color rgb="FFFF0000"/>
        <rFont val="Aptos Narrow"/>
        <scheme val="minor"/>
      </rPr>
      <t>(1) and 𝜎=6</t>
    </r>
  </si>
  <si>
    <r>
      <t>Q</t>
    </r>
    <r>
      <rPr>
        <b/>
        <vertAlign val="subscript"/>
        <sz val="14"/>
        <color rgb="FFFF0000"/>
        <rFont val="Aptos Narrow (Body)"/>
      </rPr>
      <t>rot</t>
    </r>
    <r>
      <rPr>
        <b/>
        <sz val="14"/>
        <color rgb="FFFF0000"/>
        <rFont val="Aptos Narrow"/>
        <scheme val="minor"/>
      </rPr>
      <t>(2) and 𝜎=6</t>
    </r>
  </si>
  <si>
    <t>TOTAL P.F</t>
  </si>
  <si>
    <r>
      <t>Q</t>
    </r>
    <r>
      <rPr>
        <b/>
        <vertAlign val="subscript"/>
        <sz val="14"/>
        <color rgb="FFFF0000"/>
        <rFont val="Aptos Narrow (Body)"/>
      </rPr>
      <t>TRANLS</t>
    </r>
  </si>
  <si>
    <r>
      <t>Q</t>
    </r>
    <r>
      <rPr>
        <b/>
        <vertAlign val="subscript"/>
        <sz val="14"/>
        <color rgb="FFFF0000"/>
        <rFont val="Aptos Narrow (Body)"/>
      </rPr>
      <t>VIB</t>
    </r>
  </si>
  <si>
    <r>
      <t>Q</t>
    </r>
    <r>
      <rPr>
        <b/>
        <vertAlign val="subscript"/>
        <sz val="14"/>
        <color rgb="FFFF0000"/>
        <rFont val="Aptos Narrow (Body)"/>
      </rPr>
      <t>EL</t>
    </r>
  </si>
  <si>
    <r>
      <t>Q</t>
    </r>
    <r>
      <rPr>
        <b/>
        <vertAlign val="subscript"/>
        <sz val="14"/>
        <color rgb="FFFF0000"/>
        <rFont val="Aptos Narrow (Body)"/>
      </rPr>
      <t>TOT</t>
    </r>
  </si>
  <si>
    <r>
      <t>Q</t>
    </r>
    <r>
      <rPr>
        <b/>
        <vertAlign val="subscript"/>
        <sz val="14"/>
        <color rgb="FFFF0000"/>
        <rFont val="Aptos Narrow (Body)"/>
      </rPr>
      <t>ROT</t>
    </r>
    <r>
      <rPr>
        <b/>
        <sz val="14"/>
        <color rgb="FFFF0000"/>
        <rFont val="Aptos Narrow"/>
        <family val="2"/>
        <scheme val="minor"/>
      </rPr>
      <t>(2)</t>
    </r>
  </si>
  <si>
    <t>Qrot(1) - 298.15K</t>
  </si>
  <si>
    <t>Keq</t>
  </si>
  <si>
    <t>Prif [Pa]</t>
  </si>
  <si>
    <t xml:space="preserve"> V [ m3 ]</t>
  </si>
  <si>
    <t>Nirif</t>
  </si>
  <si>
    <t>Qtot - H</t>
  </si>
  <si>
    <r>
      <t>𝜐</t>
    </r>
    <r>
      <rPr>
        <vertAlign val="subscript"/>
        <sz val="16"/>
        <color theme="1"/>
        <rFont val="Aptos Narrow (Body)"/>
      </rPr>
      <t>CH4</t>
    </r>
  </si>
  <si>
    <r>
      <t>𝜐</t>
    </r>
    <r>
      <rPr>
        <vertAlign val="subscript"/>
        <sz val="16"/>
        <color theme="1"/>
        <rFont val="Aptos Narrow (Body)"/>
      </rPr>
      <t>H</t>
    </r>
  </si>
  <si>
    <r>
      <t>𝜐</t>
    </r>
    <r>
      <rPr>
        <vertAlign val="subscript"/>
        <sz val="16"/>
        <color theme="1"/>
        <rFont val="Aptos Narrow (Body)"/>
      </rPr>
      <t>CH3</t>
    </r>
  </si>
  <si>
    <r>
      <t>Qtot - CH</t>
    </r>
    <r>
      <rPr>
        <b/>
        <vertAlign val="subscript"/>
        <sz val="14"/>
        <color rgb="FFFF0000"/>
        <rFont val="Aptos Narrow (Body)"/>
      </rPr>
      <t>4</t>
    </r>
  </si>
  <si>
    <r>
      <t>Qtot - CH</t>
    </r>
    <r>
      <rPr>
        <b/>
        <vertAlign val="subscript"/>
        <sz val="14"/>
        <color rgb="FFFF0000"/>
        <rFont val="Aptos Narrow (Body)"/>
      </rPr>
      <t>3</t>
    </r>
  </si>
  <si>
    <r>
      <t>K</t>
    </r>
    <r>
      <rPr>
        <b/>
        <vertAlign val="subscript"/>
        <sz val="14"/>
        <color rgb="FFFF0000"/>
        <rFont val="Aptos Narrow (Body)"/>
      </rPr>
      <t>eq</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</si>
</sst>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0000"/>
  </numFmts>
  <fonts count="46" x14ac:knownFonts="1">
    <font>
      <sz val="12"/>
      <color theme="1"/>
      <name val="Aptos Narrow"/>
      <family val="2"/>
      <scheme val="minor"/>
    </font>
    <font>
      <sz val="12"/>
      <color theme="1"/>
      <name val="Aptos Narrow"/>
      <scheme val="minor"/>
    </font>
    <font>
      <sz val="14"/>
      <color theme="1"/>
      <name val="Aptos Narrow"/>
      <scheme val="minor"/>
    </font>
    <font>
      <b/>
      <sz val="16"/>
      <color theme="1"/>
      <name val="Aptos Narrow"/>
      <scheme val="minor"/>
    </font>
    <font>
      <b/>
      <sz val="14"/>
      <color theme="1"/>
      <name val="Aptos Narrow"/>
      <scheme val="minor"/>
    </font>
    <font>
      <sz val="14"/>
      <color theme="1"/>
      <name val="Aptos Narrow"/>
      <family val="2"/>
      <scheme val="minor"/>
    </font>
    <font>
      <b/>
      <vertAlign val="subscript"/>
      <sz val="14"/>
      <color theme="1"/>
      <name val="Aptos Narrow"/>
      <scheme val="minor"/>
    </font>
    <font>
      <vertAlign val="superscript"/>
      <sz val="14"/>
      <color theme="1"/>
      <name val="Aptos Narrow"/>
      <scheme val="minor"/>
    </font>
    <font>
      <sz val="14"/>
      <color theme="1"/>
      <name val="Aptos Narrow (Corpo)"/>
    </font>
    <font>
      <sz val="14"/>
      <color rgb="FF202122"/>
      <name val="Aptos Narrow"/>
      <scheme val="minor"/>
    </font>
    <font>
      <b/>
      <sz val="10"/>
      <color theme="1"/>
      <name val="Aptos Narrow (Body)"/>
    </font>
    <font>
      <b/>
      <vertAlign val="superscript"/>
      <sz val="14"/>
      <color theme="1"/>
      <name val="Aptos Narrow"/>
      <scheme val="minor"/>
    </font>
    <font>
      <b/>
      <vertAlign val="subscript"/>
      <sz val="14"/>
      <color theme="1"/>
      <name val="Aptos Narrow (Body)"/>
    </font>
    <font>
      <b/>
      <sz val="14"/>
      <color rgb="FF202122"/>
      <name val="Aptos Narrow"/>
      <scheme val="minor"/>
    </font>
    <font>
      <b/>
      <vertAlign val="subscript"/>
      <sz val="14"/>
      <color rgb="FF202122"/>
      <name val="Aptos Narrow"/>
      <scheme val="minor"/>
    </font>
    <font>
      <vertAlign val="subscript"/>
      <sz val="14"/>
      <color rgb="FF202122"/>
      <name val="Aptos Narrow"/>
      <scheme val="minor"/>
    </font>
    <font>
      <sz val="14"/>
      <color rgb="FF202122"/>
      <name val="Aptos Narrow (Corpo)"/>
    </font>
    <font>
      <vertAlign val="superscript"/>
      <sz val="14"/>
      <color rgb="FF202122"/>
      <name val="Aptos Narrow"/>
      <scheme val="minor"/>
    </font>
    <font>
      <sz val="14"/>
      <color rgb="FF202122"/>
      <name val="Arial"/>
      <family val="2"/>
    </font>
    <font>
      <sz val="14"/>
      <color rgb="FF000000"/>
      <name val="Aptos Narrow"/>
      <scheme val="minor"/>
    </font>
    <font>
      <b/>
      <vertAlign val="subscript"/>
      <sz val="14"/>
      <color theme="1"/>
      <name val="Aptos Narrow (Corpo)"/>
    </font>
    <font>
      <vertAlign val="superscript"/>
      <sz val="14"/>
      <color theme="1"/>
      <name val="Aptos Narrow (Body)"/>
    </font>
    <font>
      <b/>
      <sz val="22"/>
      <color theme="1"/>
      <name val="Aptos Narrow"/>
      <scheme val="minor"/>
    </font>
    <font>
      <b/>
      <vertAlign val="subscript"/>
      <sz val="22"/>
      <color theme="1"/>
      <name val="Aptos Narrow (Body)"/>
    </font>
    <font>
      <b/>
      <sz val="14"/>
      <color rgb="FFFF0000"/>
      <name val="Aptos Narrow"/>
      <scheme val="minor"/>
    </font>
    <font>
      <b/>
      <sz val="14"/>
      <color rgb="FFFF0000"/>
      <name val="Aptos Narrow (Body)"/>
    </font>
    <font>
      <b/>
      <sz val="14"/>
      <name val="Calibri"/>
      <family val="2"/>
    </font>
    <font>
      <b/>
      <vertAlign val="subscript"/>
      <sz val="14"/>
      <name val="Calibri"/>
      <family val="2"/>
    </font>
    <font>
      <b/>
      <sz val="14"/>
      <color theme="1"/>
      <name val="Aptos Narrow"/>
      <family val="2"/>
      <scheme val="minor"/>
    </font>
    <font>
      <b/>
      <vertAlign val="superscript"/>
      <sz val="14"/>
      <color theme="1"/>
      <name val="Aptos Narrow (Body)"/>
    </font>
    <font>
      <b/>
      <sz val="14"/>
      <color rgb="FFFF0000"/>
      <name val="Calibri"/>
      <family val="2"/>
    </font>
    <font>
      <b/>
      <sz val="12"/>
      <color theme="1"/>
      <name val="Aptos Narrow"/>
      <scheme val="minor"/>
    </font>
    <font>
      <sz val="14"/>
      <color theme="1"/>
      <name val="Calibri"/>
      <family val="2"/>
    </font>
    <font>
      <b/>
      <sz val="20"/>
      <color theme="1"/>
      <name val="Aptos Narrow (Body)"/>
    </font>
    <font>
      <sz val="20"/>
      <color theme="1"/>
      <name val="Aptos Narrow"/>
      <family val="2"/>
      <scheme val="minor"/>
    </font>
    <font>
      <b/>
      <vertAlign val="superscript"/>
      <sz val="14"/>
      <color rgb="FFFF0000"/>
      <name val="Aptos Narrow (Body)"/>
    </font>
    <font>
      <b/>
      <vertAlign val="subscript"/>
      <sz val="14"/>
      <color rgb="FFFF0000"/>
      <name val="Aptos Narrow (Body)"/>
    </font>
    <font>
      <b/>
      <sz val="16"/>
      <color theme="1"/>
      <name val="Aptos Narrow (Body)"/>
    </font>
    <font>
      <b/>
      <sz val="20"/>
      <color rgb="FFFF0000"/>
      <name val="Aptos Narrow (Body)"/>
    </font>
    <font>
      <b/>
      <vertAlign val="subscript"/>
      <sz val="20"/>
      <color rgb="FFFF0000"/>
      <name val="Aptos Narrow (Body)"/>
    </font>
    <font>
      <b/>
      <sz val="20"/>
      <color theme="1"/>
      <name val="Aptos Narrow"/>
      <scheme val="minor"/>
    </font>
    <font>
      <b/>
      <vertAlign val="subscript"/>
      <sz val="20"/>
      <color theme="1"/>
      <name val="Aptos Narrow (Body)"/>
    </font>
    <font>
      <b/>
      <sz val="14"/>
      <color rgb="FFFF0000"/>
      <name val="Aptos Narrow"/>
      <family val="2"/>
      <scheme val="minor"/>
    </font>
    <font>
      <b/>
      <sz val="14"/>
      <color theme="1"/>
      <name val="Aptos Narrow (Body)"/>
    </font>
    <font>
      <sz val="16"/>
      <color theme="1"/>
      <name val="Aptos Narrow"/>
      <family val="2"/>
      <scheme val="minor"/>
    </font>
    <font>
      <vertAlign val="subscript"/>
      <sz val="16"/>
      <color theme="1"/>
      <name val="Aptos Narrow (Body)"/>
    </font>
  </fonts>
  <fills count="11">
    <fill>
      <patternFill patternType="none"/>
    </fill>
    <fill>
      <patternFill patternType="gray125"/>
    </fill>
    <fill>
      <patternFill patternType="solid">
        <fgColor theme="5" tint="0.39997558519241921"/>
        <bgColor indexed="64"/>
      </patternFill>
    </fill>
    <fill>
      <patternFill patternType="solid">
        <fgColor theme="3" tint="0.499984740745262"/>
        <bgColor indexed="64"/>
      </patternFill>
    </fill>
    <fill>
      <patternFill patternType="solid">
        <fgColor theme="8" tint="0.39997558519241921"/>
        <bgColor indexed="64"/>
      </patternFill>
    </fill>
    <fill>
      <patternFill patternType="solid">
        <fgColor theme="4" tint="0.39997558519241921"/>
        <bgColor indexed="64"/>
      </patternFill>
    </fill>
    <fill>
      <patternFill patternType="solid">
        <fgColor theme="1"/>
        <bgColor indexed="64"/>
      </patternFill>
    </fill>
    <fill>
      <patternFill patternType="solid">
        <fgColor rgb="FFFFC000"/>
        <bgColor indexed="64"/>
      </patternFill>
    </fill>
    <fill>
      <patternFill patternType="solid">
        <fgColor rgb="FFE97674"/>
        <bgColor indexed="64"/>
      </patternFill>
    </fill>
    <fill>
      <patternFill patternType="solid">
        <fgColor rgb="FFFD704F"/>
        <bgColor indexed="64"/>
      </patternFill>
    </fill>
    <fill>
      <patternFill patternType="solid">
        <fgColor theme="7" tint="0.39997558519241921"/>
        <bgColor indexed="64"/>
      </patternFill>
    </fill>
  </fills>
  <borders count="63">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 diagonalDown="1">
      <left style="medium">
        <color indexed="64"/>
      </left>
      <right style="thin">
        <color indexed="64"/>
      </right>
      <top style="thin">
        <color indexed="64"/>
      </top>
      <bottom style="thin">
        <color indexed="64"/>
      </bottom>
      <diagonal style="medium">
        <color indexed="64"/>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double">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thin">
        <color indexed="64"/>
      </top>
      <bottom style="medium">
        <color indexed="64"/>
      </bottom>
      <diagonal/>
    </border>
    <border diagonalDown="1">
      <left style="medium">
        <color indexed="64"/>
      </left>
      <right/>
      <top style="medium">
        <color indexed="64"/>
      </top>
      <bottom style="medium">
        <color indexed="64"/>
      </bottom>
      <diagonal style="thin">
        <color indexed="64"/>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right/>
      <top style="medium">
        <color indexed="64"/>
      </top>
      <bottom/>
      <diagonal/>
    </border>
    <border>
      <left style="thin">
        <color indexed="64"/>
      </left>
      <right/>
      <top style="thin">
        <color indexed="64"/>
      </top>
      <bottom style="medium">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s>
  <cellStyleXfs count="1">
    <xf numFmtId="0" fontId="0" fillId="0" borderId="0"/>
  </cellStyleXfs>
  <cellXfs count="373">
    <xf numFmtId="0" fontId="0" fillId="0" borderId="0" xfId="0"/>
    <xf numFmtId="0" fontId="1" fillId="0" borderId="0" xfId="0" applyFont="1"/>
    <xf numFmtId="0" fontId="2" fillId="0" borderId="0" xfId="0" applyFont="1"/>
    <xf numFmtId="0" fontId="3" fillId="2" borderId="1" xfId="0" applyFont="1" applyFill="1" applyBorder="1"/>
    <xf numFmtId="0" fontId="2" fillId="2" borderId="2" xfId="0" applyFont="1" applyFill="1" applyBorder="1"/>
    <xf numFmtId="0" fontId="3" fillId="3" borderId="3" xfId="0" applyFont="1" applyFill="1" applyBorder="1"/>
    <xf numFmtId="0" fontId="4" fillId="3" borderId="4" xfId="0" applyFont="1" applyFill="1" applyBorder="1"/>
    <xf numFmtId="0" fontId="1" fillId="3" borderId="5" xfId="0" applyFont="1" applyFill="1" applyBorder="1"/>
    <xf numFmtId="0" fontId="3" fillId="4" borderId="3" xfId="0" applyFont="1" applyFill="1" applyBorder="1"/>
    <xf numFmtId="0" fontId="5" fillId="4" borderId="4" xfId="0" applyFont="1" applyFill="1" applyBorder="1"/>
    <xf numFmtId="0" fontId="5" fillId="4" borderId="5" xfId="0" applyFont="1" applyFill="1" applyBorder="1"/>
    <xf numFmtId="0" fontId="3" fillId="5" borderId="3" xfId="0" applyFont="1" applyFill="1" applyBorder="1"/>
    <xf numFmtId="0" fontId="5" fillId="5" borderId="4" xfId="0" applyFont="1" applyFill="1" applyBorder="1"/>
    <xf numFmtId="0" fontId="5" fillId="5" borderId="5" xfId="0" applyFont="1" applyFill="1" applyBorder="1"/>
    <xf numFmtId="0" fontId="2" fillId="2" borderId="6" xfId="0" applyFont="1" applyFill="1" applyBorder="1"/>
    <xf numFmtId="11" fontId="9" fillId="2" borderId="7" xfId="0" applyNumberFormat="1" applyFont="1" applyFill="1" applyBorder="1"/>
    <xf numFmtId="0" fontId="10" fillId="3" borderId="8" xfId="0" applyFont="1" applyFill="1" applyBorder="1" applyAlignment="1">
      <alignment wrapText="1"/>
    </xf>
    <xf numFmtId="0" fontId="4" fillId="3" borderId="9" xfId="0" applyFont="1" applyFill="1" applyBorder="1"/>
    <xf numFmtId="0" fontId="11" fillId="3" borderId="9" xfId="0" applyFont="1" applyFill="1" applyBorder="1"/>
    <xf numFmtId="0" fontId="4" fillId="3" borderId="10" xfId="0" applyFont="1" applyFill="1" applyBorder="1"/>
    <xf numFmtId="0" fontId="10" fillId="4" borderId="8" xfId="0" applyFont="1" applyFill="1" applyBorder="1" applyAlignment="1">
      <alignment wrapText="1"/>
    </xf>
    <xf numFmtId="0" fontId="4" fillId="4" borderId="9" xfId="0" applyFont="1" applyFill="1" applyBorder="1"/>
    <xf numFmtId="0" fontId="4" fillId="4" borderId="10" xfId="0" applyFont="1" applyFill="1" applyBorder="1"/>
    <xf numFmtId="0" fontId="10" fillId="5" borderId="8" xfId="0" applyFont="1" applyFill="1" applyBorder="1" applyAlignment="1">
      <alignment wrapText="1"/>
    </xf>
    <xf numFmtId="0" fontId="4" fillId="5" borderId="9" xfId="0" applyFont="1" applyFill="1" applyBorder="1"/>
    <xf numFmtId="0" fontId="4" fillId="5" borderId="10" xfId="0" applyFont="1" applyFill="1" applyBorder="1"/>
    <xf numFmtId="0" fontId="2" fillId="2" borderId="11" xfId="0" applyFont="1" applyFill="1" applyBorder="1"/>
    <xf numFmtId="164" fontId="9" fillId="2" borderId="12" xfId="0" applyNumberFormat="1" applyFont="1" applyFill="1" applyBorder="1"/>
    <xf numFmtId="0" fontId="4" fillId="3" borderId="13" xfId="0" applyFont="1" applyFill="1" applyBorder="1"/>
    <xf numFmtId="0" fontId="2" fillId="3" borderId="9" xfId="0" applyFont="1" applyFill="1" applyBorder="1"/>
    <xf numFmtId="11" fontId="2" fillId="3" borderId="9" xfId="0" applyNumberFormat="1" applyFont="1" applyFill="1" applyBorder="1"/>
    <xf numFmtId="0" fontId="4" fillId="4" borderId="13" xfId="0" applyFont="1" applyFill="1" applyBorder="1"/>
    <xf numFmtId="0" fontId="5" fillId="4" borderId="9" xfId="0" applyFont="1" applyFill="1" applyBorder="1"/>
    <xf numFmtId="11" fontId="5" fillId="4" borderId="10" xfId="0" applyNumberFormat="1" applyFont="1" applyFill="1" applyBorder="1"/>
    <xf numFmtId="0" fontId="4" fillId="5" borderId="13" xfId="0" applyFont="1" applyFill="1" applyBorder="1"/>
    <xf numFmtId="0" fontId="5" fillId="5" borderId="9" xfId="0" applyFont="1" applyFill="1" applyBorder="1"/>
    <xf numFmtId="11" fontId="5" fillId="5" borderId="9" xfId="0" applyNumberFormat="1" applyFont="1" applyFill="1" applyBorder="1"/>
    <xf numFmtId="11" fontId="5" fillId="5" borderId="10" xfId="0" applyNumberFormat="1" applyFont="1" applyFill="1" applyBorder="1"/>
    <xf numFmtId="0" fontId="9" fillId="2" borderId="14" xfId="0" applyFont="1" applyFill="1" applyBorder="1"/>
    <xf numFmtId="11" fontId="18" fillId="2" borderId="15" xfId="0" applyNumberFormat="1" applyFont="1" applyFill="1" applyBorder="1"/>
    <xf numFmtId="165" fontId="5" fillId="4" borderId="9" xfId="0" applyNumberFormat="1" applyFont="1" applyFill="1" applyBorder="1"/>
    <xf numFmtId="11" fontId="18" fillId="2" borderId="12" xfId="0" applyNumberFormat="1" applyFont="1" applyFill="1" applyBorder="1"/>
    <xf numFmtId="0" fontId="4" fillId="4" borderId="16" xfId="0" applyFont="1" applyFill="1" applyBorder="1"/>
    <xf numFmtId="11" fontId="5" fillId="4" borderId="17" xfId="0" applyNumberFormat="1" applyFont="1" applyFill="1" applyBorder="1"/>
    <xf numFmtId="0" fontId="5" fillId="4" borderId="18" xfId="0" applyFont="1" applyFill="1" applyBorder="1"/>
    <xf numFmtId="0" fontId="4" fillId="5" borderId="16" xfId="0" applyFont="1" applyFill="1" applyBorder="1"/>
    <xf numFmtId="11" fontId="5" fillId="5" borderId="17" xfId="0" applyNumberFormat="1" applyFont="1" applyFill="1" applyBorder="1"/>
    <xf numFmtId="0" fontId="5" fillId="5" borderId="18" xfId="0" applyFont="1" applyFill="1" applyBorder="1"/>
    <xf numFmtId="0" fontId="2" fillId="2" borderId="14" xfId="0" applyFont="1" applyFill="1" applyBorder="1"/>
    <xf numFmtId="11" fontId="5" fillId="2" borderId="15" xfId="0" applyNumberFormat="1" applyFont="1" applyFill="1" applyBorder="1"/>
    <xf numFmtId="11" fontId="5" fillId="2" borderId="12" xfId="0" applyNumberFormat="1" applyFont="1" applyFill="1" applyBorder="1"/>
    <xf numFmtId="0" fontId="11" fillId="3" borderId="13" xfId="0" applyFont="1" applyFill="1" applyBorder="1"/>
    <xf numFmtId="0" fontId="5" fillId="2" borderId="12" xfId="0" applyFont="1" applyFill="1" applyBorder="1" applyAlignment="1">
      <alignment horizontal="right" vertical="center"/>
    </xf>
    <xf numFmtId="11" fontId="5" fillId="2" borderId="12" xfId="0" applyNumberFormat="1" applyFont="1" applyFill="1" applyBorder="1" applyAlignment="1">
      <alignment horizontal="right" vertical="center"/>
    </xf>
    <xf numFmtId="0" fontId="4" fillId="3" borderId="16" xfId="0" applyFont="1" applyFill="1" applyBorder="1"/>
    <xf numFmtId="0" fontId="2" fillId="3" borderId="17" xfId="0" applyFont="1" applyFill="1" applyBorder="1"/>
    <xf numFmtId="0" fontId="2" fillId="3" borderId="18" xfId="0" applyFont="1" applyFill="1" applyBorder="1"/>
    <xf numFmtId="0" fontId="5" fillId="2" borderId="15" xfId="0" applyFont="1" applyFill="1" applyBorder="1" applyAlignment="1">
      <alignment horizontal="right" vertical="center"/>
    </xf>
    <xf numFmtId="11" fontId="5" fillId="2" borderId="7" xfId="0" applyNumberFormat="1" applyFont="1" applyFill="1" applyBorder="1" applyAlignment="1">
      <alignment horizontal="right"/>
    </xf>
    <xf numFmtId="0" fontId="24" fillId="0" borderId="0" xfId="0" applyFont="1"/>
    <xf numFmtId="0" fontId="5" fillId="0" borderId="0" xfId="0" applyFont="1"/>
    <xf numFmtId="0" fontId="24" fillId="0" borderId="1" xfId="0" applyFont="1" applyBorder="1"/>
    <xf numFmtId="0" fontId="5" fillId="0" borderId="20" xfId="0" applyFont="1" applyBorder="1"/>
    <xf numFmtId="0" fontId="5" fillId="0" borderId="2" xfId="0" applyFont="1" applyBorder="1"/>
    <xf numFmtId="0" fontId="25" fillId="0" borderId="1" xfId="0" applyFont="1" applyBorder="1"/>
    <xf numFmtId="0" fontId="5" fillId="0" borderId="21" xfId="0" applyFont="1" applyBorder="1" applyAlignment="1">
      <alignment horizontal="center"/>
    </xf>
    <xf numFmtId="0" fontId="0" fillId="6" borderId="21" xfId="0" applyFill="1" applyBorder="1"/>
    <xf numFmtId="0" fontId="4" fillId="0" borderId="22" xfId="0" applyFont="1" applyBorder="1" applyAlignment="1">
      <alignment horizontal="center"/>
    </xf>
    <xf numFmtId="0" fontId="4" fillId="0" borderId="23" xfId="0" applyFont="1" applyBorder="1" applyAlignment="1">
      <alignment horizontal="center"/>
    </xf>
    <xf numFmtId="0" fontId="4" fillId="0" borderId="24" xfId="0" applyFont="1" applyBorder="1" applyAlignment="1">
      <alignment horizontal="center"/>
    </xf>
    <xf numFmtId="0" fontId="4" fillId="0" borderId="25" xfId="0" applyFont="1" applyBorder="1" applyAlignment="1">
      <alignment horizontal="center"/>
    </xf>
    <xf numFmtId="0" fontId="4" fillId="0" borderId="26" xfId="0" applyFont="1" applyBorder="1" applyAlignment="1">
      <alignment horizontal="center"/>
    </xf>
    <xf numFmtId="0" fontId="4" fillId="0" borderId="27" xfId="0" applyFont="1" applyBorder="1" applyAlignment="1">
      <alignment horizontal="center"/>
    </xf>
    <xf numFmtId="0" fontId="4" fillId="0" borderId="28" xfId="0" applyFont="1" applyBorder="1" applyAlignment="1">
      <alignment horizontal="center"/>
    </xf>
    <xf numFmtId="0" fontId="5" fillId="6" borderId="29" xfId="0" applyFont="1" applyFill="1" applyBorder="1"/>
    <xf numFmtId="0" fontId="26" fillId="0" borderId="30" xfId="0" applyFont="1" applyBorder="1" applyAlignment="1">
      <alignment horizontal="center" vertical="top"/>
    </xf>
    <xf numFmtId="0" fontId="26" fillId="0" borderId="31" xfId="0" applyFont="1" applyBorder="1" applyAlignment="1">
      <alignment horizontal="center" vertical="top"/>
    </xf>
    <xf numFmtId="0" fontId="26" fillId="0" borderId="32" xfId="0" applyFont="1" applyBorder="1" applyAlignment="1">
      <alignment horizontal="center" vertical="top"/>
    </xf>
    <xf numFmtId="0" fontId="28" fillId="0" borderId="29" xfId="0" applyFont="1" applyBorder="1"/>
    <xf numFmtId="0" fontId="5" fillId="7" borderId="33" xfId="0" applyFont="1" applyFill="1" applyBorder="1"/>
    <xf numFmtId="0" fontId="5" fillId="7" borderId="34" xfId="0" applyFont="1" applyFill="1" applyBorder="1"/>
    <xf numFmtId="0" fontId="5" fillId="7" borderId="35" xfId="0" applyFont="1" applyFill="1" applyBorder="1"/>
    <xf numFmtId="0" fontId="2" fillId="7" borderId="25" xfId="0" applyFont="1" applyFill="1" applyBorder="1"/>
    <xf numFmtId="0" fontId="2" fillId="7" borderId="26" xfId="0" applyFont="1" applyFill="1" applyBorder="1"/>
    <xf numFmtId="0" fontId="2" fillId="7" borderId="27" xfId="0" applyFont="1" applyFill="1" applyBorder="1"/>
    <xf numFmtId="11" fontId="5" fillId="7" borderId="28" xfId="0" applyNumberFormat="1" applyFont="1" applyFill="1" applyBorder="1" applyAlignment="1">
      <alignment horizontal="center"/>
    </xf>
    <xf numFmtId="0" fontId="26" fillId="0" borderId="36" xfId="0" applyFont="1" applyBorder="1" applyAlignment="1">
      <alignment horizontal="center" vertical="top"/>
    </xf>
    <xf numFmtId="0" fontId="5" fillId="7" borderId="37" xfId="0" applyFont="1" applyFill="1" applyBorder="1"/>
    <xf numFmtId="0" fontId="5" fillId="7" borderId="9" xfId="0" applyFont="1" applyFill="1" applyBorder="1"/>
    <xf numFmtId="0" fontId="5" fillId="7" borderId="10" xfId="0" applyFont="1" applyFill="1" applyBorder="1"/>
    <xf numFmtId="0" fontId="28" fillId="0" borderId="14" xfId="0" applyFont="1" applyBorder="1"/>
    <xf numFmtId="11" fontId="5" fillId="7" borderId="13" xfId="0" applyNumberFormat="1" applyFont="1" applyFill="1" applyBorder="1"/>
    <xf numFmtId="0" fontId="26" fillId="0" borderId="38" xfId="0" applyFont="1" applyBorder="1" applyAlignment="1">
      <alignment horizontal="center" vertical="top"/>
    </xf>
    <xf numFmtId="0" fontId="28" fillId="0" borderId="22" xfId="0" applyFont="1" applyBorder="1"/>
    <xf numFmtId="11" fontId="5" fillId="7" borderId="16" xfId="0" applyNumberFormat="1" applyFont="1" applyFill="1" applyBorder="1"/>
    <xf numFmtId="11" fontId="5" fillId="7" borderId="17" xfId="0" applyNumberFormat="1" applyFont="1" applyFill="1" applyBorder="1"/>
    <xf numFmtId="11" fontId="5" fillId="7" borderId="18" xfId="0" applyNumberFormat="1" applyFont="1" applyFill="1" applyBorder="1"/>
    <xf numFmtId="0" fontId="26" fillId="0" borderId="39" xfId="0" applyFont="1" applyBorder="1" applyAlignment="1">
      <alignment horizontal="center" vertical="top"/>
    </xf>
    <xf numFmtId="0" fontId="5" fillId="7" borderId="40" xfId="0" applyFont="1" applyFill="1" applyBorder="1"/>
    <xf numFmtId="0" fontId="5" fillId="7" borderId="17" xfId="0" applyFont="1" applyFill="1" applyBorder="1"/>
    <xf numFmtId="0" fontId="5" fillId="7" borderId="18" xfId="0" applyFont="1" applyFill="1" applyBorder="1"/>
    <xf numFmtId="0" fontId="4" fillId="0" borderId="1" xfId="0" applyFont="1" applyBorder="1" applyAlignment="1">
      <alignment horizontal="center"/>
    </xf>
    <xf numFmtId="0" fontId="4" fillId="0" borderId="20" xfId="0" applyFont="1" applyBorder="1" applyAlignment="1">
      <alignment horizontal="center"/>
    </xf>
    <xf numFmtId="0" fontId="4" fillId="0" borderId="2" xfId="0" applyFont="1" applyBorder="1" applyAlignment="1">
      <alignment horizontal="center"/>
    </xf>
    <xf numFmtId="0" fontId="5" fillId="7" borderId="25" xfId="0" applyFont="1" applyFill="1" applyBorder="1"/>
    <xf numFmtId="0" fontId="2" fillId="7" borderId="28" xfId="0" applyFont="1" applyFill="1" applyBorder="1"/>
    <xf numFmtId="0" fontId="5" fillId="7" borderId="26" xfId="0" applyFont="1" applyFill="1" applyBorder="1"/>
    <xf numFmtId="0" fontId="5" fillId="7" borderId="28" xfId="0" applyFont="1" applyFill="1" applyBorder="1"/>
    <xf numFmtId="0" fontId="30" fillId="0" borderId="1" xfId="0" applyFont="1" applyBorder="1" applyAlignment="1">
      <alignment horizontal="left" vertical="top"/>
    </xf>
    <xf numFmtId="0" fontId="0" fillId="0" borderId="20" xfId="0" applyBorder="1"/>
    <xf numFmtId="0" fontId="0" fillId="0" borderId="2" xfId="0" applyBorder="1"/>
    <xf numFmtId="0" fontId="5" fillId="6" borderId="21" xfId="0" applyFont="1" applyFill="1" applyBorder="1"/>
    <xf numFmtId="0" fontId="26" fillId="0" borderId="25" xfId="0" applyFont="1" applyBorder="1" applyAlignment="1">
      <alignment horizontal="center" vertical="top"/>
    </xf>
    <xf numFmtId="0" fontId="26" fillId="0" borderId="26" xfId="0" applyFont="1" applyBorder="1" applyAlignment="1">
      <alignment horizontal="center" vertical="top"/>
    </xf>
    <xf numFmtId="0" fontId="26" fillId="0" borderId="28" xfId="0" applyFont="1" applyBorder="1" applyAlignment="1">
      <alignment horizontal="center" vertical="top"/>
    </xf>
    <xf numFmtId="0" fontId="4" fillId="0" borderId="0" xfId="0" applyFont="1" applyAlignment="1">
      <alignment horizontal="center"/>
    </xf>
    <xf numFmtId="0" fontId="5" fillId="7" borderId="41" xfId="0" applyFont="1" applyFill="1" applyBorder="1"/>
    <xf numFmtId="0" fontId="5" fillId="7" borderId="42" xfId="0" applyFont="1" applyFill="1" applyBorder="1"/>
    <xf numFmtId="0" fontId="5" fillId="0" borderId="25" xfId="0" applyFont="1" applyBorder="1"/>
    <xf numFmtId="0" fontId="5" fillId="0" borderId="26" xfId="0" applyFont="1" applyBorder="1"/>
    <xf numFmtId="0" fontId="5" fillId="0" borderId="28" xfId="0" applyFont="1" applyBorder="1"/>
    <xf numFmtId="0" fontId="4" fillId="0" borderId="36" xfId="0" applyFont="1" applyBorder="1"/>
    <xf numFmtId="0" fontId="5" fillId="0" borderId="21" xfId="0" applyFont="1" applyBorder="1"/>
    <xf numFmtId="0" fontId="4" fillId="0" borderId="39" xfId="0" applyFont="1" applyBorder="1"/>
    <xf numFmtId="0" fontId="5" fillId="7" borderId="21" xfId="0" applyFont="1" applyFill="1" applyBorder="1"/>
    <xf numFmtId="0" fontId="26" fillId="0" borderId="0" xfId="0" applyFont="1" applyAlignment="1">
      <alignment horizontal="center" vertical="top"/>
    </xf>
    <xf numFmtId="0" fontId="24" fillId="0" borderId="25" xfId="0" applyFont="1" applyBorder="1" applyAlignment="1">
      <alignment horizontal="center" wrapText="1"/>
    </xf>
    <xf numFmtId="0" fontId="24" fillId="0" borderId="28" xfId="0" applyFont="1" applyBorder="1" applyAlignment="1">
      <alignment horizontal="center" wrapText="1"/>
    </xf>
    <xf numFmtId="0" fontId="24" fillId="0" borderId="32" xfId="0" applyFont="1" applyBorder="1" applyAlignment="1">
      <alignment horizontal="center" wrapText="1"/>
    </xf>
    <xf numFmtId="0" fontId="24" fillId="0" borderId="21" xfId="0" applyFont="1" applyBorder="1" applyAlignment="1">
      <alignment horizontal="center" vertical="center" wrapText="1"/>
    </xf>
    <xf numFmtId="0" fontId="31" fillId="0" borderId="36" xfId="0" applyFont="1" applyBorder="1" applyAlignment="1">
      <alignment horizontal="center"/>
    </xf>
    <xf numFmtId="0" fontId="5" fillId="7" borderId="7" xfId="0" applyFont="1" applyFill="1" applyBorder="1"/>
    <xf numFmtId="0" fontId="5" fillId="7" borderId="43" xfId="0" applyFont="1" applyFill="1" applyBorder="1"/>
    <xf numFmtId="11" fontId="5" fillId="7" borderId="36" xfId="0" applyNumberFormat="1" applyFont="1" applyFill="1" applyBorder="1"/>
    <xf numFmtId="0" fontId="5" fillId="7" borderId="36" xfId="0" applyFont="1" applyFill="1" applyBorder="1"/>
    <xf numFmtId="0" fontId="31" fillId="0" borderId="0" xfId="0" applyFont="1" applyAlignment="1">
      <alignment horizontal="center"/>
    </xf>
    <xf numFmtId="0" fontId="31" fillId="0" borderId="38" xfId="0" applyFont="1" applyBorder="1" applyAlignment="1">
      <alignment horizontal="center"/>
    </xf>
    <xf numFmtId="0" fontId="5" fillId="7" borderId="12" xfId="0" applyFont="1" applyFill="1" applyBorder="1"/>
    <xf numFmtId="0" fontId="5" fillId="7" borderId="44" xfId="0" applyFont="1" applyFill="1" applyBorder="1"/>
    <xf numFmtId="11" fontId="5" fillId="7" borderId="38" xfId="0" applyNumberFormat="1" applyFont="1" applyFill="1" applyBorder="1"/>
    <xf numFmtId="0" fontId="5" fillId="7" borderId="38" xfId="0" applyFont="1" applyFill="1" applyBorder="1"/>
    <xf numFmtId="0" fontId="30" fillId="0" borderId="0" xfId="0" applyFont="1"/>
    <xf numFmtId="0" fontId="31" fillId="0" borderId="25" xfId="0" applyFont="1" applyBorder="1" applyAlignment="1">
      <alignment horizontal="center"/>
    </xf>
    <xf numFmtId="0" fontId="31" fillId="0" borderId="26" xfId="0" applyFont="1" applyBorder="1" applyAlignment="1">
      <alignment horizontal="center"/>
    </xf>
    <xf numFmtId="0" fontId="31" fillId="0" borderId="28" xfId="0" applyFont="1" applyBorder="1" applyAlignment="1">
      <alignment horizontal="center"/>
    </xf>
    <xf numFmtId="0" fontId="32" fillId="7" borderId="45" xfId="0" applyFont="1" applyFill="1" applyBorder="1" applyAlignment="1">
      <alignment horizontal="center" vertical="center"/>
    </xf>
    <xf numFmtId="0" fontId="32" fillId="7" borderId="46" xfId="0" applyFont="1" applyFill="1" applyBorder="1" applyAlignment="1">
      <alignment horizontal="center" vertical="center"/>
    </xf>
    <xf numFmtId="0" fontId="32" fillId="7" borderId="47" xfId="0" applyFont="1" applyFill="1" applyBorder="1" applyAlignment="1">
      <alignment horizontal="center" vertical="center"/>
    </xf>
    <xf numFmtId="0" fontId="31" fillId="0" borderId="39" xfId="0" applyFont="1" applyBorder="1" applyAlignment="1">
      <alignment horizontal="center"/>
    </xf>
    <xf numFmtId="0" fontId="5" fillId="7" borderId="48" xfId="0" applyFont="1" applyFill="1" applyBorder="1"/>
    <xf numFmtId="0" fontId="5" fillId="7" borderId="49" xfId="0" applyFont="1" applyFill="1" applyBorder="1"/>
    <xf numFmtId="11" fontId="5" fillId="7" borderId="39" xfId="0" applyNumberFormat="1" applyFont="1" applyFill="1" applyBorder="1"/>
    <xf numFmtId="0" fontId="5" fillId="7" borderId="39" xfId="0" applyFont="1" applyFill="1" applyBorder="1"/>
    <xf numFmtId="0" fontId="33" fillId="8" borderId="0" xfId="0" applyFont="1" applyFill="1"/>
    <xf numFmtId="0" fontId="34" fillId="8" borderId="0" xfId="0" applyFont="1" applyFill="1"/>
    <xf numFmtId="0" fontId="24" fillId="0" borderId="50" xfId="0" applyFont="1" applyBorder="1" applyAlignment="1">
      <alignment horizontal="center" vertical="center"/>
    </xf>
    <xf numFmtId="0" fontId="25" fillId="0" borderId="50" xfId="0" applyFont="1" applyBorder="1" applyAlignment="1">
      <alignment horizontal="center" vertical="center"/>
    </xf>
    <xf numFmtId="0" fontId="37" fillId="8" borderId="0" xfId="0" applyFont="1" applyFill="1"/>
    <xf numFmtId="0" fontId="5" fillId="8" borderId="0" xfId="0" applyFont="1" applyFill="1"/>
    <xf numFmtId="0" fontId="4" fillId="0" borderId="3" xfId="0" applyFont="1" applyBorder="1" applyAlignment="1">
      <alignment horizontal="center"/>
    </xf>
    <xf numFmtId="11" fontId="5" fillId="0" borderId="3" xfId="0" applyNumberFormat="1" applyFont="1" applyBorder="1"/>
    <xf numFmtId="11" fontId="5" fillId="0" borderId="36" xfId="0" applyNumberFormat="1" applyFont="1" applyBorder="1"/>
    <xf numFmtId="11" fontId="5" fillId="0" borderId="0" xfId="0" applyNumberFormat="1" applyFont="1"/>
    <xf numFmtId="0" fontId="4" fillId="0" borderId="11" xfId="0" applyFont="1" applyBorder="1" applyAlignment="1">
      <alignment horizontal="center"/>
    </xf>
    <xf numFmtId="11" fontId="5" fillId="0" borderId="11" xfId="0" applyNumberFormat="1" applyFont="1" applyBorder="1"/>
    <xf numFmtId="11" fontId="5" fillId="0" borderId="38" xfId="0" applyNumberFormat="1" applyFont="1" applyBorder="1"/>
    <xf numFmtId="0" fontId="5" fillId="0" borderId="29" xfId="0" applyFont="1" applyBorder="1"/>
    <xf numFmtId="0" fontId="5" fillId="0" borderId="22" xfId="0" applyFont="1" applyBorder="1"/>
    <xf numFmtId="0" fontId="3" fillId="4" borderId="0" xfId="0" applyFont="1" applyFill="1"/>
    <xf numFmtId="10" fontId="5" fillId="4" borderId="0" xfId="0" applyNumberFormat="1" applyFont="1" applyFill="1"/>
    <xf numFmtId="0" fontId="4" fillId="0" borderId="51" xfId="0" applyFont="1" applyBorder="1" applyAlignment="1">
      <alignment horizontal="center"/>
    </xf>
    <xf numFmtId="11" fontId="5" fillId="0" borderId="51" xfId="0" applyNumberFormat="1" applyFont="1" applyBorder="1"/>
    <xf numFmtId="11" fontId="5" fillId="0" borderId="39" xfId="0" applyNumberFormat="1" applyFont="1" applyBorder="1"/>
    <xf numFmtId="0" fontId="0" fillId="8" borderId="0" xfId="0" applyFill="1"/>
    <xf numFmtId="0" fontId="25" fillId="0" borderId="21" xfId="0" applyFont="1" applyBorder="1"/>
    <xf numFmtId="0" fontId="25" fillId="0" borderId="21" xfId="0" applyFont="1" applyBorder="1" applyAlignment="1">
      <alignment horizontal="center"/>
    </xf>
    <xf numFmtId="0" fontId="5" fillId="7" borderId="30" xfId="0" applyFont="1" applyFill="1" applyBorder="1"/>
    <xf numFmtId="0" fontId="24" fillId="0" borderId="1" xfId="0" applyFont="1" applyBorder="1" applyAlignment="1">
      <alignment horizontal="center"/>
    </xf>
    <xf numFmtId="11" fontId="5" fillId="7" borderId="25" xfId="0" applyNumberFormat="1" applyFont="1" applyFill="1" applyBorder="1"/>
    <xf numFmtId="11" fontId="5" fillId="7" borderId="26" xfId="0" applyNumberFormat="1" applyFont="1" applyFill="1" applyBorder="1"/>
    <xf numFmtId="11" fontId="5" fillId="7" borderId="28" xfId="0" applyNumberFormat="1" applyFont="1" applyFill="1" applyBorder="1"/>
    <xf numFmtId="0" fontId="40" fillId="0" borderId="21" xfId="0" applyFont="1" applyBorder="1" applyAlignment="1">
      <alignment horizontal="center"/>
    </xf>
    <xf numFmtId="0" fontId="24" fillId="0" borderId="52" xfId="0" applyFont="1" applyBorder="1" applyAlignment="1">
      <alignment horizontal="left" vertical="center" wrapText="1"/>
    </xf>
    <xf numFmtId="0" fontId="31" fillId="0" borderId="25" xfId="0" applyFont="1" applyBorder="1" applyAlignment="1">
      <alignment horizontal="center" vertical="center"/>
    </xf>
    <xf numFmtId="0" fontId="31" fillId="0" borderId="26" xfId="0" applyFont="1" applyBorder="1" applyAlignment="1">
      <alignment horizontal="center" vertical="center"/>
    </xf>
    <xf numFmtId="0" fontId="31" fillId="0" borderId="28" xfId="0" applyFont="1" applyBorder="1" applyAlignment="1">
      <alignment horizontal="center" vertical="center"/>
    </xf>
    <xf numFmtId="0" fontId="0" fillId="6" borderId="0" xfId="0" applyFill="1"/>
    <xf numFmtId="0" fontId="4" fillId="0" borderId="21" xfId="0" applyFont="1" applyBorder="1" applyAlignment="1">
      <alignment horizontal="center"/>
    </xf>
    <xf numFmtId="11" fontId="0" fillId="0" borderId="41" xfId="0" applyNumberFormat="1" applyBorder="1"/>
    <xf numFmtId="11" fontId="0" fillId="0" borderId="42" xfId="0" applyNumberFormat="1" applyBorder="1"/>
    <xf numFmtId="11" fontId="0" fillId="0" borderId="53" xfId="0" applyNumberFormat="1" applyBorder="1"/>
    <xf numFmtId="0" fontId="0" fillId="0" borderId="50" xfId="0" applyBorder="1"/>
    <xf numFmtId="0" fontId="4" fillId="0" borderId="36" xfId="0" applyFont="1" applyBorder="1" applyAlignment="1">
      <alignment horizontal="center"/>
    </xf>
    <xf numFmtId="11" fontId="0" fillId="0" borderId="37" xfId="0" applyNumberFormat="1" applyBorder="1"/>
    <xf numFmtId="11" fontId="0" fillId="0" borderId="9" xfId="0" applyNumberFormat="1" applyBorder="1"/>
    <xf numFmtId="11" fontId="0" fillId="0" borderId="54" xfId="0" applyNumberFormat="1" applyBorder="1"/>
    <xf numFmtId="0" fontId="0" fillId="0" borderId="55" xfId="0" applyBorder="1"/>
    <xf numFmtId="0" fontId="4" fillId="0" borderId="38" xfId="0" applyFont="1" applyBorder="1" applyAlignment="1">
      <alignment horizontal="center"/>
    </xf>
    <xf numFmtId="0" fontId="4" fillId="0" borderId="39" xfId="0" applyFont="1" applyBorder="1" applyAlignment="1">
      <alignment horizontal="center"/>
    </xf>
    <xf numFmtId="0" fontId="0" fillId="0" borderId="56" xfId="0" applyBorder="1"/>
    <xf numFmtId="0" fontId="42" fillId="0" borderId="22" xfId="0" applyFont="1" applyBorder="1" applyAlignment="1">
      <alignment horizontal="center"/>
    </xf>
    <xf numFmtId="0" fontId="24" fillId="0" borderId="29" xfId="0" applyFont="1" applyBorder="1" applyAlignment="1">
      <alignment horizontal="center" vertical="center"/>
    </xf>
    <xf numFmtId="11" fontId="5" fillId="7" borderId="0" xfId="0" applyNumberFormat="1" applyFont="1" applyFill="1"/>
    <xf numFmtId="0" fontId="25" fillId="0" borderId="36" xfId="0" applyFont="1" applyBorder="1" applyAlignment="1">
      <alignment horizontal="center"/>
    </xf>
    <xf numFmtId="0" fontId="32" fillId="7" borderId="21" xfId="0" applyFont="1" applyFill="1" applyBorder="1" applyAlignment="1">
      <alignment horizontal="center" vertical="center"/>
    </xf>
    <xf numFmtId="0" fontId="24" fillId="0" borderId="56" xfId="0" applyFont="1" applyBorder="1" applyAlignment="1">
      <alignment horizontal="center"/>
    </xf>
    <xf numFmtId="11" fontId="5" fillId="7" borderId="21" xfId="0" applyNumberFormat="1" applyFont="1" applyFill="1" applyBorder="1" applyAlignment="1">
      <alignment horizontal="center"/>
    </xf>
    <xf numFmtId="0" fontId="24" fillId="0" borderId="21" xfId="0" applyFont="1" applyBorder="1" applyAlignment="1">
      <alignment horizontal="center"/>
    </xf>
    <xf numFmtId="11" fontId="0" fillId="0" borderId="21" xfId="0" applyNumberFormat="1" applyBorder="1" applyAlignment="1">
      <alignment horizontal="center"/>
    </xf>
    <xf numFmtId="0" fontId="24" fillId="0" borderId="57" xfId="0" applyFont="1" applyBorder="1" applyAlignment="1">
      <alignment horizontal="center" vertical="center"/>
    </xf>
    <xf numFmtId="0" fontId="31" fillId="0" borderId="21" xfId="0" applyFont="1" applyBorder="1" applyAlignment="1">
      <alignment horizontal="center"/>
    </xf>
    <xf numFmtId="0" fontId="24" fillId="0" borderId="28" xfId="0" applyFont="1" applyBorder="1"/>
    <xf numFmtId="11" fontId="5" fillId="7" borderId="9" xfId="0" applyNumberFormat="1" applyFont="1" applyFill="1" applyBorder="1"/>
    <xf numFmtId="0" fontId="24" fillId="0" borderId="25" xfId="0" applyFont="1" applyBorder="1" applyAlignment="1">
      <alignment horizontal="center"/>
    </xf>
    <xf numFmtId="0" fontId="24" fillId="0" borderId="26" xfId="0" applyFont="1" applyBorder="1" applyAlignment="1">
      <alignment horizontal="center"/>
    </xf>
    <xf numFmtId="0" fontId="24" fillId="0" borderId="28" xfId="0" applyFont="1" applyBorder="1" applyAlignment="1">
      <alignment horizontal="center"/>
    </xf>
    <xf numFmtId="0" fontId="5" fillId="0" borderId="29" xfId="0" applyFont="1" applyBorder="1" applyAlignment="1">
      <alignment horizontal="center"/>
    </xf>
    <xf numFmtId="164" fontId="5" fillId="0" borderId="58" xfId="0" applyNumberFormat="1" applyFont="1" applyBorder="1" applyAlignment="1">
      <alignment horizontal="center"/>
    </xf>
    <xf numFmtId="0" fontId="5" fillId="0" borderId="58" xfId="0" applyFont="1" applyBorder="1" applyAlignment="1">
      <alignment horizontal="center"/>
    </xf>
    <xf numFmtId="11" fontId="5" fillId="0" borderId="50" xfId="0" applyNumberFormat="1" applyFont="1" applyBorder="1"/>
    <xf numFmtId="0" fontId="5" fillId="0" borderId="57" xfId="0" applyFont="1" applyBorder="1" applyAlignment="1">
      <alignment horizontal="center"/>
    </xf>
    <xf numFmtId="0" fontId="5" fillId="0" borderId="14" xfId="0" applyFont="1" applyBorder="1" applyAlignment="1">
      <alignment horizontal="center"/>
    </xf>
    <xf numFmtId="164" fontId="5" fillId="0" borderId="0" xfId="0" applyNumberFormat="1" applyFont="1" applyAlignment="1">
      <alignment horizontal="center"/>
    </xf>
    <xf numFmtId="0" fontId="5" fillId="0" borderId="0" xfId="0" applyFont="1" applyAlignment="1">
      <alignment horizontal="center"/>
    </xf>
    <xf numFmtId="0" fontId="5" fillId="0" borderId="15" xfId="0" applyFont="1" applyBorder="1" applyAlignment="1">
      <alignment horizontal="center"/>
    </xf>
    <xf numFmtId="0" fontId="5" fillId="0" borderId="22" xfId="0" applyFont="1" applyBorder="1" applyAlignment="1">
      <alignment horizontal="center"/>
    </xf>
    <xf numFmtId="164" fontId="5" fillId="0" borderId="23" xfId="0" applyNumberFormat="1" applyFont="1" applyBorder="1" applyAlignment="1">
      <alignment horizontal="center"/>
    </xf>
    <xf numFmtId="0" fontId="5" fillId="0" borderId="23" xfId="0" applyFont="1" applyBorder="1" applyAlignment="1">
      <alignment horizontal="center"/>
    </xf>
    <xf numFmtId="0" fontId="5" fillId="0" borderId="24" xfId="0" applyFont="1" applyBorder="1" applyAlignment="1">
      <alignment horizontal="center"/>
    </xf>
    <xf numFmtId="11" fontId="5" fillId="0" borderId="21" xfId="0" applyNumberFormat="1" applyFont="1" applyBorder="1"/>
    <xf numFmtId="11" fontId="5" fillId="7" borderId="53" xfId="0" applyNumberFormat="1" applyFont="1" applyFill="1" applyBorder="1"/>
    <xf numFmtId="0" fontId="24" fillId="0" borderId="20" xfId="0" applyFont="1" applyBorder="1"/>
    <xf numFmtId="0" fontId="24" fillId="0" borderId="2" xfId="0" applyFont="1" applyBorder="1"/>
    <xf numFmtId="11" fontId="4" fillId="7" borderId="28" xfId="0" applyNumberFormat="1" applyFont="1" applyFill="1" applyBorder="1" applyAlignment="1">
      <alignment horizontal="center"/>
    </xf>
    <xf numFmtId="0" fontId="0" fillId="6" borderId="56" xfId="0" applyFill="1" applyBorder="1"/>
    <xf numFmtId="0" fontId="5" fillId="0" borderId="36" xfId="0" applyFont="1" applyBorder="1"/>
    <xf numFmtId="11" fontId="5" fillId="7" borderId="11" xfId="0" applyNumberFormat="1" applyFont="1" applyFill="1" applyBorder="1"/>
    <xf numFmtId="11" fontId="5" fillId="7" borderId="59" xfId="0" applyNumberFormat="1" applyFont="1" applyFill="1" applyBorder="1"/>
    <xf numFmtId="0" fontId="43" fillId="0" borderId="1" xfId="0" applyFont="1" applyBorder="1"/>
    <xf numFmtId="0" fontId="43" fillId="0" borderId="20" xfId="0" applyFont="1" applyBorder="1"/>
    <xf numFmtId="0" fontId="43" fillId="0" borderId="2" xfId="0" applyFont="1" applyBorder="1"/>
    <xf numFmtId="0" fontId="4" fillId="0" borderId="29" xfId="0" applyFont="1" applyBorder="1" applyAlignment="1">
      <alignment horizontal="center"/>
    </xf>
    <xf numFmtId="0" fontId="24" fillId="0" borderId="30" xfId="0" applyFont="1" applyBorder="1" applyAlignment="1">
      <alignment horizontal="center"/>
    </xf>
    <xf numFmtId="0" fontId="24" fillId="0" borderId="31" xfId="0" applyFont="1" applyBorder="1" applyAlignment="1">
      <alignment horizontal="center"/>
    </xf>
    <xf numFmtId="0" fontId="24" fillId="0" borderId="32" xfId="0" applyFont="1" applyBorder="1" applyAlignment="1">
      <alignment horizontal="center"/>
    </xf>
    <xf numFmtId="11" fontId="5" fillId="0" borderId="36" xfId="0" applyNumberFormat="1" applyFont="1" applyBorder="1" applyAlignment="1">
      <alignment horizontal="center"/>
    </xf>
    <xf numFmtId="11" fontId="5" fillId="0" borderId="4" xfId="0" applyNumberFormat="1" applyFont="1" applyBorder="1" applyAlignment="1">
      <alignment horizontal="center"/>
    </xf>
    <xf numFmtId="11" fontId="5" fillId="0" borderId="1" xfId="0" applyNumberFormat="1" applyFont="1" applyBorder="1" applyAlignment="1">
      <alignment horizontal="center"/>
    </xf>
    <xf numFmtId="164" fontId="5" fillId="0" borderId="20" xfId="0" applyNumberFormat="1" applyFont="1" applyBorder="1" applyAlignment="1">
      <alignment horizontal="center"/>
    </xf>
    <xf numFmtId="11" fontId="5" fillId="0" borderId="20" xfId="0" applyNumberFormat="1" applyFont="1" applyBorder="1" applyAlignment="1">
      <alignment horizontal="center"/>
    </xf>
    <xf numFmtId="0" fontId="5" fillId="0" borderId="2" xfId="0" applyFont="1" applyBorder="1" applyAlignment="1">
      <alignment horizontal="center"/>
    </xf>
    <xf numFmtId="11" fontId="0" fillId="0" borderId="50" xfId="0" applyNumberFormat="1" applyBorder="1"/>
    <xf numFmtId="11" fontId="5" fillId="0" borderId="29" xfId="0" applyNumberFormat="1" applyFont="1" applyBorder="1" applyAlignment="1">
      <alignment horizontal="center"/>
    </xf>
    <xf numFmtId="11" fontId="5" fillId="0" borderId="58" xfId="0" applyNumberFormat="1" applyFont="1" applyBorder="1" applyAlignment="1">
      <alignment horizontal="center"/>
    </xf>
    <xf numFmtId="11" fontId="5" fillId="0" borderId="38" xfId="0" applyNumberFormat="1" applyFont="1" applyBorder="1" applyAlignment="1">
      <alignment horizontal="center"/>
    </xf>
    <xf numFmtId="11" fontId="5" fillId="0" borderId="44" xfId="0" applyNumberFormat="1" applyFont="1" applyBorder="1" applyAlignment="1">
      <alignment horizontal="center"/>
    </xf>
    <xf numFmtId="11" fontId="5" fillId="0" borderId="14" xfId="0" applyNumberFormat="1" applyFont="1" applyBorder="1" applyAlignment="1">
      <alignment horizontal="center"/>
    </xf>
    <xf numFmtId="11" fontId="5" fillId="0" borderId="0" xfId="0" applyNumberFormat="1" applyFont="1" applyAlignment="1">
      <alignment horizontal="center"/>
    </xf>
    <xf numFmtId="11" fontId="5" fillId="7" borderId="21" xfId="0" applyNumberFormat="1" applyFont="1" applyFill="1" applyBorder="1"/>
    <xf numFmtId="11" fontId="0" fillId="0" borderId="0" xfId="0" applyNumberFormat="1"/>
    <xf numFmtId="11" fontId="5" fillId="0" borderId="39" xfId="0" applyNumberFormat="1" applyFont="1" applyBorder="1" applyAlignment="1">
      <alignment horizontal="center"/>
    </xf>
    <xf numFmtId="11" fontId="5" fillId="0" borderId="49" xfId="0" applyNumberFormat="1" applyFont="1" applyBorder="1" applyAlignment="1">
      <alignment horizontal="center"/>
    </xf>
    <xf numFmtId="11" fontId="5" fillId="0" borderId="22" xfId="0" applyNumberFormat="1" applyFont="1" applyBorder="1" applyAlignment="1">
      <alignment horizontal="center"/>
    </xf>
    <xf numFmtId="11" fontId="5" fillId="0" borderId="23" xfId="0" applyNumberFormat="1" applyFont="1" applyBorder="1" applyAlignment="1">
      <alignment horizontal="center"/>
    </xf>
    <xf numFmtId="11" fontId="0" fillId="0" borderId="21" xfId="0" applyNumberFormat="1" applyBorder="1"/>
    <xf numFmtId="0" fontId="32" fillId="0" borderId="0" xfId="0" applyFont="1" applyAlignment="1">
      <alignment horizontal="center" vertical="center"/>
    </xf>
    <xf numFmtId="0" fontId="5" fillId="0" borderId="25" xfId="0" applyFont="1" applyBorder="1" applyAlignment="1">
      <alignment horizontal="center"/>
    </xf>
    <xf numFmtId="0" fontId="5" fillId="0" borderId="26" xfId="0" applyFont="1" applyBorder="1" applyAlignment="1">
      <alignment horizontal="center"/>
    </xf>
    <xf numFmtId="0" fontId="5" fillId="7" borderId="25" xfId="0" applyFont="1" applyFill="1" applyBorder="1" applyAlignment="1">
      <alignment horizontal="center"/>
    </xf>
    <xf numFmtId="0" fontId="5" fillId="7" borderId="26" xfId="0" applyFont="1" applyFill="1" applyBorder="1" applyAlignment="1">
      <alignment horizontal="center"/>
    </xf>
    <xf numFmtId="11" fontId="5" fillId="7" borderId="50" xfId="0" applyNumberFormat="1" applyFont="1" applyFill="1" applyBorder="1"/>
    <xf numFmtId="0" fontId="5" fillId="7" borderId="50" xfId="0" applyFont="1" applyFill="1" applyBorder="1"/>
    <xf numFmtId="0" fontId="5" fillId="7" borderId="2" xfId="0" applyFont="1" applyFill="1" applyBorder="1" applyAlignment="1">
      <alignment horizontal="center"/>
    </xf>
    <xf numFmtId="0" fontId="5" fillId="7" borderId="50" xfId="0" applyFont="1" applyFill="1" applyBorder="1" applyAlignment="1">
      <alignment horizontal="center"/>
    </xf>
    <xf numFmtId="0" fontId="31" fillId="0" borderId="1" xfId="0" applyFont="1" applyBorder="1" applyAlignment="1">
      <alignment horizontal="center" vertical="center"/>
    </xf>
    <xf numFmtId="0" fontId="31" fillId="0" borderId="0" xfId="0" applyFont="1" applyAlignment="1">
      <alignment horizontal="center" vertical="center"/>
    </xf>
    <xf numFmtId="0" fontId="0" fillId="6" borderId="55" xfId="0" applyFill="1" applyBorder="1"/>
    <xf numFmtId="11" fontId="0" fillId="0" borderId="36" xfId="0" applyNumberFormat="1" applyBorder="1"/>
    <xf numFmtId="11" fontId="0" fillId="0" borderId="38" xfId="0" applyNumberFormat="1" applyBorder="1"/>
    <xf numFmtId="11" fontId="0" fillId="0" borderId="39" xfId="0" applyNumberFormat="1" applyBorder="1"/>
    <xf numFmtId="0" fontId="0" fillId="0" borderId="36" xfId="0" applyBorder="1"/>
    <xf numFmtId="0" fontId="0" fillId="0" borderId="38" xfId="0" applyBorder="1"/>
    <xf numFmtId="0" fontId="0" fillId="0" borderId="39" xfId="0" applyBorder="1"/>
    <xf numFmtId="0" fontId="24" fillId="0" borderId="0" xfId="0" applyFont="1" applyAlignment="1">
      <alignment horizontal="center" vertical="center"/>
    </xf>
    <xf numFmtId="11" fontId="5" fillId="7" borderId="3" xfId="0" applyNumberFormat="1" applyFont="1" applyFill="1" applyBorder="1"/>
    <xf numFmtId="11" fontId="5" fillId="7" borderId="51" xfId="0" applyNumberFormat="1" applyFont="1" applyFill="1" applyBorder="1"/>
    <xf numFmtId="10" fontId="5" fillId="0" borderId="0" xfId="0" applyNumberFormat="1" applyFont="1"/>
    <xf numFmtId="11" fontId="5" fillId="0" borderId="57" xfId="0" applyNumberFormat="1" applyFont="1" applyBorder="1" applyAlignment="1">
      <alignment horizontal="center"/>
    </xf>
    <xf numFmtId="11" fontId="5" fillId="0" borderId="15" xfId="0" applyNumberFormat="1" applyFont="1" applyBorder="1" applyAlignment="1">
      <alignment horizontal="center"/>
    </xf>
    <xf numFmtId="11" fontId="5" fillId="0" borderId="24" xfId="0" applyNumberFormat="1" applyFont="1" applyBorder="1" applyAlignment="1">
      <alignment horizontal="center"/>
    </xf>
    <xf numFmtId="11" fontId="5" fillId="0" borderId="2" xfId="0" applyNumberFormat="1" applyFont="1" applyBorder="1" applyAlignment="1">
      <alignment horizontal="center"/>
    </xf>
    <xf numFmtId="0" fontId="5" fillId="7" borderId="5" xfId="0" applyFont="1" applyFill="1" applyBorder="1"/>
    <xf numFmtId="0" fontId="5" fillId="7" borderId="4" xfId="0" applyFont="1" applyFill="1" applyBorder="1"/>
    <xf numFmtId="0" fontId="31" fillId="0" borderId="27" xfId="0" applyFont="1" applyBorder="1" applyAlignment="1">
      <alignment horizontal="center" vertical="center"/>
    </xf>
    <xf numFmtId="0" fontId="42" fillId="0" borderId="1" xfId="0" applyFont="1" applyBorder="1" applyAlignment="1">
      <alignment horizontal="center" vertical="center"/>
    </xf>
    <xf numFmtId="0" fontId="42" fillId="0" borderId="20" xfId="0" applyFont="1" applyBorder="1" applyAlignment="1">
      <alignment horizontal="center" vertical="center"/>
    </xf>
    <xf numFmtId="0" fontId="42" fillId="0" borderId="2" xfId="0" applyFont="1" applyBorder="1" applyAlignment="1">
      <alignment horizontal="center" vertical="center"/>
    </xf>
    <xf numFmtId="0" fontId="24" fillId="0" borderId="21" xfId="0" applyFont="1" applyBorder="1" applyAlignment="1">
      <alignment horizontal="center" vertical="center"/>
    </xf>
    <xf numFmtId="0" fontId="25" fillId="0" borderId="21" xfId="0" applyFont="1" applyBorder="1" applyAlignment="1">
      <alignment horizontal="center" vertical="center"/>
    </xf>
    <xf numFmtId="11" fontId="5" fillId="0" borderId="1" xfId="0" applyNumberFormat="1" applyFont="1" applyBorder="1"/>
    <xf numFmtId="11" fontId="0" fillId="0" borderId="25" xfId="0" applyNumberFormat="1" applyBorder="1"/>
    <xf numFmtId="11" fontId="0" fillId="0" borderId="26" xfId="0" applyNumberFormat="1" applyBorder="1"/>
    <xf numFmtId="11" fontId="0" fillId="0" borderId="28" xfId="0" applyNumberFormat="1" applyBorder="1"/>
    <xf numFmtId="0" fontId="0" fillId="0" borderId="21" xfId="0" applyBorder="1"/>
    <xf numFmtId="11" fontId="5" fillId="0" borderId="29" xfId="0" applyNumberFormat="1" applyFont="1" applyBorder="1"/>
    <xf numFmtId="0" fontId="5" fillId="0" borderId="58" xfId="0" applyFont="1" applyBorder="1"/>
    <xf numFmtId="11" fontId="5" fillId="0" borderId="58" xfId="0" applyNumberFormat="1" applyFont="1" applyBorder="1"/>
    <xf numFmtId="11" fontId="5" fillId="0" borderId="57" xfId="0" applyNumberFormat="1" applyFont="1" applyBorder="1"/>
    <xf numFmtId="11" fontId="5" fillId="0" borderId="14" xfId="0" applyNumberFormat="1" applyFont="1" applyBorder="1"/>
    <xf numFmtId="11" fontId="5" fillId="0" borderId="15" xfId="0" applyNumberFormat="1" applyFont="1" applyBorder="1"/>
    <xf numFmtId="11" fontId="5" fillId="0" borderId="22" xfId="0" applyNumberFormat="1" applyFont="1" applyBorder="1"/>
    <xf numFmtId="0" fontId="5" fillId="0" borderId="23" xfId="0" applyFont="1" applyBorder="1"/>
    <xf numFmtId="11" fontId="5" fillId="0" borderId="23" xfId="0" applyNumberFormat="1" applyFont="1" applyBorder="1"/>
    <xf numFmtId="11" fontId="5" fillId="0" borderId="24" xfId="0" applyNumberFormat="1" applyFont="1" applyBorder="1"/>
    <xf numFmtId="0" fontId="5" fillId="0" borderId="38" xfId="0" applyFont="1" applyBorder="1"/>
    <xf numFmtId="0" fontId="24" fillId="0" borderId="21" xfId="0" applyFont="1" applyBorder="1"/>
    <xf numFmtId="0" fontId="24" fillId="0" borderId="14" xfId="0" applyFont="1" applyBorder="1"/>
    <xf numFmtId="10" fontId="5" fillId="0" borderId="14" xfId="0" applyNumberFormat="1" applyFont="1" applyBorder="1"/>
    <xf numFmtId="0" fontId="5" fillId="0" borderId="39" xfId="0" applyFont="1" applyBorder="1"/>
    <xf numFmtId="0" fontId="5" fillId="7" borderId="2" xfId="0" applyFont="1" applyFill="1" applyBorder="1"/>
    <xf numFmtId="0" fontId="44" fillId="0" borderId="33" xfId="0" applyFont="1" applyBorder="1" applyAlignment="1">
      <alignment horizontal="center"/>
    </xf>
    <xf numFmtId="0" fontId="44" fillId="0" borderId="34" xfId="0" applyFont="1" applyBorder="1" applyAlignment="1">
      <alignment horizontal="center"/>
    </xf>
    <xf numFmtId="0" fontId="44" fillId="0" borderId="35" xfId="0" applyFont="1" applyBorder="1" applyAlignment="1">
      <alignment horizontal="center"/>
    </xf>
    <xf numFmtId="0" fontId="0" fillId="7" borderId="16" xfId="0" applyFill="1" applyBorder="1" applyAlignment="1">
      <alignment horizontal="center"/>
    </xf>
    <xf numFmtId="0" fontId="0" fillId="7" borderId="17" xfId="0" applyFill="1" applyBorder="1" applyAlignment="1">
      <alignment horizontal="center"/>
    </xf>
    <xf numFmtId="0" fontId="0" fillId="7" borderId="18" xfId="0" applyFill="1" applyBorder="1" applyAlignment="1">
      <alignment horizontal="center"/>
    </xf>
    <xf numFmtId="0" fontId="42" fillId="0" borderId="1" xfId="0" applyFont="1" applyBorder="1" applyAlignment="1">
      <alignment horizontal="center"/>
    </xf>
    <xf numFmtId="0" fontId="42" fillId="0" borderId="20" xfId="0" applyFont="1" applyBorder="1" applyAlignment="1">
      <alignment horizontal="center"/>
    </xf>
    <xf numFmtId="11" fontId="0" fillId="0" borderId="1" xfId="0" applyNumberFormat="1" applyBorder="1"/>
    <xf numFmtId="11" fontId="0" fillId="0" borderId="2" xfId="0" applyNumberFormat="1" applyBorder="1"/>
    <xf numFmtId="11" fontId="0" fillId="0" borderId="29" xfId="0" applyNumberFormat="1" applyBorder="1"/>
    <xf numFmtId="11" fontId="0" fillId="0" borderId="57" xfId="0" applyNumberFormat="1" applyBorder="1"/>
    <xf numFmtId="11" fontId="0" fillId="0" borderId="14" xfId="0" applyNumberFormat="1" applyBorder="1"/>
    <xf numFmtId="11" fontId="0" fillId="0" borderId="15" xfId="0" applyNumberFormat="1" applyBorder="1"/>
    <xf numFmtId="11" fontId="0" fillId="0" borderId="22" xfId="0" applyNumberFormat="1" applyBorder="1"/>
    <xf numFmtId="11" fontId="0" fillId="0" borderId="24" xfId="0" applyNumberFormat="1" applyBorder="1"/>
    <xf numFmtId="11" fontId="0" fillId="0" borderId="55" xfId="0" applyNumberFormat="1" applyBorder="1"/>
    <xf numFmtId="11" fontId="0" fillId="0" borderId="56" xfId="0" applyNumberFormat="1" applyBorder="1"/>
    <xf numFmtId="11" fontId="0" fillId="0" borderId="60" xfId="0" applyNumberFormat="1" applyBorder="1"/>
    <xf numFmtId="11" fontId="0" fillId="0" borderId="61" xfId="0" applyNumberFormat="1" applyBorder="1"/>
    <xf numFmtId="11" fontId="0" fillId="0" borderId="62" xfId="0" applyNumberFormat="1" applyBorder="1"/>
    <xf numFmtId="11" fontId="0" fillId="0" borderId="45" xfId="0" applyNumberFormat="1" applyBorder="1"/>
    <xf numFmtId="11" fontId="0" fillId="0" borderId="46" xfId="0" applyNumberFormat="1" applyBorder="1"/>
    <xf numFmtId="11" fontId="0" fillId="0" borderId="47" xfId="0" applyNumberFormat="1" applyBorder="1"/>
    <xf numFmtId="0" fontId="42" fillId="3" borderId="25" xfId="0" applyFont="1" applyFill="1" applyBorder="1" applyAlignment="1">
      <alignment horizontal="center"/>
    </xf>
    <xf numFmtId="0" fontId="42" fillId="5" borderId="26" xfId="0" applyFont="1" applyFill="1" applyBorder="1" applyAlignment="1">
      <alignment horizontal="center"/>
    </xf>
    <xf numFmtId="0" fontId="42" fillId="10" borderId="28" xfId="0" applyFont="1" applyFill="1" applyBorder="1" applyAlignment="1">
      <alignment horizontal="center"/>
    </xf>
    <xf numFmtId="0" fontId="42" fillId="2" borderId="2" xfId="0" applyFont="1" applyFill="1" applyBorder="1" applyAlignment="1">
      <alignment horizontal="center"/>
    </xf>
    <xf numFmtId="0" fontId="2" fillId="3" borderId="10" xfId="0" applyFont="1" applyFill="1" applyBorder="1"/>
    <xf numFmtId="0" fontId="19" fillId="3" borderId="10" xfId="0" applyFont="1" applyFill="1" applyBorder="1"/>
    <xf numFmtId="0" fontId="24" fillId="0" borderId="29" xfId="0" applyFont="1" applyBorder="1" applyAlignment="1">
      <alignment horizontal="center"/>
    </xf>
    <xf numFmtId="0" fontId="24" fillId="0" borderId="58" xfId="0" applyFont="1" applyBorder="1" applyAlignment="1">
      <alignment horizontal="center"/>
    </xf>
    <xf numFmtId="0" fontId="24" fillId="0" borderId="57" xfId="0" applyFont="1" applyBorder="1" applyAlignment="1">
      <alignment horizontal="center"/>
    </xf>
    <xf numFmtId="0" fontId="26" fillId="0" borderId="0" xfId="0" applyFont="1" applyAlignment="1">
      <alignment horizontal="center" vertical="top"/>
    </xf>
    <xf numFmtId="0" fontId="26" fillId="0" borderId="1" xfId="0" applyFont="1" applyBorder="1" applyAlignment="1">
      <alignment horizontal="center" vertical="top"/>
    </xf>
    <xf numFmtId="0" fontId="26" fillId="0" borderId="2" xfId="0" applyFont="1" applyBorder="1" applyAlignment="1">
      <alignment horizontal="center" vertical="top"/>
    </xf>
    <xf numFmtId="0" fontId="33" fillId="8" borderId="0" xfId="0" applyFont="1" applyFill="1" applyAlignment="1">
      <alignment horizontal="center"/>
    </xf>
    <xf numFmtId="0" fontId="37" fillId="8" borderId="0" xfId="0" applyFont="1" applyFill="1" applyAlignment="1">
      <alignment horizontal="center"/>
    </xf>
    <xf numFmtId="0" fontId="43" fillId="0" borderId="1" xfId="0" applyFont="1" applyBorder="1" applyAlignment="1">
      <alignment horizontal="center"/>
    </xf>
    <xf numFmtId="0" fontId="43" fillId="0" borderId="20" xfId="0" applyFont="1" applyBorder="1" applyAlignment="1">
      <alignment horizontal="center"/>
    </xf>
    <xf numFmtId="0" fontId="43" fillId="0" borderId="2" xfId="0" applyFont="1" applyBorder="1" applyAlignment="1">
      <alignment horizontal="center"/>
    </xf>
    <xf numFmtId="0" fontId="22" fillId="0" borderId="19" xfId="0" applyFont="1" applyBorder="1" applyAlignment="1">
      <alignment horizontal="center"/>
    </xf>
    <xf numFmtId="0" fontId="38" fillId="0" borderId="1" xfId="0" applyFont="1" applyBorder="1" applyAlignment="1">
      <alignment horizontal="center"/>
    </xf>
    <xf numFmtId="0" fontId="0" fillId="0" borderId="20" xfId="0" applyBorder="1" applyAlignment="1">
      <alignment horizontal="center"/>
    </xf>
    <xf numFmtId="0" fontId="0" fillId="0" borderId="2" xfId="0" applyBorder="1" applyAlignment="1">
      <alignment horizontal="center"/>
    </xf>
    <xf numFmtId="0" fontId="24" fillId="0" borderId="1" xfId="0" applyFont="1" applyBorder="1" applyAlignment="1">
      <alignment horizontal="center"/>
    </xf>
    <xf numFmtId="0" fontId="24" fillId="0" borderId="20" xfId="0" applyFont="1" applyBorder="1" applyAlignment="1">
      <alignment horizontal="center"/>
    </xf>
    <xf numFmtId="0" fontId="24" fillId="0" borderId="2" xfId="0" applyFont="1" applyBorder="1" applyAlignment="1">
      <alignment horizontal="center"/>
    </xf>
    <xf numFmtId="0" fontId="26" fillId="0" borderId="23" xfId="0" applyFont="1" applyBorder="1" applyAlignment="1">
      <alignment horizontal="center" vertical="top"/>
    </xf>
    <xf numFmtId="0" fontId="38" fillId="0" borderId="20" xfId="0" applyFont="1" applyBorder="1" applyAlignment="1">
      <alignment horizontal="center"/>
    </xf>
    <xf numFmtId="0" fontId="34" fillId="9" borderId="0" xfId="0" applyFont="1" applyFill="1" applyAlignment="1">
      <alignment horizontal="center"/>
    </xf>
    <xf numFmtId="0" fontId="32" fillId="0" borderId="14" xfId="0" applyFont="1" applyFill="1" applyBorder="1" applyAlignment="1">
      <alignment horizontal="center" vertical="center"/>
    </xf>
    <xf numFmtId="11" fontId="5" fillId="0" borderId="14" xfId="0" applyNumberFormat="1" applyFont="1" applyFill="1" applyBorder="1" applyAlignment="1">
      <alignment horizontal="center"/>
    </xf>
  </cellXfs>
  <cellStyles count="1">
    <cellStyle name="Normal" xfId="0" builtinId="0"/>
  </cellStyles>
  <dxfs count="0"/>
  <tableStyles count="0" defaultTableStyle="TableStyleMedium2" defaultPivotStyle="PivotStyleLight16"/>
  <colors>
    <mruColors>
      <color rgb="FFFD704F"/>
      <color rgb="FFFF4023"/>
      <color rgb="FFFF502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1"/>
          <c:order val="0"/>
          <c:tx>
            <c:strRef>
              <c:f>'CH4'!$E$64</c:f>
              <c:strCache>
                <c:ptCount val="1"/>
                <c:pt idx="0">
                  <c:v>Qtransl</c:v>
                </c:pt>
              </c:strCache>
            </c:strRef>
          </c:tx>
          <c:spPr>
            <a:ln w="28575" cap="rnd">
              <a:solidFill>
                <a:schemeClr val="accent2"/>
              </a:solidFill>
              <a:round/>
            </a:ln>
            <a:effectLst/>
          </c:spPr>
          <c:marker>
            <c:symbol val="triangle"/>
            <c:size val="6"/>
            <c:spPr>
              <a:solidFill>
                <a:schemeClr val="accent2"/>
              </a:solidFill>
              <a:ln w="9525">
                <a:solidFill>
                  <a:schemeClr val="accent2"/>
                </a:solidFill>
              </a:ln>
              <a:effectLst/>
            </c:spPr>
          </c:marker>
          <c:cat>
            <c:numRef>
              <c:f>'CH4'!$C$66:$C$83</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'CH4'!$E$66:$E$83</c:f>
              <c:numCache>
                <c:formatCode>0.00E+00</c:formatCode>
                <c:ptCount val="18"/>
                <c:pt idx="0">
                  <c:v>2561019.5780483168</c:v>
                </c:pt>
                <c:pt idx="1">
                  <c:v>5257263.4410172841</c:v>
                </c:pt>
                <c:pt idx="2">
                  <c:v>9184061.2732337248</c:v>
                </c:pt>
                <c:pt idx="3">
                  <c:v>14487314.483115843</c:v>
                </c:pt>
                <c:pt idx="4">
                  <c:v>21298786.576327905</c:v>
                </c:pt>
                <c:pt idx="5">
                  <c:v>29739573.03701964</c:v>
                </c:pt>
                <c:pt idx="6">
                  <c:v>39922344.255225062</c:v>
                </c:pt>
                <c:pt idx="7">
                  <c:v>51952896.041090004</c:v>
                </c:pt>
                <c:pt idx="8">
                  <c:v>65931275.037711106</c:v>
                </c:pt>
                <c:pt idx="9">
                  <c:v>81952626.497546583</c:v>
                </c:pt>
                <c:pt idx="10">
                  <c:v>100107851.90564039</c:v>
                </c:pt>
                <c:pt idx="11">
                  <c:v>120484131.35333039</c:v>
                </c:pt>
                <c:pt idx="12">
                  <c:v>143165346.70559824</c:v>
                </c:pt>
                <c:pt idx="13">
                  <c:v>168232430.11255404</c:v>
                </c:pt>
                <c:pt idx="14">
                  <c:v>195763655.11076817</c:v>
                </c:pt>
                <c:pt idx="15">
                  <c:v>225834882.74986503</c:v>
                </c:pt>
                <c:pt idx="16">
                  <c:v>258519771.9152036</c:v>
                </c:pt>
                <c:pt idx="17">
                  <c:v>293889960.74347669</c:v>
                </c:pt>
              </c:numCache>
            </c:numRef>
          </c:val>
          <c:smooth val="0"/>
          <c:extLst>
            <c:ext xmlns:c16="http://schemas.microsoft.com/office/drawing/2014/chart" uri="{C3380CC4-5D6E-409C-BE32-E72D297353CC}">
              <c16:uniqueId val="{00000000-B6E9-D94A-94E7-45511B8FA3EE}"/>
            </c:ext>
          </c:extLst>
        </c:ser>
        <c:dLbls>
          <c:showLegendKey val="0"/>
          <c:showVal val="0"/>
          <c:showCatName val="0"/>
          <c:showSerName val="0"/>
          <c:showPercent val="0"/>
          <c:showBubbleSize val="0"/>
        </c:dLbls>
        <c:marker val="1"/>
        <c:smooth val="0"/>
        <c:axId val="221762047"/>
        <c:axId val="221763759"/>
      </c:lineChart>
      <c:catAx>
        <c:axId val="2217620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221763759"/>
        <c:crosses val="autoZero"/>
        <c:auto val="1"/>
        <c:lblAlgn val="ctr"/>
        <c:lblOffset val="100"/>
        <c:noMultiLvlLbl val="0"/>
      </c:catAx>
      <c:valAx>
        <c:axId val="221763759"/>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2217620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1"/>
          <c:order val="0"/>
          <c:tx>
            <c:v>Qvib</c:v>
          </c:tx>
          <c:spPr>
            <a:ln w="28575" cap="rnd">
              <a:solidFill>
                <a:schemeClr val="accent2"/>
              </a:solidFill>
              <a:round/>
            </a:ln>
            <a:effectLst/>
          </c:spPr>
          <c:marker>
            <c:symbol val="diamond"/>
            <c:size val="6"/>
            <c:spPr>
              <a:solidFill>
                <a:schemeClr val="accent2"/>
              </a:solidFill>
              <a:ln w="9525">
                <a:solidFill>
                  <a:schemeClr val="accent2"/>
                </a:solidFill>
              </a:ln>
              <a:effectLst/>
            </c:spPr>
          </c:marker>
          <c:cat>
            <c:numRef>
              <c:f>'CH4'!$C$102:$C$120</c:f>
              <c:numCache>
                <c:formatCode>General</c:formatCode>
                <c:ptCount val="19"/>
                <c:pt idx="0">
                  <c:v>298.14999999999998</c:v>
                </c:pt>
                <c:pt idx="1">
                  <c:v>300</c:v>
                </c:pt>
                <c:pt idx="2">
                  <c:v>400</c:v>
                </c:pt>
                <c:pt idx="3">
                  <c:v>500</c:v>
                </c:pt>
                <c:pt idx="4">
                  <c:v>600</c:v>
                </c:pt>
                <c:pt idx="5">
                  <c:v>700</c:v>
                </c:pt>
                <c:pt idx="6">
                  <c:v>800</c:v>
                </c:pt>
                <c:pt idx="7">
                  <c:v>900</c:v>
                </c:pt>
                <c:pt idx="8">
                  <c:v>1000</c:v>
                </c:pt>
                <c:pt idx="9">
                  <c:v>1100</c:v>
                </c:pt>
                <c:pt idx="10">
                  <c:v>1200</c:v>
                </c:pt>
                <c:pt idx="11">
                  <c:v>1300</c:v>
                </c:pt>
                <c:pt idx="12">
                  <c:v>1400</c:v>
                </c:pt>
                <c:pt idx="13">
                  <c:v>1500</c:v>
                </c:pt>
                <c:pt idx="14">
                  <c:v>1600</c:v>
                </c:pt>
                <c:pt idx="15">
                  <c:v>1700</c:v>
                </c:pt>
                <c:pt idx="16">
                  <c:v>1800</c:v>
                </c:pt>
                <c:pt idx="17">
                  <c:v>1900</c:v>
                </c:pt>
                <c:pt idx="18">
                  <c:v>2000</c:v>
                </c:pt>
              </c:numCache>
            </c:numRef>
          </c:cat>
          <c:val>
            <c:numRef>
              <c:f>'CH4'!$M$102:$M$120</c:f>
              <c:numCache>
                <c:formatCode>General</c:formatCode>
                <c:ptCount val="19"/>
                <c:pt idx="0">
                  <c:v>2.5355808117016426E-21</c:v>
                </c:pt>
                <c:pt idx="1">
                  <c:v>3.3978367772632512E-21</c:v>
                </c:pt>
                <c:pt idx="2">
                  <c:v>4.5703494617055732E-16</c:v>
                </c:pt>
                <c:pt idx="3">
                  <c:v>5.6806048065785407E-13</c:v>
                </c:pt>
                <c:pt idx="4">
                  <c:v>6.8947857557642675E-11</c:v>
                </c:pt>
                <c:pt idx="5">
                  <c:v>2.2356883107766513E-9</c:v>
                </c:pt>
                <c:pt idx="6">
                  <c:v>3.1939537355046428E-8</c:v>
                </c:pt>
                <c:pt idx="7">
                  <c:v>2.6495611538135276E-7</c:v>
                </c:pt>
                <c:pt idx="8">
                  <c:v>1.5044841838196512E-6</c:v>
                </c:pt>
                <c:pt idx="9">
                  <c:v>6.4879933666317555E-6</c:v>
                </c:pt>
                <c:pt idx="10">
                  <c:v>2.2762808596289294E-5</c:v>
                </c:pt>
                <c:pt idx="11">
                  <c:v>6.8121566395477971E-5</c:v>
                </c:pt>
                <c:pt idx="12">
                  <c:v>1.798357952614356E-4</c:v>
                </c:pt>
                <c:pt idx="13">
                  <c:v>4.2918288474663252E-4</c:v>
                </c:pt>
                <c:pt idx="14">
                  <c:v>9.4304016652811847E-4</c:v>
                </c:pt>
                <c:pt idx="15">
                  <c:v>1.9346248076668661E-3</c:v>
                </c:pt>
                <c:pt idx="16">
                  <c:v>3.7457906843177419E-3</c:v>
                </c:pt>
                <c:pt idx="17">
                  <c:v>6.9036527261848567E-3</c:v>
                </c:pt>
                <c:pt idx="18">
                  <c:v>1.2194694474482135E-2</c:v>
                </c:pt>
              </c:numCache>
            </c:numRef>
          </c:val>
          <c:smooth val="0"/>
          <c:extLst>
            <c:ext xmlns:c16="http://schemas.microsoft.com/office/drawing/2014/chart" uri="{C3380CC4-5D6E-409C-BE32-E72D297353CC}">
              <c16:uniqueId val="{00000000-5776-0841-B6A6-E116A111A941}"/>
            </c:ext>
          </c:extLst>
        </c:ser>
        <c:dLbls>
          <c:showLegendKey val="0"/>
          <c:showVal val="0"/>
          <c:showCatName val="0"/>
          <c:showSerName val="0"/>
          <c:showPercent val="0"/>
          <c:showBubbleSize val="0"/>
        </c:dLbls>
        <c:marker val="1"/>
        <c:smooth val="0"/>
        <c:axId val="1670626112"/>
        <c:axId val="1670627824"/>
      </c:lineChart>
      <c:catAx>
        <c:axId val="1670626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670627824"/>
        <c:crosses val="autoZero"/>
        <c:auto val="1"/>
        <c:lblAlgn val="ctr"/>
        <c:lblOffset val="100"/>
        <c:noMultiLvlLbl val="0"/>
      </c:catAx>
      <c:valAx>
        <c:axId val="16706278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6706261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Qrot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tx>
            <c:strRef>
              <c:f>'CH4'!$D$136</c:f>
              <c:strCache>
                <c:ptCount val="1"/>
                <c:pt idx="0">
                  <c:v>Qrot(1) and 𝜎=12</c:v>
                </c:pt>
              </c:strCache>
            </c:strRef>
          </c:tx>
          <c:spPr>
            <a:ln w="28575" cap="rnd">
              <a:solidFill>
                <a:schemeClr val="accent1"/>
              </a:solidFill>
              <a:round/>
            </a:ln>
            <a:effectLst/>
          </c:spPr>
          <c:marker>
            <c:symbol val="square"/>
            <c:size val="5"/>
            <c:spPr>
              <a:solidFill>
                <a:schemeClr val="accent1"/>
              </a:solidFill>
              <a:ln w="9525">
                <a:solidFill>
                  <a:schemeClr val="accent1"/>
                </a:solidFill>
              </a:ln>
              <a:effectLst/>
            </c:spPr>
          </c:marker>
          <c:cat>
            <c:numRef>
              <c:f>'CH4'!$C$138:$C$155</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'CH4'!$D$138:$D$155</c:f>
              <c:numCache>
                <c:formatCode>0.00E+00</c:formatCode>
                <c:ptCount val="18"/>
                <c:pt idx="0">
                  <c:v>249.17524638314001</c:v>
                </c:pt>
                <c:pt idx="1">
                  <c:v>383.63038819919609</c:v>
                </c:pt>
                <c:pt idx="2">
                  <c:v>536.13976640501767</c:v>
                </c:pt>
                <c:pt idx="3">
                  <c:v>704.77402568539014</c:v>
                </c:pt>
                <c:pt idx="4">
                  <c:v>888.11677722445518</c:v>
                </c:pt>
                <c:pt idx="5">
                  <c:v>1085.0705958595045</c:v>
                </c:pt>
                <c:pt idx="6">
                  <c:v>1294.7525601722703</c:v>
                </c:pt>
                <c:pt idx="7">
                  <c:v>1516.4322579550208</c:v>
                </c:pt>
                <c:pt idx="8">
                  <c:v>1749.4923267732656</c:v>
                </c:pt>
                <c:pt idx="9">
                  <c:v>1993.4019710651312</c:v>
                </c:pt>
                <c:pt idx="10">
                  <c:v>2247.6984326522916</c:v>
                </c:pt>
                <c:pt idx="11">
                  <c:v>2511.9735826438255</c:v>
                </c:pt>
                <c:pt idx="12">
                  <c:v>2785.86394611479</c:v>
                </c:pt>
                <c:pt idx="13">
                  <c:v>3069.0431055935424</c:v>
                </c:pt>
                <c:pt idx="14">
                  <c:v>3361.2157999517285</c:v>
                </c:pt>
                <c:pt idx="15">
                  <c:v>3662.1132610258333</c:v>
                </c:pt>
                <c:pt idx="16">
                  <c:v>3971.4894728499617</c:v>
                </c:pt>
                <c:pt idx="17">
                  <c:v>4289.118131240105</c:v>
                </c:pt>
              </c:numCache>
            </c:numRef>
          </c:val>
          <c:smooth val="0"/>
          <c:extLst>
            <c:ext xmlns:c16="http://schemas.microsoft.com/office/drawing/2014/chart" uri="{C3380CC4-5D6E-409C-BE32-E72D297353CC}">
              <c16:uniqueId val="{00000000-6ECE-FC45-A5D3-DCB41B8F89CA}"/>
            </c:ext>
          </c:extLst>
        </c:ser>
        <c:ser>
          <c:idx val="1"/>
          <c:order val="1"/>
          <c:tx>
            <c:strRef>
              <c:f>'CH4'!$E$136</c:f>
              <c:strCache>
                <c:ptCount val="1"/>
                <c:pt idx="0">
                  <c:v>Qrot(2) and 𝜎=3</c:v>
                </c:pt>
              </c:strCache>
            </c:strRef>
          </c:tx>
          <c:spPr>
            <a:ln w="28575" cap="rnd">
              <a:solidFill>
                <a:schemeClr val="accent2"/>
              </a:solidFill>
              <a:round/>
            </a:ln>
            <a:effectLst/>
          </c:spPr>
          <c:marker>
            <c:symbol val="x"/>
            <c:size val="5"/>
            <c:spPr>
              <a:noFill/>
              <a:ln w="9525">
                <a:solidFill>
                  <a:schemeClr val="accent2"/>
                </a:solidFill>
              </a:ln>
              <a:effectLst/>
            </c:spPr>
          </c:marker>
          <c:cat>
            <c:numRef>
              <c:f>'CH4'!$C$138:$C$155</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'CH4'!$E$138:$E$155</c:f>
              <c:numCache>
                <c:formatCode>0.00E+00</c:formatCode>
                <c:ptCount val="18"/>
                <c:pt idx="0">
                  <c:v>147.76790334428063</c:v>
                </c:pt>
                <c:pt idx="1">
                  <c:v>227.50357006241873</c:v>
                </c:pt>
                <c:pt idx="2">
                  <c:v>317.9459048646591</c:v>
                </c:pt>
                <c:pt idx="3">
                  <c:v>417.95074598583614</c:v>
                </c:pt>
                <c:pt idx="4">
                  <c:v>526.67813516895399</c:v>
                </c:pt>
                <c:pt idx="5">
                  <c:v>643.47726854113989</c:v>
                </c:pt>
                <c:pt idx="6">
                  <c:v>767.82454896066304</c:v>
                </c:pt>
                <c:pt idx="7">
                  <c:v>899.28682152117278</c:v>
                </c:pt>
                <c:pt idx="8">
                  <c:v>1037.4979729996389</c:v>
                </c:pt>
                <c:pt idx="9">
                  <c:v>1182.143226754245</c:v>
                </c:pt>
                <c:pt idx="10">
                  <c:v>1332.9481542181418</c:v>
                </c:pt>
                <c:pt idx="11">
                  <c:v>1489.6707235226113</c:v>
                </c:pt>
                <c:pt idx="12">
                  <c:v>1652.0953838521509</c:v>
                </c:pt>
                <c:pt idx="13">
                  <c:v>1820.0285604993505</c:v>
                </c:pt>
                <c:pt idx="14">
                  <c:v>1993.2951553414787</c:v>
                </c:pt>
                <c:pt idx="15">
                  <c:v>2171.7357813263507</c:v>
                </c:pt>
                <c:pt idx="16">
                  <c:v>2355.2045440924217</c:v>
                </c:pt>
                <c:pt idx="17">
                  <c:v>2543.5672389172692</c:v>
                </c:pt>
              </c:numCache>
            </c:numRef>
          </c:val>
          <c:smooth val="0"/>
          <c:extLst>
            <c:ext xmlns:c16="http://schemas.microsoft.com/office/drawing/2014/chart" uri="{C3380CC4-5D6E-409C-BE32-E72D297353CC}">
              <c16:uniqueId val="{00000001-6ECE-FC45-A5D3-DCB41B8F89CA}"/>
            </c:ext>
          </c:extLst>
        </c:ser>
        <c:dLbls>
          <c:showLegendKey val="0"/>
          <c:showVal val="0"/>
          <c:showCatName val="0"/>
          <c:showSerName val="0"/>
          <c:showPercent val="0"/>
          <c:showBubbleSize val="0"/>
        </c:dLbls>
        <c:marker val="1"/>
        <c:smooth val="0"/>
        <c:axId val="721149247"/>
        <c:axId val="696234255"/>
      </c:lineChart>
      <c:catAx>
        <c:axId val="721149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6234255"/>
        <c:crosses val="autoZero"/>
        <c:auto val="1"/>
        <c:lblAlgn val="ctr"/>
        <c:lblOffset val="100"/>
        <c:noMultiLvlLbl val="0"/>
      </c:catAx>
      <c:valAx>
        <c:axId val="696234255"/>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T"/>
            </a:p>
          </c:txPr>
        </c:title>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2114924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IT"/>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tx>
            <c:strRef>
              <c:f>'CH4'!$D$174</c:f>
              <c:strCache>
                <c:ptCount val="1"/>
                <c:pt idx="0">
                  <c:v>Qel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'CH4'!$C$176:$C$193</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'CH4'!$D$176:$D$193</c:f>
              <c:numCache>
                <c:formatCode>0.00E+00</c:formatCode>
                <c:ptCount val="18"/>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numCache>
            </c:numRef>
          </c:val>
          <c:smooth val="0"/>
          <c:extLst>
            <c:ext xmlns:c16="http://schemas.microsoft.com/office/drawing/2014/chart" uri="{C3380CC4-5D6E-409C-BE32-E72D297353CC}">
              <c16:uniqueId val="{00000000-4C46-7045-9606-139BAADD2D4C}"/>
            </c:ext>
          </c:extLst>
        </c:ser>
        <c:dLbls>
          <c:showLegendKey val="0"/>
          <c:showVal val="0"/>
          <c:showCatName val="0"/>
          <c:showSerName val="0"/>
          <c:showPercent val="0"/>
          <c:showBubbleSize val="0"/>
        </c:dLbls>
        <c:marker val="1"/>
        <c:smooth val="0"/>
        <c:axId val="1005151871"/>
        <c:axId val="751999423"/>
      </c:lineChart>
      <c:catAx>
        <c:axId val="10051518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999423"/>
        <c:crosses val="autoZero"/>
        <c:auto val="1"/>
        <c:lblAlgn val="ctr"/>
        <c:lblOffset val="100"/>
        <c:noMultiLvlLbl val="0"/>
      </c:catAx>
      <c:valAx>
        <c:axId val="751999423"/>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0051518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Cv</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'CH4'!$C$215:$C$232</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'CH4'!$H$215:$H$232</c:f>
              <c:numCache>
                <c:formatCode>0.00E+00</c:formatCode>
                <c:ptCount val="18"/>
                <c:pt idx="0">
                  <c:v>27.0948541465064</c:v>
                </c:pt>
                <c:pt idx="1">
                  <c:v>31.586053313565774</c:v>
                </c:pt>
                <c:pt idx="2">
                  <c:v>37.203725057213674</c:v>
                </c:pt>
                <c:pt idx="3">
                  <c:v>42.914798735219449</c:v>
                </c:pt>
                <c:pt idx="4">
                  <c:v>48.339760524406756</c:v>
                </c:pt>
                <c:pt idx="5">
                  <c:v>53.368415171871533</c:v>
                </c:pt>
                <c:pt idx="6">
                  <c:v>57.967221363696353</c:v>
                </c:pt>
                <c:pt idx="7">
                  <c:v>62.128709445501073</c:v>
                </c:pt>
                <c:pt idx="8">
                  <c:v>65.862106989071492</c:v>
                </c:pt>
                <c:pt idx="9">
                  <c:v>69.189645768537744</c:v>
                </c:pt>
                <c:pt idx="10">
                  <c:v>72.142295197128732</c:v>
                </c:pt>
                <c:pt idx="11">
                  <c:v>74.755492331867757</c:v>
                </c:pt>
                <c:pt idx="12">
                  <c:v>77.065741541593255</c:v>
                </c:pt>
                <c:pt idx="13">
                  <c:v>79.10832420744434</c:v>
                </c:pt>
                <c:pt idx="14">
                  <c:v>80.915972610273613</c:v>
                </c:pt>
                <c:pt idx="15">
                  <c:v>82.518245721202746</c:v>
                </c:pt>
                <c:pt idx="16">
                  <c:v>83.9413615857286</c:v>
                </c:pt>
                <c:pt idx="17">
                  <c:v>85.208299710683761</c:v>
                </c:pt>
              </c:numCache>
            </c:numRef>
          </c:val>
          <c:smooth val="0"/>
          <c:extLst>
            <c:ext xmlns:c16="http://schemas.microsoft.com/office/drawing/2014/chart" uri="{C3380CC4-5D6E-409C-BE32-E72D297353CC}">
              <c16:uniqueId val="{00000000-BC18-594C-9514-A3653B6101D7}"/>
            </c:ext>
          </c:extLst>
        </c:ser>
        <c:dLbls>
          <c:showLegendKey val="0"/>
          <c:showVal val="0"/>
          <c:showCatName val="0"/>
          <c:showSerName val="0"/>
          <c:showPercent val="0"/>
          <c:showBubbleSize val="0"/>
        </c:dLbls>
        <c:marker val="1"/>
        <c:smooth val="0"/>
        <c:axId val="696926223"/>
        <c:axId val="695489599"/>
      </c:lineChart>
      <c:catAx>
        <c:axId val="69692622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5489599"/>
        <c:crosses val="autoZero"/>
        <c:auto val="1"/>
        <c:lblAlgn val="ctr"/>
        <c:lblOffset val="100"/>
        <c:noMultiLvlLbl val="0"/>
      </c:catAx>
      <c:valAx>
        <c:axId val="695489599"/>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69262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S</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'CH4'!$C$263:$C$280</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'CH4'!$J$263:$J$280</c:f>
              <c:numCache>
                <c:formatCode>0.00E+00</c:formatCode>
                <c:ptCount val="18"/>
                <c:pt idx="0">
                  <c:v>197.84929525810085</c:v>
                </c:pt>
                <c:pt idx="1">
                  <c:v>208.60534217558455</c:v>
                </c:pt>
                <c:pt idx="2">
                  <c:v>218.10385360393238</c:v>
                </c:pt>
                <c:pt idx="3">
                  <c:v>226.91026174615203</c:v>
                </c:pt>
                <c:pt idx="4">
                  <c:v>235.21934932023964</c:v>
                </c:pt>
                <c:pt idx="5">
                  <c:v>243.11739676932339</c:v>
                </c:pt>
                <c:pt idx="6">
                  <c:v>250.65238854601637</c:v>
                </c:pt>
                <c:pt idx="7">
                  <c:v>257.85505554918967</c:v>
                </c:pt>
                <c:pt idx="8">
                  <c:v>264.7474177289389</c:v>
                </c:pt>
                <c:pt idx="9">
                  <c:v>271.34712429272554</c:v>
                </c:pt>
                <c:pt idx="10">
                  <c:v>277.66973606173349</c:v>
                </c:pt>
                <c:pt idx="11">
                  <c:v>283.72983529656932</c:v>
                </c:pt>
                <c:pt idx="12">
                  <c:v>289.54148288755317</c:v>
                </c:pt>
                <c:pt idx="13">
                  <c:v>295.1183432665955</c:v>
                </c:pt>
                <c:pt idx="14">
                  <c:v>300.47366241465187</c:v>
                </c:pt>
                <c:pt idx="15">
                  <c:v>305.6201973823413</c:v>
                </c:pt>
                <c:pt idx="16">
                  <c:v>310.5701443083758</c:v>
                </c:pt>
                <c:pt idx="17">
                  <c:v>315.33508384279168</c:v>
                </c:pt>
              </c:numCache>
            </c:numRef>
          </c:val>
          <c:smooth val="0"/>
          <c:extLst>
            <c:ext xmlns:c16="http://schemas.microsoft.com/office/drawing/2014/chart" uri="{C3380CC4-5D6E-409C-BE32-E72D297353CC}">
              <c16:uniqueId val="{00000000-695F-4044-B82E-CF7DF736F6F6}"/>
            </c:ext>
          </c:extLst>
        </c:ser>
        <c:dLbls>
          <c:showLegendKey val="0"/>
          <c:showVal val="0"/>
          <c:showCatName val="0"/>
          <c:showSerName val="0"/>
          <c:showPercent val="0"/>
          <c:showBubbleSize val="0"/>
        </c:dLbls>
        <c:marker val="1"/>
        <c:smooth val="0"/>
        <c:axId val="751585951"/>
        <c:axId val="751706911"/>
      </c:lineChart>
      <c:catAx>
        <c:axId val="75158595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706911"/>
        <c:crosses val="autoZero"/>
        <c:auto val="1"/>
        <c:lblAlgn val="ctr"/>
        <c:lblOffset val="100"/>
        <c:noMultiLvlLbl val="0"/>
      </c:catAx>
      <c:valAx>
        <c:axId val="751706911"/>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5859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tx>
            <c:v>Qtot</c:v>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'CH3'!$U$102:$U$120</c:f>
              <c:numCache>
                <c:formatCode>General</c:formatCode>
                <c:ptCount val="19"/>
                <c:pt idx="0">
                  <c:v>298.14999999999998</c:v>
                </c:pt>
                <c:pt idx="1">
                  <c:v>300</c:v>
                </c:pt>
                <c:pt idx="2">
                  <c:v>400</c:v>
                </c:pt>
                <c:pt idx="3">
                  <c:v>500</c:v>
                </c:pt>
                <c:pt idx="4">
                  <c:v>600</c:v>
                </c:pt>
                <c:pt idx="5">
                  <c:v>700</c:v>
                </c:pt>
                <c:pt idx="6">
                  <c:v>800</c:v>
                </c:pt>
                <c:pt idx="7">
                  <c:v>900</c:v>
                </c:pt>
                <c:pt idx="8">
                  <c:v>1000</c:v>
                </c:pt>
                <c:pt idx="9">
                  <c:v>1100</c:v>
                </c:pt>
                <c:pt idx="10">
                  <c:v>1200</c:v>
                </c:pt>
                <c:pt idx="11">
                  <c:v>1300</c:v>
                </c:pt>
                <c:pt idx="12">
                  <c:v>1400</c:v>
                </c:pt>
                <c:pt idx="13">
                  <c:v>1500</c:v>
                </c:pt>
                <c:pt idx="14">
                  <c:v>1600</c:v>
                </c:pt>
                <c:pt idx="15">
                  <c:v>1700</c:v>
                </c:pt>
                <c:pt idx="16">
                  <c:v>1800</c:v>
                </c:pt>
                <c:pt idx="17">
                  <c:v>1900</c:v>
                </c:pt>
                <c:pt idx="18">
                  <c:v>2000</c:v>
                </c:pt>
              </c:numCache>
            </c:numRef>
          </c:cat>
          <c:val>
            <c:numRef>
              <c:f>'CH3'!$Z$102:$Z$120</c:f>
              <c:numCache>
                <c:formatCode>General</c:formatCode>
                <c:ptCount val="19"/>
                <c:pt idx="0">
                  <c:v>4.0102420045868308E-6</c:v>
                </c:pt>
                <c:pt idx="1">
                  <c:v>5.0023103638718323E-6</c:v>
                </c:pt>
                <c:pt idx="2">
                  <c:v>4.4427768877759413E-2</c:v>
                </c:pt>
                <c:pt idx="3">
                  <c:v>13.423631185476241</c:v>
                </c:pt>
                <c:pt idx="4">
                  <c:v>725.20635571074808</c:v>
                </c:pt>
                <c:pt idx="5">
                  <c:v>14388.831842912245</c:v>
                </c:pt>
                <c:pt idx="6">
                  <c:v>150907.32802266433</c:v>
                </c:pt>
                <c:pt idx="7">
                  <c:v>1026621.6350634171</c:v>
                </c:pt>
                <c:pt idx="8">
                  <c:v>5129514.1396994386</c:v>
                </c:pt>
                <c:pt idx="9">
                  <c:v>20390066.526725184</c:v>
                </c:pt>
                <c:pt idx="10">
                  <c:v>68048965.630663425</c:v>
                </c:pt>
                <c:pt idx="11">
                  <c:v>197987375.19490969</c:v>
                </c:pt>
                <c:pt idx="12">
                  <c:v>516015674.90561867</c:v>
                </c:pt>
                <c:pt idx="13">
                  <c:v>1229233714.166389</c:v>
                </c:pt>
                <c:pt idx="14">
                  <c:v>2717511995.3463597</c:v>
                </c:pt>
                <c:pt idx="15">
                  <c:v>5641429587.1678038</c:v>
                </c:pt>
                <c:pt idx="16">
                  <c:v>11099670351.951281</c:v>
                </c:pt>
                <c:pt idx="17">
                  <c:v>20851952797.502457</c:v>
                </c:pt>
                <c:pt idx="18">
                  <c:v>37627078707.740967</c:v>
                </c:pt>
              </c:numCache>
            </c:numRef>
          </c:val>
          <c:smooth val="0"/>
          <c:extLst>
            <c:ext xmlns:c16="http://schemas.microsoft.com/office/drawing/2014/chart" uri="{C3380CC4-5D6E-409C-BE32-E72D297353CC}">
              <c16:uniqueId val="{00000000-9481-FA4E-9F31-BEC5B7FC6D57}"/>
            </c:ext>
          </c:extLst>
        </c:ser>
        <c:dLbls>
          <c:showLegendKey val="0"/>
          <c:showVal val="0"/>
          <c:showCatName val="0"/>
          <c:showSerName val="0"/>
          <c:showPercent val="0"/>
          <c:showBubbleSize val="0"/>
        </c:dLbls>
        <c:marker val="1"/>
        <c:smooth val="0"/>
        <c:axId val="574877343"/>
        <c:axId val="255072544"/>
      </c:lineChart>
      <c:catAx>
        <c:axId val="5748773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255072544"/>
        <c:crosses val="autoZero"/>
        <c:auto val="1"/>
        <c:lblAlgn val="ctr"/>
        <c:lblOffset val="100"/>
        <c:noMultiLvlLbl val="0"/>
      </c:catAx>
      <c:valAx>
        <c:axId val="2550725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5748773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1"/>
          <c:order val="0"/>
          <c:tx>
            <c:strRef>
              <c:f>H!$E$64</c:f>
              <c:strCache>
                <c:ptCount val="1"/>
                <c:pt idx="0">
                  <c:v>Qtransl</c:v>
                </c:pt>
              </c:strCache>
            </c:strRef>
          </c:tx>
          <c:spPr>
            <a:ln w="28575" cap="rnd">
              <a:solidFill>
                <a:schemeClr val="accent2"/>
              </a:solidFill>
              <a:round/>
            </a:ln>
            <a:effectLst/>
          </c:spPr>
          <c:marker>
            <c:symbol val="triangle"/>
            <c:size val="6"/>
            <c:spPr>
              <a:solidFill>
                <a:schemeClr val="accent2"/>
              </a:solidFill>
              <a:ln w="9525">
                <a:solidFill>
                  <a:schemeClr val="accent2"/>
                </a:solidFill>
              </a:ln>
              <a:effectLst/>
            </c:spPr>
          </c:marker>
          <c:cat>
            <c:numRef>
              <c:f>H!$C$66:$C$83</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H!$E$66:$E$83</c:f>
              <c:numCache>
                <c:formatCode>0.00E+00</c:formatCode>
                <c:ptCount val="18"/>
                <c:pt idx="0">
                  <c:v>40368.323106654447</c:v>
                </c:pt>
                <c:pt idx="1">
                  <c:v>82868.132310616726</c:v>
                </c:pt>
                <c:pt idx="2">
                  <c:v>144764.66954295631</c:v>
                </c:pt>
                <c:pt idx="3">
                  <c:v>228357.72011076027</c:v>
                </c:pt>
                <c:pt idx="4">
                  <c:v>335724.21923775156</c:v>
                </c:pt>
                <c:pt idx="5">
                  <c:v>468772.94640881027</c:v>
                </c:pt>
                <c:pt idx="6">
                  <c:v>629279.87973373779</c:v>
                </c:pt>
                <c:pt idx="7">
                  <c:v>818912.6360804349</c:v>
                </c:pt>
                <c:pt idx="8">
                  <c:v>1039248.2105053912</c:v>
                </c:pt>
                <c:pt idx="9">
                  <c:v>1291786.3394129495</c:v>
                </c:pt>
                <c:pt idx="10">
                  <c:v>1577959.8664058954</c:v>
                </c:pt>
                <c:pt idx="11">
                  <c:v>1899142.9762525919</c:v>
                </c:pt>
                <c:pt idx="12">
                  <c:v>2256657.865103865</c:v>
                </c:pt>
                <c:pt idx="13">
                  <c:v>2651780.2339397119</c:v>
                </c:pt>
                <c:pt idx="14">
                  <c:v>3085743.8770825602</c:v>
                </c:pt>
                <c:pt idx="15">
                  <c:v>3559744.5617918582</c:v>
                </c:pt>
                <c:pt idx="16">
                  <c:v>4074943.3434961871</c:v>
                </c:pt>
                <c:pt idx="17">
                  <c:v>4632469.425374628</c:v>
                </c:pt>
              </c:numCache>
            </c:numRef>
          </c:val>
          <c:smooth val="0"/>
          <c:extLst>
            <c:ext xmlns:c16="http://schemas.microsoft.com/office/drawing/2014/chart" uri="{C3380CC4-5D6E-409C-BE32-E72D297353CC}">
              <c16:uniqueId val="{00000000-AD91-CB4F-A7C7-6E06552216B6}"/>
            </c:ext>
          </c:extLst>
        </c:ser>
        <c:dLbls>
          <c:showLegendKey val="0"/>
          <c:showVal val="0"/>
          <c:showCatName val="0"/>
          <c:showSerName val="0"/>
          <c:showPercent val="0"/>
          <c:showBubbleSize val="0"/>
        </c:dLbls>
        <c:marker val="1"/>
        <c:smooth val="0"/>
        <c:axId val="221762047"/>
        <c:axId val="221763759"/>
      </c:lineChart>
      <c:catAx>
        <c:axId val="2217620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221763759"/>
        <c:crosses val="autoZero"/>
        <c:auto val="1"/>
        <c:lblAlgn val="ctr"/>
        <c:lblOffset val="100"/>
        <c:noMultiLvlLbl val="0"/>
      </c:catAx>
      <c:valAx>
        <c:axId val="221763759"/>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2217620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1"/>
          <c:order val="0"/>
          <c:tx>
            <c:v>Qvib</c:v>
          </c:tx>
          <c:spPr>
            <a:ln w="28575" cap="rnd">
              <a:solidFill>
                <a:schemeClr val="accent2"/>
              </a:solidFill>
              <a:round/>
            </a:ln>
            <a:effectLst/>
          </c:spPr>
          <c:marker>
            <c:symbol val="diamond"/>
            <c:size val="6"/>
            <c:spPr>
              <a:solidFill>
                <a:schemeClr val="accent2"/>
              </a:solidFill>
              <a:ln w="9525">
                <a:solidFill>
                  <a:schemeClr val="accent2"/>
                </a:solidFill>
              </a:ln>
              <a:effectLst/>
            </c:spPr>
          </c:marker>
          <c:cat>
            <c:numRef>
              <c:f>H!$C$102:$C$120</c:f>
              <c:numCache>
                <c:formatCode>General</c:formatCode>
                <c:ptCount val="19"/>
                <c:pt idx="0">
                  <c:v>298.14999999999998</c:v>
                </c:pt>
                <c:pt idx="1">
                  <c:v>300</c:v>
                </c:pt>
                <c:pt idx="2">
                  <c:v>400</c:v>
                </c:pt>
                <c:pt idx="3">
                  <c:v>500</c:v>
                </c:pt>
                <c:pt idx="4">
                  <c:v>600</c:v>
                </c:pt>
                <c:pt idx="5">
                  <c:v>700</c:v>
                </c:pt>
                <c:pt idx="6">
                  <c:v>800</c:v>
                </c:pt>
                <c:pt idx="7">
                  <c:v>900</c:v>
                </c:pt>
                <c:pt idx="8">
                  <c:v>1000</c:v>
                </c:pt>
                <c:pt idx="9">
                  <c:v>1100</c:v>
                </c:pt>
                <c:pt idx="10">
                  <c:v>1200</c:v>
                </c:pt>
                <c:pt idx="11">
                  <c:v>1300</c:v>
                </c:pt>
                <c:pt idx="12">
                  <c:v>1400</c:v>
                </c:pt>
                <c:pt idx="13">
                  <c:v>1500</c:v>
                </c:pt>
                <c:pt idx="14">
                  <c:v>1600</c:v>
                </c:pt>
                <c:pt idx="15">
                  <c:v>1700</c:v>
                </c:pt>
                <c:pt idx="16">
                  <c:v>1800</c:v>
                </c:pt>
                <c:pt idx="17">
                  <c:v>1900</c:v>
                </c:pt>
                <c:pt idx="18">
                  <c:v>2000</c:v>
                </c:pt>
              </c:numCache>
            </c:numRef>
          </c:cat>
          <c:val>
            <c:numRef>
              <c:f>H!$E$102:$E$120</c:f>
              <c:numCache>
                <c:formatCode>General</c:formatCode>
                <c:ptCount val="19"/>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numCache>
            </c:numRef>
          </c:val>
          <c:smooth val="0"/>
          <c:extLst>
            <c:ext xmlns:c16="http://schemas.microsoft.com/office/drawing/2014/chart" uri="{C3380CC4-5D6E-409C-BE32-E72D297353CC}">
              <c16:uniqueId val="{00000000-0ED8-9647-8082-9A604C2FFA58}"/>
            </c:ext>
          </c:extLst>
        </c:ser>
        <c:dLbls>
          <c:showLegendKey val="0"/>
          <c:showVal val="0"/>
          <c:showCatName val="0"/>
          <c:showSerName val="0"/>
          <c:showPercent val="0"/>
          <c:showBubbleSize val="0"/>
        </c:dLbls>
        <c:marker val="1"/>
        <c:smooth val="0"/>
        <c:axId val="1670626112"/>
        <c:axId val="1670627824"/>
      </c:lineChart>
      <c:catAx>
        <c:axId val="1670626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670627824"/>
        <c:crosses val="autoZero"/>
        <c:auto val="1"/>
        <c:lblAlgn val="ctr"/>
        <c:lblOffset val="100"/>
        <c:noMultiLvlLbl val="0"/>
      </c:catAx>
      <c:valAx>
        <c:axId val="16706278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6706261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Qrot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tx>
            <c:strRef>
              <c:f>H!$D$136</c:f>
              <c:strCache>
                <c:ptCount val="1"/>
                <c:pt idx="0">
                  <c:v>Qrot</c:v>
                </c:pt>
              </c:strCache>
            </c:strRef>
          </c:tx>
          <c:spPr>
            <a:ln w="28575" cap="rnd">
              <a:solidFill>
                <a:schemeClr val="accent1"/>
              </a:solidFill>
              <a:round/>
            </a:ln>
            <a:effectLst/>
          </c:spPr>
          <c:marker>
            <c:symbol val="square"/>
            <c:size val="5"/>
            <c:spPr>
              <a:solidFill>
                <a:schemeClr val="accent1"/>
              </a:solidFill>
              <a:ln w="9525">
                <a:solidFill>
                  <a:schemeClr val="accent1"/>
                </a:solidFill>
              </a:ln>
              <a:effectLst/>
            </c:spPr>
          </c:marker>
          <c:cat>
            <c:numRef>
              <c:f>H!$C$138:$C$155</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H!$D$138:$D$155</c:f>
              <c:numCache>
                <c:formatCode>0.00E+00</c:formatCode>
                <c:ptCount val="18"/>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numCache>
            </c:numRef>
          </c:val>
          <c:smooth val="0"/>
          <c:extLst>
            <c:ext xmlns:c16="http://schemas.microsoft.com/office/drawing/2014/chart" uri="{C3380CC4-5D6E-409C-BE32-E72D297353CC}">
              <c16:uniqueId val="{00000000-8153-A042-825B-C1EE749A7AC1}"/>
            </c:ext>
          </c:extLst>
        </c:ser>
        <c:ser>
          <c:idx val="1"/>
          <c:order val="1"/>
          <c:tx>
            <c:strRef>
              <c:f>H!$E$136</c:f>
              <c:strCache>
                <c:ptCount val="1"/>
              </c:strCache>
            </c:strRef>
          </c:tx>
          <c:spPr>
            <a:ln w="28575" cap="rnd">
              <a:solidFill>
                <a:schemeClr val="accent2"/>
              </a:solidFill>
              <a:round/>
            </a:ln>
            <a:effectLst/>
          </c:spPr>
          <c:marker>
            <c:symbol val="x"/>
            <c:size val="5"/>
            <c:spPr>
              <a:noFill/>
              <a:ln w="9525">
                <a:solidFill>
                  <a:schemeClr val="accent2"/>
                </a:solidFill>
              </a:ln>
              <a:effectLst/>
            </c:spPr>
          </c:marker>
          <c:cat>
            <c:numRef>
              <c:f>H!$C$138:$C$155</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H!$E$137:$E$154</c:f>
              <c:numCache>
                <c:formatCode>0.00E+00</c:formatCode>
                <c:ptCount val="18"/>
              </c:numCache>
            </c:numRef>
          </c:val>
          <c:smooth val="0"/>
          <c:extLst>
            <c:ext xmlns:c16="http://schemas.microsoft.com/office/drawing/2014/chart" uri="{C3380CC4-5D6E-409C-BE32-E72D297353CC}">
              <c16:uniqueId val="{00000001-8153-A042-825B-C1EE749A7AC1}"/>
            </c:ext>
          </c:extLst>
        </c:ser>
        <c:dLbls>
          <c:showLegendKey val="0"/>
          <c:showVal val="0"/>
          <c:showCatName val="0"/>
          <c:showSerName val="0"/>
          <c:showPercent val="0"/>
          <c:showBubbleSize val="0"/>
        </c:dLbls>
        <c:marker val="1"/>
        <c:smooth val="0"/>
        <c:axId val="721149247"/>
        <c:axId val="696234255"/>
      </c:lineChart>
      <c:catAx>
        <c:axId val="721149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6234255"/>
        <c:crosses val="autoZero"/>
        <c:auto val="1"/>
        <c:lblAlgn val="ctr"/>
        <c:lblOffset val="100"/>
        <c:noMultiLvlLbl val="0"/>
      </c:catAx>
      <c:valAx>
        <c:axId val="696234255"/>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T"/>
            </a:p>
          </c:txPr>
        </c:title>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2114924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IT"/>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tx>
            <c:strRef>
              <c:f>H!$D$174</c:f>
              <c:strCache>
                <c:ptCount val="1"/>
                <c:pt idx="0">
                  <c:v>Qel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H!$C$176:$C$193</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H!$D$176:$D$193</c:f>
              <c:numCache>
                <c:formatCode>0.00E+00</c:formatCode>
                <c:ptCount val="18"/>
                <c:pt idx="0">
                  <c:v>2</c:v>
                </c:pt>
                <c:pt idx="1">
                  <c:v>2</c:v>
                </c:pt>
                <c:pt idx="2">
                  <c:v>2</c:v>
                </c:pt>
                <c:pt idx="3">
                  <c:v>2</c:v>
                </c:pt>
                <c:pt idx="4">
                  <c:v>2</c:v>
                </c:pt>
                <c:pt idx="5">
                  <c:v>2</c:v>
                </c:pt>
                <c:pt idx="6">
                  <c:v>2</c:v>
                </c:pt>
                <c:pt idx="7">
                  <c:v>2</c:v>
                </c:pt>
                <c:pt idx="8">
                  <c:v>2</c:v>
                </c:pt>
                <c:pt idx="9">
                  <c:v>2</c:v>
                </c:pt>
                <c:pt idx="10">
                  <c:v>2</c:v>
                </c:pt>
                <c:pt idx="11">
                  <c:v>2</c:v>
                </c:pt>
                <c:pt idx="12">
                  <c:v>2</c:v>
                </c:pt>
                <c:pt idx="13">
                  <c:v>2</c:v>
                </c:pt>
                <c:pt idx="14">
                  <c:v>2</c:v>
                </c:pt>
                <c:pt idx="15">
                  <c:v>2</c:v>
                </c:pt>
                <c:pt idx="16">
                  <c:v>2</c:v>
                </c:pt>
                <c:pt idx="17">
                  <c:v>2</c:v>
                </c:pt>
              </c:numCache>
            </c:numRef>
          </c:val>
          <c:smooth val="0"/>
          <c:extLst>
            <c:ext xmlns:c16="http://schemas.microsoft.com/office/drawing/2014/chart" uri="{C3380CC4-5D6E-409C-BE32-E72D297353CC}">
              <c16:uniqueId val="{00000000-0AE2-0745-AC7A-9A557857EEB4}"/>
            </c:ext>
          </c:extLst>
        </c:ser>
        <c:dLbls>
          <c:showLegendKey val="0"/>
          <c:showVal val="0"/>
          <c:showCatName val="0"/>
          <c:showSerName val="0"/>
          <c:showPercent val="0"/>
          <c:showBubbleSize val="0"/>
        </c:dLbls>
        <c:marker val="1"/>
        <c:smooth val="0"/>
        <c:axId val="1005151871"/>
        <c:axId val="751999423"/>
      </c:lineChart>
      <c:catAx>
        <c:axId val="10051518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999423"/>
        <c:crosses val="autoZero"/>
        <c:auto val="1"/>
        <c:lblAlgn val="ctr"/>
        <c:lblOffset val="100"/>
        <c:noMultiLvlLbl val="0"/>
      </c:catAx>
      <c:valAx>
        <c:axId val="751999423"/>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0051518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Cv</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H!$C$215:$C$232</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H!$H$215:$H$232</c:f>
              <c:numCache>
                <c:formatCode>0.00E+00</c:formatCode>
                <c:ptCount val="18"/>
                <c:pt idx="0">
                  <c:v>12.471599999999999</c:v>
                </c:pt>
                <c:pt idx="1">
                  <c:v>12.471599999999999</c:v>
                </c:pt>
                <c:pt idx="2">
                  <c:v>12.471599999999999</c:v>
                </c:pt>
                <c:pt idx="3">
                  <c:v>12.471599999999999</c:v>
                </c:pt>
                <c:pt idx="4">
                  <c:v>12.471599999999999</c:v>
                </c:pt>
                <c:pt idx="5">
                  <c:v>12.471599999999999</c:v>
                </c:pt>
                <c:pt idx="6">
                  <c:v>12.471599999999999</c:v>
                </c:pt>
                <c:pt idx="7">
                  <c:v>12.471599999999999</c:v>
                </c:pt>
                <c:pt idx="8">
                  <c:v>12.471599999999999</c:v>
                </c:pt>
                <c:pt idx="9">
                  <c:v>12.471599999999999</c:v>
                </c:pt>
                <c:pt idx="10">
                  <c:v>12.471599999999999</c:v>
                </c:pt>
                <c:pt idx="11">
                  <c:v>12.471599999999999</c:v>
                </c:pt>
                <c:pt idx="12">
                  <c:v>12.471599999999999</c:v>
                </c:pt>
                <c:pt idx="13">
                  <c:v>12.471599999999999</c:v>
                </c:pt>
                <c:pt idx="14">
                  <c:v>12.471599999999999</c:v>
                </c:pt>
                <c:pt idx="15">
                  <c:v>12.471599999999999</c:v>
                </c:pt>
                <c:pt idx="16">
                  <c:v>12.471599999999999</c:v>
                </c:pt>
                <c:pt idx="17">
                  <c:v>12.471599999999999</c:v>
                </c:pt>
              </c:numCache>
            </c:numRef>
          </c:val>
          <c:smooth val="0"/>
          <c:extLst>
            <c:ext xmlns:c16="http://schemas.microsoft.com/office/drawing/2014/chart" uri="{C3380CC4-5D6E-409C-BE32-E72D297353CC}">
              <c16:uniqueId val="{00000000-C208-0C4D-AE0E-B9570640242E}"/>
            </c:ext>
          </c:extLst>
        </c:ser>
        <c:dLbls>
          <c:showLegendKey val="0"/>
          <c:showVal val="0"/>
          <c:showCatName val="0"/>
          <c:showSerName val="0"/>
          <c:showPercent val="0"/>
          <c:showBubbleSize val="0"/>
        </c:dLbls>
        <c:marker val="1"/>
        <c:smooth val="0"/>
        <c:axId val="696926223"/>
        <c:axId val="695489599"/>
      </c:lineChart>
      <c:catAx>
        <c:axId val="69692622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5489599"/>
        <c:crosses val="autoZero"/>
        <c:auto val="1"/>
        <c:lblAlgn val="ctr"/>
        <c:lblOffset val="100"/>
        <c:noMultiLvlLbl val="0"/>
      </c:catAx>
      <c:valAx>
        <c:axId val="695489599"/>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69262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S</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H!$C$263:$C$280</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H!$J$263:$J$280</c:f>
              <c:numCache>
                <c:formatCode>0.00E+00</c:formatCode>
                <c:ptCount val="18"/>
                <c:pt idx="0">
                  <c:v>114.72990445852881</c:v>
                </c:pt>
                <c:pt idx="1">
                  <c:v>120.70966401651158</c:v>
                </c:pt>
                <c:pt idx="2">
                  <c:v>125.34792587412869</c:v>
                </c:pt>
                <c:pt idx="3">
                  <c:v>129.13766175364785</c:v>
                </c:pt>
                <c:pt idx="4">
                  <c:v>132.34183778453723</c:v>
                </c:pt>
                <c:pt idx="5">
                  <c:v>135.11742131163064</c:v>
                </c:pt>
                <c:pt idx="6">
                  <c:v>137.5656594907841</c:v>
                </c:pt>
                <c:pt idx="7">
                  <c:v>139.75568316924776</c:v>
                </c:pt>
                <c:pt idx="8">
                  <c:v>141.73680056666038</c:v>
                </c:pt>
                <c:pt idx="9">
                  <c:v>143.54541904876692</c:v>
                </c:pt>
                <c:pt idx="10">
                  <c:v>145.20918677046902</c:v>
                </c:pt>
                <c:pt idx="11">
                  <c:v>146.7495950796563</c:v>
                </c:pt>
                <c:pt idx="12">
                  <c:v>148.18368090638398</c:v>
                </c:pt>
                <c:pt idx="13">
                  <c:v>149.52517860674956</c:v>
                </c:pt>
                <c:pt idx="14">
                  <c:v>150.78532199582605</c:v>
                </c:pt>
                <c:pt idx="15">
                  <c:v>151.97341678590314</c:v>
                </c:pt>
                <c:pt idx="16">
                  <c:v>153.09725804722714</c:v>
                </c:pt>
                <c:pt idx="17">
                  <c:v>154.16344046436677</c:v>
                </c:pt>
              </c:numCache>
            </c:numRef>
          </c:val>
          <c:smooth val="0"/>
          <c:extLst>
            <c:ext xmlns:c16="http://schemas.microsoft.com/office/drawing/2014/chart" uri="{C3380CC4-5D6E-409C-BE32-E72D297353CC}">
              <c16:uniqueId val="{00000000-3C25-AB48-A6CD-4C35CA8CCE6B}"/>
            </c:ext>
          </c:extLst>
        </c:ser>
        <c:dLbls>
          <c:showLegendKey val="0"/>
          <c:showVal val="0"/>
          <c:showCatName val="0"/>
          <c:showSerName val="0"/>
          <c:showPercent val="0"/>
          <c:showBubbleSize val="0"/>
        </c:dLbls>
        <c:marker val="1"/>
        <c:smooth val="0"/>
        <c:axId val="751585951"/>
        <c:axId val="751706911"/>
      </c:lineChart>
      <c:catAx>
        <c:axId val="75158595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706911"/>
        <c:crosses val="autoZero"/>
        <c:auto val="1"/>
        <c:lblAlgn val="ctr"/>
        <c:lblOffset val="100"/>
        <c:noMultiLvlLbl val="0"/>
      </c:catAx>
      <c:valAx>
        <c:axId val="751706911"/>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5859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tx>
            <c:v>Qtot</c:v>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H!$U$102:$U$120</c:f>
              <c:numCache>
                <c:formatCode>General</c:formatCode>
                <c:ptCount val="19"/>
                <c:pt idx="0">
                  <c:v>298.14999999999998</c:v>
                </c:pt>
                <c:pt idx="1">
                  <c:v>300</c:v>
                </c:pt>
                <c:pt idx="2">
                  <c:v>400</c:v>
                </c:pt>
                <c:pt idx="3">
                  <c:v>500</c:v>
                </c:pt>
                <c:pt idx="4">
                  <c:v>600</c:v>
                </c:pt>
                <c:pt idx="5">
                  <c:v>700</c:v>
                </c:pt>
                <c:pt idx="6">
                  <c:v>800</c:v>
                </c:pt>
                <c:pt idx="7">
                  <c:v>900</c:v>
                </c:pt>
                <c:pt idx="8">
                  <c:v>1000</c:v>
                </c:pt>
                <c:pt idx="9">
                  <c:v>1100</c:v>
                </c:pt>
                <c:pt idx="10">
                  <c:v>1200</c:v>
                </c:pt>
                <c:pt idx="11">
                  <c:v>1300</c:v>
                </c:pt>
                <c:pt idx="12">
                  <c:v>1400</c:v>
                </c:pt>
                <c:pt idx="13">
                  <c:v>1500</c:v>
                </c:pt>
                <c:pt idx="14">
                  <c:v>1600</c:v>
                </c:pt>
                <c:pt idx="15">
                  <c:v>1700</c:v>
                </c:pt>
                <c:pt idx="16">
                  <c:v>1800</c:v>
                </c:pt>
                <c:pt idx="17">
                  <c:v>1900</c:v>
                </c:pt>
                <c:pt idx="18">
                  <c:v>2000</c:v>
                </c:pt>
              </c:numCache>
            </c:numRef>
          </c:cat>
          <c:val>
            <c:numRef>
              <c:f>H!$Z$102:$Z$120</c:f>
              <c:numCache>
                <c:formatCode>General</c:formatCode>
                <c:ptCount val="19"/>
                <c:pt idx="0">
                  <c:v>79497.707020761445</c:v>
                </c:pt>
                <c:pt idx="1">
                  <c:v>80736.646213308893</c:v>
                </c:pt>
                <c:pt idx="2">
                  <c:v>165736.26462123345</c:v>
                </c:pt>
                <c:pt idx="3">
                  <c:v>289529.33908591262</c:v>
                </c:pt>
                <c:pt idx="4">
                  <c:v>456715.44022152055</c:v>
                </c:pt>
                <c:pt idx="5">
                  <c:v>671448.43847550312</c:v>
                </c:pt>
                <c:pt idx="6">
                  <c:v>937545.89281762054</c:v>
                </c:pt>
                <c:pt idx="7">
                  <c:v>1258559.7594674756</c:v>
                </c:pt>
                <c:pt idx="8">
                  <c:v>1637825.2721608698</c:v>
                </c:pt>
                <c:pt idx="9">
                  <c:v>2078496.4210107825</c:v>
                </c:pt>
                <c:pt idx="10">
                  <c:v>2583572.678825899</c:v>
                </c:pt>
                <c:pt idx="11">
                  <c:v>3155919.7328117909</c:v>
                </c:pt>
                <c:pt idx="12">
                  <c:v>3798285.9525051839</c:v>
                </c:pt>
                <c:pt idx="13">
                  <c:v>4513315.7302077301</c:v>
                </c:pt>
                <c:pt idx="14">
                  <c:v>5303560.4678794239</c:v>
                </c:pt>
                <c:pt idx="15">
                  <c:v>6171487.7541651204</c:v>
                </c:pt>
                <c:pt idx="16">
                  <c:v>7119489.1235837163</c:v>
                </c:pt>
                <c:pt idx="17">
                  <c:v>8149886.6869923742</c:v>
                </c:pt>
                <c:pt idx="18">
                  <c:v>9264938.8507492561</c:v>
                </c:pt>
              </c:numCache>
            </c:numRef>
          </c:val>
          <c:smooth val="0"/>
          <c:extLst>
            <c:ext xmlns:c16="http://schemas.microsoft.com/office/drawing/2014/chart" uri="{C3380CC4-5D6E-409C-BE32-E72D297353CC}">
              <c16:uniqueId val="{00000000-A2CE-E948-8A6D-CE91134639D2}"/>
            </c:ext>
          </c:extLst>
        </c:ser>
        <c:dLbls>
          <c:showLegendKey val="0"/>
          <c:showVal val="0"/>
          <c:showCatName val="0"/>
          <c:showSerName val="0"/>
          <c:showPercent val="0"/>
          <c:showBubbleSize val="0"/>
        </c:dLbls>
        <c:marker val="1"/>
        <c:smooth val="0"/>
        <c:axId val="235744720"/>
        <c:axId val="751785295"/>
      </c:lineChart>
      <c:catAx>
        <c:axId val="2357447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785295"/>
        <c:crosses val="autoZero"/>
        <c:auto val="1"/>
        <c:lblAlgn val="ctr"/>
        <c:lblOffset val="100"/>
        <c:noMultiLvlLbl val="0"/>
      </c:catAx>
      <c:valAx>
        <c:axId val="7517852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2357447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1"/>
          <c:order val="0"/>
          <c:tx>
            <c:strRef>
              <c:f>'CH3'!$E$64</c:f>
              <c:strCache>
                <c:ptCount val="1"/>
                <c:pt idx="0">
                  <c:v>Qtransl</c:v>
                </c:pt>
              </c:strCache>
            </c:strRef>
          </c:tx>
          <c:spPr>
            <a:ln w="28575" cap="rnd">
              <a:solidFill>
                <a:schemeClr val="accent2"/>
              </a:solidFill>
              <a:round/>
            </a:ln>
            <a:effectLst/>
          </c:spPr>
          <c:marker>
            <c:symbol val="triangle"/>
            <c:size val="6"/>
            <c:spPr>
              <a:solidFill>
                <a:schemeClr val="accent2"/>
              </a:solidFill>
              <a:ln w="9525">
                <a:solidFill>
                  <a:schemeClr val="accent2"/>
                </a:solidFill>
              </a:ln>
              <a:effectLst/>
            </c:spPr>
          </c:marker>
          <c:cat>
            <c:numRef>
              <c:f>'CH3'!$C$66:$C$83</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'CH3'!$E$66:$E$83</c:f>
              <c:numCache>
                <c:formatCode>0.00E+00</c:formatCode>
                <c:ptCount val="18"/>
                <c:pt idx="0">
                  <c:v>2323355.1489047599</c:v>
                </c:pt>
                <c:pt idx="1">
                  <c:v>4769385.6733982554</c:v>
                </c:pt>
                <c:pt idx="2">
                  <c:v>8331773.8879938824</c:v>
                </c:pt>
                <c:pt idx="3">
                  <c:v>13142881.447161743</c:v>
                </c:pt>
                <c:pt idx="4">
                  <c:v>19322244.10999826</c:v>
                </c:pt>
                <c:pt idx="5">
                  <c:v>26979719.61403108</c:v>
                </c:pt>
                <c:pt idx="6">
                  <c:v>36217522.457368061</c:v>
                </c:pt>
                <c:pt idx="7">
                  <c:v>47131630.524107978</c:v>
                </c:pt>
                <c:pt idx="8">
                  <c:v>59812806.058068268</c:v>
                </c:pt>
                <c:pt idx="9">
                  <c:v>74347364.764951676</c:v>
                </c:pt>
                <c:pt idx="10">
                  <c:v>90817772.407663122</c:v>
                </c:pt>
                <c:pt idx="11">
                  <c:v>109303118.70337307</c:v>
                </c:pt>
                <c:pt idx="12">
                  <c:v>129879501.22062938</c:v>
                </c:pt>
                <c:pt idx="13">
                  <c:v>152620341.54874289</c:v>
                </c:pt>
                <c:pt idx="14">
                  <c:v>177596649.38470513</c:v>
                </c:pt>
                <c:pt idx="15">
                  <c:v>204877245.81904879</c:v>
                </c:pt>
                <c:pt idx="16">
                  <c:v>234528954.14044046</c:v>
                </c:pt>
                <c:pt idx="17">
                  <c:v>266616764.41580194</c:v>
                </c:pt>
              </c:numCache>
            </c:numRef>
          </c:val>
          <c:smooth val="0"/>
          <c:extLst>
            <c:ext xmlns:c16="http://schemas.microsoft.com/office/drawing/2014/chart" uri="{C3380CC4-5D6E-409C-BE32-E72D297353CC}">
              <c16:uniqueId val="{00000000-18CF-F043-9D37-585E705D9E16}"/>
            </c:ext>
          </c:extLst>
        </c:ser>
        <c:dLbls>
          <c:showLegendKey val="0"/>
          <c:showVal val="0"/>
          <c:showCatName val="0"/>
          <c:showSerName val="0"/>
          <c:showPercent val="0"/>
          <c:showBubbleSize val="0"/>
        </c:dLbls>
        <c:marker val="1"/>
        <c:smooth val="0"/>
        <c:axId val="221762047"/>
        <c:axId val="221763759"/>
      </c:lineChart>
      <c:catAx>
        <c:axId val="2217620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221763759"/>
        <c:crosses val="autoZero"/>
        <c:auto val="1"/>
        <c:lblAlgn val="ctr"/>
        <c:lblOffset val="100"/>
        <c:noMultiLvlLbl val="0"/>
      </c:catAx>
      <c:valAx>
        <c:axId val="221763759"/>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2217620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1"/>
          <c:order val="0"/>
          <c:tx>
            <c:v>Qvib</c:v>
          </c:tx>
          <c:spPr>
            <a:ln w="28575" cap="rnd">
              <a:solidFill>
                <a:schemeClr val="accent2"/>
              </a:solidFill>
              <a:round/>
            </a:ln>
            <a:effectLst/>
          </c:spPr>
          <c:marker>
            <c:symbol val="diamond"/>
            <c:size val="6"/>
            <c:spPr>
              <a:solidFill>
                <a:schemeClr val="accent2"/>
              </a:solidFill>
              <a:ln w="9525">
                <a:solidFill>
                  <a:schemeClr val="accent2"/>
                </a:solidFill>
              </a:ln>
              <a:effectLst/>
            </c:spPr>
          </c:marker>
          <c:cat>
            <c:numRef>
              <c:f>'CH3'!$C$102:$C$120</c:f>
              <c:numCache>
                <c:formatCode>General</c:formatCode>
                <c:ptCount val="19"/>
                <c:pt idx="0">
                  <c:v>298.14999999999998</c:v>
                </c:pt>
                <c:pt idx="1">
                  <c:v>300</c:v>
                </c:pt>
                <c:pt idx="2">
                  <c:v>400</c:v>
                </c:pt>
                <c:pt idx="3">
                  <c:v>500</c:v>
                </c:pt>
                <c:pt idx="4">
                  <c:v>600</c:v>
                </c:pt>
                <c:pt idx="5">
                  <c:v>700</c:v>
                </c:pt>
                <c:pt idx="6">
                  <c:v>800</c:v>
                </c:pt>
                <c:pt idx="7">
                  <c:v>900</c:v>
                </c:pt>
                <c:pt idx="8">
                  <c:v>1000</c:v>
                </c:pt>
                <c:pt idx="9">
                  <c:v>1100</c:v>
                </c:pt>
                <c:pt idx="10">
                  <c:v>1200</c:v>
                </c:pt>
                <c:pt idx="11">
                  <c:v>1300</c:v>
                </c:pt>
                <c:pt idx="12">
                  <c:v>1400</c:v>
                </c:pt>
                <c:pt idx="13">
                  <c:v>1500</c:v>
                </c:pt>
                <c:pt idx="14">
                  <c:v>1600</c:v>
                </c:pt>
                <c:pt idx="15">
                  <c:v>1700</c:v>
                </c:pt>
                <c:pt idx="16">
                  <c:v>1800</c:v>
                </c:pt>
                <c:pt idx="17">
                  <c:v>1900</c:v>
                </c:pt>
                <c:pt idx="18">
                  <c:v>2000</c:v>
                </c:pt>
              </c:numCache>
            </c:numRef>
          </c:cat>
          <c:val>
            <c:numRef>
              <c:f>'CH3'!$J$102:$J$120</c:f>
              <c:numCache>
                <c:formatCode>General</c:formatCode>
                <c:ptCount val="19"/>
                <c:pt idx="0">
                  <c:v>2.0657325754966186E-14</c:v>
                </c:pt>
                <c:pt idx="1">
                  <c:v>2.5137864794907228E-14</c:v>
                </c:pt>
                <c:pt idx="2">
                  <c:v>7.0641076667867683E-11</c:v>
                </c:pt>
                <c:pt idx="3">
                  <c:v>8.7424421121819519E-9</c:v>
                </c:pt>
                <c:pt idx="4">
                  <c:v>2.2777149447193282E-7</c:v>
                </c:pt>
                <c:pt idx="5">
                  <c:v>2.4393614058812149E-6</c:v>
                </c:pt>
                <c:pt idx="6">
                  <c:v>1.4996611913377841E-5</c:v>
                </c:pt>
                <c:pt idx="7">
                  <c:v>6.3691744736215036E-5</c:v>
                </c:pt>
                <c:pt idx="8">
                  <c:v>2.0879447506750608E-4</c:v>
                </c:pt>
                <c:pt idx="9">
                  <c:v>5.6687939747857897E-4</c:v>
                </c:pt>
                <c:pt idx="10">
                  <c:v>1.3357934673447827E-3</c:v>
                </c:pt>
                <c:pt idx="11">
                  <c:v>2.8216741537356615E-3</c:v>
                </c:pt>
                <c:pt idx="12">
                  <c:v>5.4675595625860015E-3</c:v>
                </c:pt>
                <c:pt idx="13">
                  <c:v>9.8835325792586068E-3</c:v>
                </c:pt>
                <c:pt idx="14">
                  <c:v>1.6878517969501031E-2</c:v>
                </c:pt>
                <c:pt idx="15">
                  <c:v>2.7493894235235981E-2</c:v>
                </c:pt>
                <c:pt idx="16">
                  <c:v>4.3039065377585645E-2</c:v>
                </c:pt>
                <c:pt idx="17">
                  <c:v>6.512910356533802E-2</c:v>
                </c:pt>
                <c:pt idx="18">
                  <c:v>9.5724540535711222E-2</c:v>
                </c:pt>
              </c:numCache>
            </c:numRef>
          </c:val>
          <c:smooth val="0"/>
          <c:extLst>
            <c:ext xmlns:c16="http://schemas.microsoft.com/office/drawing/2014/chart" uri="{C3380CC4-5D6E-409C-BE32-E72D297353CC}">
              <c16:uniqueId val="{00000000-0B0C-8A49-A7C4-55BFD8CF66A9}"/>
            </c:ext>
          </c:extLst>
        </c:ser>
        <c:dLbls>
          <c:showLegendKey val="0"/>
          <c:showVal val="0"/>
          <c:showCatName val="0"/>
          <c:showSerName val="0"/>
          <c:showPercent val="0"/>
          <c:showBubbleSize val="0"/>
        </c:dLbls>
        <c:marker val="1"/>
        <c:smooth val="0"/>
        <c:axId val="1670626112"/>
        <c:axId val="1670627824"/>
      </c:lineChart>
      <c:catAx>
        <c:axId val="1670626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670627824"/>
        <c:crosses val="autoZero"/>
        <c:auto val="1"/>
        <c:lblAlgn val="ctr"/>
        <c:lblOffset val="100"/>
        <c:noMultiLvlLbl val="0"/>
      </c:catAx>
      <c:valAx>
        <c:axId val="16706278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6706261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Qrot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tx>
            <c:strRef>
              <c:f>'CH3'!$D$136</c:f>
              <c:strCache>
                <c:ptCount val="1"/>
                <c:pt idx="0">
                  <c:v>Qrot(1) and 𝜎=6</c:v>
                </c:pt>
              </c:strCache>
            </c:strRef>
          </c:tx>
          <c:spPr>
            <a:ln w="28575" cap="rnd">
              <a:solidFill>
                <a:schemeClr val="accent1"/>
              </a:solidFill>
              <a:round/>
            </a:ln>
            <a:effectLst/>
          </c:spPr>
          <c:marker>
            <c:symbol val="square"/>
            <c:size val="5"/>
            <c:spPr>
              <a:solidFill>
                <a:schemeClr val="accent1"/>
              </a:solidFill>
              <a:ln w="9525">
                <a:solidFill>
                  <a:schemeClr val="accent1"/>
                </a:solidFill>
              </a:ln>
              <a:effectLst/>
            </c:spPr>
          </c:marker>
          <c:cat>
            <c:numRef>
              <c:f>'CH3'!$C$138:$C$155</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'CH3'!$D$138:$D$155</c:f>
              <c:numCache>
                <c:formatCode>0.00E+00</c:formatCode>
                <c:ptCount val="18"/>
                <c:pt idx="0">
                  <c:v>288.85634699480477</c:v>
                </c:pt>
                <c:pt idx="1">
                  <c:v>444.72343918555737</c:v>
                </c:pt>
                <c:pt idx="2">
                  <c:v>621.51990075399465</c:v>
                </c:pt>
                <c:pt idx="3">
                  <c:v>817.00912699520575</c:v>
                </c:pt>
                <c:pt idx="4">
                  <c:v>1029.549169500543</c:v>
                </c:pt>
                <c:pt idx="5">
                  <c:v>1257.867838402829</c:v>
                </c:pt>
                <c:pt idx="6">
                  <c:v>1500.941607251237</c:v>
                </c:pt>
                <c:pt idx="7">
                  <c:v>1757.9237458621387</c:v>
                </c:pt>
                <c:pt idx="8">
                  <c:v>2028.0985769755036</c:v>
                </c:pt>
                <c:pt idx="9">
                  <c:v>2310.8507759584513</c:v>
                </c:pt>
                <c:pt idx="10">
                  <c:v>2605.6438904993106</c:v>
                </c:pt>
                <c:pt idx="11">
                  <c:v>2912.0047972752568</c:v>
                </c:pt>
                <c:pt idx="12">
                  <c:v>3229.5121380632436</c:v>
                </c:pt>
                <c:pt idx="13">
                  <c:v>3557.7875134844289</c:v>
                </c:pt>
                <c:pt idx="14">
                  <c:v>3896.4886421437554</c:v>
                </c:pt>
                <c:pt idx="15">
                  <c:v>4245.3039546095542</c:v>
                </c:pt>
                <c:pt idx="16">
                  <c:v>4603.9482569300089</c:v>
                </c:pt>
                <c:pt idx="17">
                  <c:v>4972.1592060319144</c:v>
                </c:pt>
              </c:numCache>
            </c:numRef>
          </c:val>
          <c:smooth val="0"/>
          <c:extLst>
            <c:ext xmlns:c16="http://schemas.microsoft.com/office/drawing/2014/chart" uri="{C3380CC4-5D6E-409C-BE32-E72D297353CC}">
              <c16:uniqueId val="{00000000-9CC5-9841-850D-8E2539138A39}"/>
            </c:ext>
          </c:extLst>
        </c:ser>
        <c:ser>
          <c:idx val="1"/>
          <c:order val="1"/>
          <c:tx>
            <c:strRef>
              <c:f>'CH3'!$E$136</c:f>
              <c:strCache>
                <c:ptCount val="1"/>
                <c:pt idx="0">
                  <c:v>Qrot(2) and 𝜎=6</c:v>
                </c:pt>
              </c:strCache>
            </c:strRef>
          </c:tx>
          <c:spPr>
            <a:ln w="28575" cap="rnd">
              <a:solidFill>
                <a:schemeClr val="accent2"/>
              </a:solidFill>
              <a:round/>
            </a:ln>
            <a:effectLst/>
          </c:spPr>
          <c:marker>
            <c:symbol val="x"/>
            <c:size val="5"/>
            <c:spPr>
              <a:noFill/>
              <a:ln w="9525">
                <a:solidFill>
                  <a:schemeClr val="accent2"/>
                </a:solidFill>
              </a:ln>
              <a:effectLst/>
            </c:spPr>
          </c:marker>
          <c:cat>
            <c:numRef>
              <c:f>'CH3'!$C$138:$C$155</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'CH3'!$E$138:$E$155</c:f>
              <c:numCache>
                <c:formatCode>0.00E+00</c:formatCode>
                <c:ptCount val="18"/>
                <c:pt idx="0">
                  <c:v>42.824928905896343</c:v>
                </c:pt>
                <c:pt idx="1">
                  <c:v>65.933291284922248</c:v>
                </c:pt>
                <c:pt idx="2">
                  <c:v>92.144575808362916</c:v>
                </c:pt>
                <c:pt idx="3">
                  <c:v>121.1271905327643</c:v>
                </c:pt>
                <c:pt idx="4">
                  <c:v>152.63770537740064</c:v>
                </c:pt>
                <c:pt idx="5">
                  <c:v>186.48750949406551</c:v>
                </c:pt>
                <c:pt idx="6">
                  <c:v>222.52485808661254</c:v>
                </c:pt>
                <c:pt idx="7">
                  <c:v>260.62421761460507</c:v>
                </c:pt>
                <c:pt idx="8">
                  <c:v>300.67948402978277</c:v>
                </c:pt>
                <c:pt idx="9">
                  <c:v>342.5994312471708</c:v>
                </c:pt>
                <c:pt idx="10">
                  <c:v>386.30452654282112</c:v>
                </c:pt>
                <c:pt idx="11">
                  <c:v>431.72462614845784</c:v>
                </c:pt>
                <c:pt idx="12">
                  <c:v>478.79726082589985</c:v>
                </c:pt>
                <c:pt idx="13">
                  <c:v>527.4663302793781</c:v>
                </c:pt>
                <c:pt idx="14">
                  <c:v>577.68108895124567</c:v>
                </c:pt>
                <c:pt idx="15">
                  <c:v>629.39534454247212</c:v>
                </c:pt>
                <c:pt idx="16">
                  <c:v>682.56681509926716</c:v>
                </c:pt>
                <c:pt idx="17">
                  <c:v>737.1566064669023</c:v>
                </c:pt>
              </c:numCache>
            </c:numRef>
          </c:val>
          <c:smooth val="0"/>
          <c:extLst>
            <c:ext xmlns:c16="http://schemas.microsoft.com/office/drawing/2014/chart" uri="{C3380CC4-5D6E-409C-BE32-E72D297353CC}">
              <c16:uniqueId val="{00000001-9CC5-9841-850D-8E2539138A39}"/>
            </c:ext>
          </c:extLst>
        </c:ser>
        <c:dLbls>
          <c:showLegendKey val="0"/>
          <c:showVal val="0"/>
          <c:showCatName val="0"/>
          <c:showSerName val="0"/>
          <c:showPercent val="0"/>
          <c:showBubbleSize val="0"/>
        </c:dLbls>
        <c:marker val="1"/>
        <c:smooth val="0"/>
        <c:axId val="721149247"/>
        <c:axId val="696234255"/>
      </c:lineChart>
      <c:catAx>
        <c:axId val="721149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6234255"/>
        <c:crosses val="autoZero"/>
        <c:auto val="1"/>
        <c:lblAlgn val="ctr"/>
        <c:lblOffset val="100"/>
        <c:noMultiLvlLbl val="0"/>
      </c:catAx>
      <c:valAx>
        <c:axId val="696234255"/>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T"/>
            </a:p>
          </c:txPr>
        </c:title>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2114924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IT"/>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tx>
            <c:strRef>
              <c:f>'CH3'!$D$174</c:f>
              <c:strCache>
                <c:ptCount val="1"/>
                <c:pt idx="0">
                  <c:v>Qel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'CH3'!$C$176:$C$193</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'CH3'!$D$176:$D$193</c:f>
              <c:numCache>
                <c:formatCode>0.00E+00</c:formatCode>
                <c:ptCount val="18"/>
                <c:pt idx="0">
                  <c:v>2</c:v>
                </c:pt>
                <c:pt idx="1">
                  <c:v>2</c:v>
                </c:pt>
                <c:pt idx="2">
                  <c:v>2</c:v>
                </c:pt>
                <c:pt idx="3">
                  <c:v>2</c:v>
                </c:pt>
                <c:pt idx="4">
                  <c:v>2</c:v>
                </c:pt>
                <c:pt idx="5">
                  <c:v>2</c:v>
                </c:pt>
                <c:pt idx="6">
                  <c:v>2</c:v>
                </c:pt>
                <c:pt idx="7">
                  <c:v>2</c:v>
                </c:pt>
                <c:pt idx="8">
                  <c:v>2</c:v>
                </c:pt>
                <c:pt idx="9">
                  <c:v>2</c:v>
                </c:pt>
                <c:pt idx="10">
                  <c:v>2</c:v>
                </c:pt>
                <c:pt idx="11">
                  <c:v>2</c:v>
                </c:pt>
                <c:pt idx="12">
                  <c:v>2</c:v>
                </c:pt>
                <c:pt idx="13">
                  <c:v>2</c:v>
                </c:pt>
                <c:pt idx="14">
                  <c:v>2</c:v>
                </c:pt>
                <c:pt idx="15">
                  <c:v>2</c:v>
                </c:pt>
                <c:pt idx="16">
                  <c:v>2</c:v>
                </c:pt>
                <c:pt idx="17">
                  <c:v>2</c:v>
                </c:pt>
              </c:numCache>
            </c:numRef>
          </c:val>
          <c:smooth val="0"/>
          <c:extLst>
            <c:ext xmlns:c16="http://schemas.microsoft.com/office/drawing/2014/chart" uri="{C3380CC4-5D6E-409C-BE32-E72D297353CC}">
              <c16:uniqueId val="{00000000-D1B7-A14C-A001-552A88D58F6B}"/>
            </c:ext>
          </c:extLst>
        </c:ser>
        <c:dLbls>
          <c:showLegendKey val="0"/>
          <c:showVal val="0"/>
          <c:showCatName val="0"/>
          <c:showSerName val="0"/>
          <c:showPercent val="0"/>
          <c:showBubbleSize val="0"/>
        </c:dLbls>
        <c:marker val="1"/>
        <c:smooth val="0"/>
        <c:axId val="1005151871"/>
        <c:axId val="751999423"/>
      </c:lineChart>
      <c:catAx>
        <c:axId val="10051518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999423"/>
        <c:crosses val="autoZero"/>
        <c:auto val="1"/>
        <c:lblAlgn val="ctr"/>
        <c:lblOffset val="100"/>
        <c:noMultiLvlLbl val="0"/>
      </c:catAx>
      <c:valAx>
        <c:axId val="751999423"/>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0051518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Cv</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'CH3'!$C$215:$C$232</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'CH3'!$H$215:$H$232</c:f>
              <c:numCache>
                <c:formatCode>0.00E+00</c:formatCode>
                <c:ptCount val="18"/>
                <c:pt idx="0">
                  <c:v>30.864446169484037</c:v>
                </c:pt>
                <c:pt idx="1">
                  <c:v>33.917829914321302</c:v>
                </c:pt>
                <c:pt idx="2">
                  <c:v>36.930484931018128</c:v>
                </c:pt>
                <c:pt idx="3">
                  <c:v>39.793335700001975</c:v>
                </c:pt>
                <c:pt idx="4">
                  <c:v>42.522088936840873</c:v>
                </c:pt>
                <c:pt idx="5">
                  <c:v>45.138658449762744</c:v>
                </c:pt>
                <c:pt idx="6">
                  <c:v>47.635070935757128</c:v>
                </c:pt>
                <c:pt idx="7">
                  <c:v>49.987843355397843</c:v>
                </c:pt>
                <c:pt idx="8">
                  <c:v>52.17492763314587</c:v>
                </c:pt>
                <c:pt idx="9">
                  <c:v>54.183439792916744</c:v>
                </c:pt>
                <c:pt idx="10">
                  <c:v>56.010532350943549</c:v>
                </c:pt>
                <c:pt idx="11">
                  <c:v>57.661282452799739</c:v>
                </c:pt>
                <c:pt idx="12">
                  <c:v>59.145956194056453</c:v>
                </c:pt>
                <c:pt idx="13">
                  <c:v>60.477651128864593</c:v>
                </c:pt>
                <c:pt idx="14">
                  <c:v>61.670579065008127</c:v>
                </c:pt>
                <c:pt idx="15">
                  <c:v>62.738941847181238</c:v>
                </c:pt>
                <c:pt idx="16">
                  <c:v>63.696261839720677</c:v>
                </c:pt>
                <c:pt idx="17">
                  <c:v>64.555028312260788</c:v>
                </c:pt>
              </c:numCache>
            </c:numRef>
          </c:val>
          <c:smooth val="0"/>
          <c:extLst>
            <c:ext xmlns:c16="http://schemas.microsoft.com/office/drawing/2014/chart" uri="{C3380CC4-5D6E-409C-BE32-E72D297353CC}">
              <c16:uniqueId val="{00000000-EB6C-9047-A935-AB9F284D0D6B}"/>
            </c:ext>
          </c:extLst>
        </c:ser>
        <c:dLbls>
          <c:showLegendKey val="0"/>
          <c:showVal val="0"/>
          <c:showCatName val="0"/>
          <c:showSerName val="0"/>
          <c:showPercent val="0"/>
          <c:showBubbleSize val="0"/>
        </c:dLbls>
        <c:marker val="1"/>
        <c:smooth val="0"/>
        <c:axId val="696926223"/>
        <c:axId val="695489599"/>
      </c:lineChart>
      <c:catAx>
        <c:axId val="69692622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5489599"/>
        <c:crosses val="autoZero"/>
        <c:auto val="1"/>
        <c:lblAlgn val="ctr"/>
        <c:lblOffset val="100"/>
        <c:noMultiLvlLbl val="0"/>
      </c:catAx>
      <c:valAx>
        <c:axId val="695489599"/>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69262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S</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'CH3'!$C$263:$C$280</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'CH3'!$J$263:$J$280</c:f>
              <c:numCache>
                <c:formatCode>0.00E+00</c:formatCode>
                <c:ptCount val="18"/>
                <c:pt idx="0">
                  <c:v>194.83597038619993</c:v>
                </c:pt>
                <c:pt idx="1">
                  <c:v>206.52361590297943</c:v>
                </c:pt>
                <c:pt idx="2">
                  <c:v>216.27349867178495</c:v>
                </c:pt>
                <c:pt idx="3">
                  <c:v>224.77797485162503</c:v>
                </c:pt>
                <c:pt idx="4">
                  <c:v>232.40024430215013</c:v>
                </c:pt>
                <c:pt idx="5">
                  <c:v>239.36056028394992</c:v>
                </c:pt>
                <c:pt idx="6">
                  <c:v>245.80184002656293</c:v>
                </c:pt>
                <c:pt idx="7">
                  <c:v>251.81984236181628</c:v>
                </c:pt>
                <c:pt idx="8">
                  <c:v>257.48059192406737</c:v>
                </c:pt>
                <c:pt idx="9">
                  <c:v>262.83128339247185</c:v>
                </c:pt>
                <c:pt idx="10">
                  <c:v>267.90712800596941</c:v>
                </c:pt>
                <c:pt idx="11">
                  <c:v>272.73559136476024</c:v>
                </c:pt>
                <c:pt idx="12">
                  <c:v>277.33898929016596</c:v>
                </c:pt>
                <c:pt idx="13">
                  <c:v>281.7360764691789</c:v>
                </c:pt>
                <c:pt idx="14">
                  <c:v>285.94302839237946</c:v>
                </c:pt>
                <c:pt idx="15">
                  <c:v>289.97406122695605</c:v>
                </c:pt>
                <c:pt idx="16">
                  <c:v>293.84183584338365</c:v>
                </c:pt>
                <c:pt idx="17">
                  <c:v>297.55773227508979</c:v>
                </c:pt>
              </c:numCache>
            </c:numRef>
          </c:val>
          <c:smooth val="0"/>
          <c:extLst>
            <c:ext xmlns:c16="http://schemas.microsoft.com/office/drawing/2014/chart" uri="{C3380CC4-5D6E-409C-BE32-E72D297353CC}">
              <c16:uniqueId val="{00000000-6317-CA4C-8468-ED66ABFE8A69}"/>
            </c:ext>
          </c:extLst>
        </c:ser>
        <c:dLbls>
          <c:showLegendKey val="0"/>
          <c:showVal val="0"/>
          <c:showCatName val="0"/>
          <c:showSerName val="0"/>
          <c:showPercent val="0"/>
          <c:showBubbleSize val="0"/>
        </c:dLbls>
        <c:marker val="1"/>
        <c:smooth val="0"/>
        <c:axId val="751585951"/>
        <c:axId val="751706911"/>
      </c:lineChart>
      <c:catAx>
        <c:axId val="75158595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706911"/>
        <c:crosses val="autoZero"/>
        <c:auto val="1"/>
        <c:lblAlgn val="ctr"/>
        <c:lblOffset val="100"/>
        <c:noMultiLvlLbl val="0"/>
      </c:catAx>
      <c:valAx>
        <c:axId val="751706911"/>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5859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tx>
            <c:v>Qtot</c:v>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'CH3'!$U$102:$U$120</c:f>
              <c:numCache>
                <c:formatCode>General</c:formatCode>
                <c:ptCount val="19"/>
                <c:pt idx="0">
                  <c:v>298.14999999999998</c:v>
                </c:pt>
                <c:pt idx="1">
                  <c:v>300</c:v>
                </c:pt>
                <c:pt idx="2">
                  <c:v>400</c:v>
                </c:pt>
                <c:pt idx="3">
                  <c:v>500</c:v>
                </c:pt>
                <c:pt idx="4">
                  <c:v>600</c:v>
                </c:pt>
                <c:pt idx="5">
                  <c:v>700</c:v>
                </c:pt>
                <c:pt idx="6">
                  <c:v>800</c:v>
                </c:pt>
                <c:pt idx="7">
                  <c:v>900</c:v>
                </c:pt>
                <c:pt idx="8">
                  <c:v>1000</c:v>
                </c:pt>
                <c:pt idx="9">
                  <c:v>1100</c:v>
                </c:pt>
                <c:pt idx="10">
                  <c:v>1200</c:v>
                </c:pt>
                <c:pt idx="11">
                  <c:v>1300</c:v>
                </c:pt>
                <c:pt idx="12">
                  <c:v>1400</c:v>
                </c:pt>
                <c:pt idx="13">
                  <c:v>1500</c:v>
                </c:pt>
                <c:pt idx="14">
                  <c:v>1600</c:v>
                </c:pt>
                <c:pt idx="15">
                  <c:v>1700</c:v>
                </c:pt>
                <c:pt idx="16">
                  <c:v>1800</c:v>
                </c:pt>
                <c:pt idx="17">
                  <c:v>1900</c:v>
                </c:pt>
                <c:pt idx="18">
                  <c:v>2000</c:v>
                </c:pt>
              </c:numCache>
            </c:numRef>
          </c:cat>
          <c:val>
            <c:numRef>
              <c:f>'CH3'!$Z$102:$Z$120</c:f>
              <c:numCache>
                <c:formatCode>General</c:formatCode>
                <c:ptCount val="19"/>
                <c:pt idx="0">
                  <c:v>4.0102420045868308E-6</c:v>
                </c:pt>
                <c:pt idx="1">
                  <c:v>5.0023103638718323E-6</c:v>
                </c:pt>
                <c:pt idx="2">
                  <c:v>4.4427768877759413E-2</c:v>
                </c:pt>
                <c:pt idx="3">
                  <c:v>13.423631185476241</c:v>
                </c:pt>
                <c:pt idx="4">
                  <c:v>725.20635571074808</c:v>
                </c:pt>
                <c:pt idx="5">
                  <c:v>14388.831842912245</c:v>
                </c:pt>
                <c:pt idx="6">
                  <c:v>150907.32802266433</c:v>
                </c:pt>
                <c:pt idx="7">
                  <c:v>1026621.6350634171</c:v>
                </c:pt>
                <c:pt idx="8">
                  <c:v>5129514.1396994386</c:v>
                </c:pt>
                <c:pt idx="9">
                  <c:v>20390066.526725184</c:v>
                </c:pt>
                <c:pt idx="10">
                  <c:v>68048965.630663425</c:v>
                </c:pt>
                <c:pt idx="11">
                  <c:v>197987375.19490969</c:v>
                </c:pt>
                <c:pt idx="12">
                  <c:v>516015674.90561867</c:v>
                </c:pt>
                <c:pt idx="13">
                  <c:v>1229233714.166389</c:v>
                </c:pt>
                <c:pt idx="14">
                  <c:v>2717511995.3463597</c:v>
                </c:pt>
                <c:pt idx="15">
                  <c:v>5641429587.1678038</c:v>
                </c:pt>
                <c:pt idx="16">
                  <c:v>11099670351.951281</c:v>
                </c:pt>
                <c:pt idx="17">
                  <c:v>20851952797.502457</c:v>
                </c:pt>
                <c:pt idx="18">
                  <c:v>37627078707.740967</c:v>
                </c:pt>
              </c:numCache>
            </c:numRef>
          </c:val>
          <c:smooth val="0"/>
          <c:extLst>
            <c:ext xmlns:c16="http://schemas.microsoft.com/office/drawing/2014/chart" uri="{C3380CC4-5D6E-409C-BE32-E72D297353CC}">
              <c16:uniqueId val="{00000000-A7F7-6242-8200-EA838F205EF1}"/>
            </c:ext>
          </c:extLst>
        </c:ser>
        <c:dLbls>
          <c:showLegendKey val="0"/>
          <c:showVal val="0"/>
          <c:showCatName val="0"/>
          <c:showSerName val="0"/>
          <c:showPercent val="0"/>
          <c:showBubbleSize val="0"/>
        </c:dLbls>
        <c:marker val="1"/>
        <c:smooth val="0"/>
        <c:axId val="574877343"/>
        <c:axId val="255072544"/>
      </c:lineChart>
      <c:catAx>
        <c:axId val="5748773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255072544"/>
        <c:crosses val="autoZero"/>
        <c:auto val="1"/>
        <c:lblAlgn val="ctr"/>
        <c:lblOffset val="100"/>
        <c:noMultiLvlLbl val="0"/>
      </c:catAx>
      <c:valAx>
        <c:axId val="2550725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5748773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10.xml"/><Relationship Id="rId7" Type="http://schemas.openxmlformats.org/officeDocument/2006/relationships/chart" Target="../charts/chart14.xml"/><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3.xml"/><Relationship Id="rId5" Type="http://schemas.openxmlformats.org/officeDocument/2006/relationships/chart" Target="../charts/chart12.xml"/><Relationship Id="rId4" Type="http://schemas.openxmlformats.org/officeDocument/2006/relationships/chart" Target="../charts/chart1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7.xml"/><Relationship Id="rId7" Type="http://schemas.openxmlformats.org/officeDocument/2006/relationships/chart" Target="../charts/chart21.xml"/><Relationship Id="rId2" Type="http://schemas.openxmlformats.org/officeDocument/2006/relationships/chart" Target="../charts/chart16.xml"/><Relationship Id="rId1" Type="http://schemas.openxmlformats.org/officeDocument/2006/relationships/chart" Target="../charts/chart15.xml"/><Relationship Id="rId6" Type="http://schemas.openxmlformats.org/officeDocument/2006/relationships/chart" Target="../charts/chart20.xml"/><Relationship Id="rId5" Type="http://schemas.openxmlformats.org/officeDocument/2006/relationships/chart" Target="../charts/chart19.xml"/><Relationship Id="rId4" Type="http://schemas.openxmlformats.org/officeDocument/2006/relationships/chart" Target="../charts/chart18.xml"/></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334945</xdr:colOff>
      <xdr:row>26</xdr:row>
      <xdr:rowOff>139561</xdr:rowOff>
    </xdr:from>
    <xdr:to>
      <xdr:col>5</xdr:col>
      <xdr:colOff>181429</xdr:colOff>
      <xdr:row>26</xdr:row>
      <xdr:rowOff>139561</xdr:rowOff>
    </xdr:to>
    <xdr:cxnSp macro="">
      <xdr:nvCxnSpPr>
        <xdr:cNvPr id="2" name="Straight Arrow Connector 1">
          <a:extLst>
            <a:ext uri="{FF2B5EF4-FFF2-40B4-BE49-F238E27FC236}">
              <a16:creationId xmlns:a16="http://schemas.microsoft.com/office/drawing/2014/main" id="{1D5F3CA5-E0ED-AC44-BB4A-707BD55E7DCA}"/>
            </a:ext>
          </a:extLst>
        </xdr:cNvPr>
        <xdr:cNvCxnSpPr/>
      </xdr:nvCxnSpPr>
      <xdr:spPr>
        <a:xfrm>
          <a:off x="5884845" y="7073761"/>
          <a:ext cx="1218084"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4</xdr:col>
      <xdr:colOff>291961</xdr:colOff>
      <xdr:row>30</xdr:row>
      <xdr:rowOff>138445</xdr:rowOff>
    </xdr:from>
    <xdr:to>
      <xdr:col>5</xdr:col>
      <xdr:colOff>138445</xdr:colOff>
      <xdr:row>30</xdr:row>
      <xdr:rowOff>138445</xdr:rowOff>
    </xdr:to>
    <xdr:cxnSp macro="">
      <xdr:nvCxnSpPr>
        <xdr:cNvPr id="3" name="Straight Arrow Connector 2">
          <a:extLst>
            <a:ext uri="{FF2B5EF4-FFF2-40B4-BE49-F238E27FC236}">
              <a16:creationId xmlns:a16="http://schemas.microsoft.com/office/drawing/2014/main" id="{4FB4CDD5-9178-5D44-8772-9C5F9B905875}"/>
            </a:ext>
          </a:extLst>
        </xdr:cNvPr>
        <xdr:cNvCxnSpPr/>
      </xdr:nvCxnSpPr>
      <xdr:spPr>
        <a:xfrm>
          <a:off x="5841861" y="8088645"/>
          <a:ext cx="1218084"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5</xdr:col>
      <xdr:colOff>63430</xdr:colOff>
      <xdr:row>29</xdr:row>
      <xdr:rowOff>165101</xdr:rowOff>
    </xdr:from>
    <xdr:ext cx="1638370" cy="401457"/>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BEC19F0F-EB0F-FC41-9629-501F2651CDBF}"/>
                </a:ext>
              </a:extLst>
            </xdr:cNvPr>
            <xdr:cNvSpPr txBox="1"/>
          </xdr:nvSpPr>
          <xdr:spPr>
            <a:xfrm>
              <a:off x="6984930" y="7861301"/>
              <a:ext cx="1638370" cy="4014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300" b="0" i="1">
                            <a:latin typeface="Cambria Math" panose="02040503050406030204" pitchFamily="18" charset="0"/>
                          </a:rPr>
                        </m:ctrlPr>
                      </m:sSubPr>
                      <m:e>
                        <m:r>
                          <a:rPr lang="it-IT" sz="1300" b="0" i="1">
                            <a:latin typeface="Cambria Math" panose="02040503050406030204" pitchFamily="18" charset="0"/>
                          </a:rPr>
                          <m:t>𝐵</m:t>
                        </m:r>
                      </m:e>
                      <m:sub>
                        <m:r>
                          <a:rPr lang="it-IT" sz="1300" b="0" i="1">
                            <a:latin typeface="Cambria Math" panose="02040503050406030204" pitchFamily="18" charset="0"/>
                          </a:rPr>
                          <m:t>𝑟𝑜𝑡</m:t>
                        </m:r>
                      </m:sub>
                    </m:sSub>
                    <m:r>
                      <a:rPr lang="it-IT" sz="1300" b="0" i="1">
                        <a:latin typeface="Cambria Math" panose="02040503050406030204" pitchFamily="18" charset="0"/>
                      </a:rPr>
                      <m:t>= </m:t>
                    </m:r>
                    <m:f>
                      <m:fPr>
                        <m:ctrlPr>
                          <a:rPr lang="it-IT" sz="1300" b="0" i="1">
                            <a:latin typeface="Cambria Math" panose="02040503050406030204" pitchFamily="18" charset="0"/>
                          </a:rPr>
                        </m:ctrlPr>
                      </m:fPr>
                      <m:num>
                        <m:sSup>
                          <m:sSupPr>
                            <m:ctrlPr>
                              <a:rPr lang="it-IT" sz="1300" b="0" i="1">
                                <a:latin typeface="Cambria Math" panose="02040503050406030204" pitchFamily="18" charset="0"/>
                              </a:rPr>
                            </m:ctrlPr>
                          </m:sSupPr>
                          <m:e>
                            <m:r>
                              <a:rPr lang="it-IT" sz="1300" b="0" i="1">
                                <a:latin typeface="Cambria Math" panose="02040503050406030204" pitchFamily="18" charset="0"/>
                              </a:rPr>
                              <m:t>h</m:t>
                            </m:r>
                          </m:e>
                          <m:sup>
                            <m:r>
                              <a:rPr lang="it-IT" sz="1300" b="0" i="1">
                                <a:latin typeface="Cambria Math" panose="02040503050406030204" pitchFamily="18" charset="0"/>
                              </a:rPr>
                              <m:t>2</m:t>
                            </m:r>
                          </m:sup>
                        </m:sSup>
                      </m:num>
                      <m:den>
                        <m:r>
                          <a:rPr lang="it-IT" sz="1300" b="0" i="1">
                            <a:latin typeface="Cambria Math" panose="02040503050406030204" pitchFamily="18" charset="0"/>
                          </a:rPr>
                          <m:t>8</m:t>
                        </m:r>
                        <m:sSup>
                          <m:sSupPr>
                            <m:ctrlPr>
                              <a:rPr lang="it-IT" sz="1300" b="0" i="1">
                                <a:latin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𝜋</m:t>
                            </m:r>
                          </m:e>
                          <m:sup>
                            <m:r>
                              <a:rPr lang="it-IT" sz="1300" b="0" i="1">
                                <a:latin typeface="Cambria Math" panose="02040503050406030204" pitchFamily="18" charset="0"/>
                              </a:rPr>
                              <m:t>2</m:t>
                            </m:r>
                          </m:sup>
                        </m:sSup>
                        <m:r>
                          <a:rPr lang="it-IT" sz="1300" b="0" i="1">
                            <a:latin typeface="Cambria Math" panose="02040503050406030204" pitchFamily="18" charset="0"/>
                            <a:ea typeface="Cambria Math" panose="02040503050406030204" pitchFamily="18" charset="0"/>
                          </a:rPr>
                          <m:t>𝐼</m:t>
                        </m:r>
                      </m:den>
                    </m:f>
                    <m:r>
                      <a:rPr lang="it-IT" sz="1300" b="0" i="1">
                        <a:latin typeface="Cambria Math" panose="02040503050406030204" pitchFamily="18" charset="0"/>
                      </a:rPr>
                      <m:t>=</m:t>
                    </m:r>
                    <m:f>
                      <m:fPr>
                        <m:ctrlPr>
                          <a:rPr lang="it-IT" sz="1300" b="0" i="1">
                            <a:latin typeface="Cambria Math" panose="02040503050406030204" pitchFamily="18" charset="0"/>
                          </a:rPr>
                        </m:ctrlPr>
                      </m:fPr>
                      <m:num>
                        <m:sSup>
                          <m:sSupPr>
                            <m:ctrlPr>
                              <a:rPr lang="it-IT" sz="1300" b="0" i="1">
                                <a:latin typeface="Cambria Math" panose="02040503050406030204" pitchFamily="18" charset="0"/>
                                <a:ea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ℏ</m:t>
                            </m:r>
                          </m:e>
                          <m:sup>
                            <m:r>
                              <a:rPr lang="it-IT" sz="1300" b="0" i="1">
                                <a:latin typeface="Cambria Math" panose="02040503050406030204" pitchFamily="18" charset="0"/>
                                <a:ea typeface="Cambria Math" panose="02040503050406030204" pitchFamily="18" charset="0"/>
                              </a:rPr>
                              <m:t>2</m:t>
                            </m:r>
                          </m:sup>
                        </m:sSup>
                      </m:num>
                      <m:den>
                        <m:r>
                          <a:rPr lang="it-IT" sz="1300" b="0" i="1">
                            <a:latin typeface="Cambria Math" panose="02040503050406030204" pitchFamily="18" charset="0"/>
                          </a:rPr>
                          <m:t>2</m:t>
                        </m:r>
                        <m:r>
                          <a:rPr lang="it-IT" sz="1300" b="0" i="1">
                            <a:latin typeface="Cambria Math" panose="02040503050406030204" pitchFamily="18" charset="0"/>
                          </a:rPr>
                          <m:t>𝐼</m:t>
                        </m:r>
                      </m:den>
                    </m:f>
                  </m:oMath>
                </m:oMathPara>
              </a14:m>
              <a:endParaRPr lang="en-US" sz="1300"/>
            </a:p>
          </xdr:txBody>
        </xdr:sp>
      </mc:Choice>
      <mc:Fallback xmlns="">
        <xdr:sp macro="" textlink="">
          <xdr:nvSpPr>
            <xdr:cNvPr id="4" name="TextBox 3">
              <a:extLst>
                <a:ext uri="{FF2B5EF4-FFF2-40B4-BE49-F238E27FC236}">
                  <a16:creationId xmlns:a16="http://schemas.microsoft.com/office/drawing/2014/main" id="{BEC19F0F-EB0F-FC41-9629-501F2651CDBF}"/>
                </a:ext>
              </a:extLst>
            </xdr:cNvPr>
            <xdr:cNvSpPr txBox="1"/>
          </xdr:nvSpPr>
          <xdr:spPr>
            <a:xfrm>
              <a:off x="6984930" y="7861301"/>
              <a:ext cx="1638370" cy="4014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300" b="0" i="0">
                  <a:latin typeface="Cambria Math" panose="02040503050406030204" pitchFamily="18" charset="0"/>
                </a:rPr>
                <a:t>𝐵_𝑟𝑜𝑡=  ℎ^2/(8</a:t>
              </a:r>
              <a:r>
                <a:rPr lang="it-IT" sz="1300" b="0" i="0">
                  <a:latin typeface="Cambria Math" panose="02040503050406030204" pitchFamily="18" charset="0"/>
                  <a:ea typeface="Cambria Math" panose="02040503050406030204" pitchFamily="18" charset="0"/>
                </a:rPr>
                <a:t>𝜋^</a:t>
              </a:r>
              <a:r>
                <a:rPr lang="it-IT" sz="1300" b="0" i="0">
                  <a:latin typeface="Cambria Math" panose="02040503050406030204" pitchFamily="18" charset="0"/>
                </a:rPr>
                <a:t>2</a:t>
              </a:r>
              <a:r>
                <a:rPr lang="it-IT" sz="1300" b="0" i="0">
                  <a:latin typeface="Cambria Math" panose="02040503050406030204" pitchFamily="18" charset="0"/>
                  <a:ea typeface="Cambria Math" panose="02040503050406030204" pitchFamily="18" charset="0"/>
                </a:rPr>
                <a:t> 𝐼)</a:t>
              </a:r>
              <a:r>
                <a:rPr lang="it-IT" sz="1300" b="0" i="0">
                  <a:latin typeface="Cambria Math" panose="02040503050406030204" pitchFamily="18" charset="0"/>
                </a:rPr>
                <a:t>=</a:t>
              </a:r>
              <a:r>
                <a:rPr lang="it-IT" sz="1300" b="0" i="0">
                  <a:latin typeface="Cambria Math" panose="02040503050406030204" pitchFamily="18" charset="0"/>
                  <a:ea typeface="Cambria Math" panose="02040503050406030204" pitchFamily="18" charset="0"/>
                </a:rPr>
                <a:t>ℏ^2/</a:t>
              </a:r>
              <a:r>
                <a:rPr lang="it-IT" sz="1300" b="0" i="0">
                  <a:latin typeface="Cambria Math" panose="02040503050406030204" pitchFamily="18" charset="0"/>
                </a:rPr>
                <a:t>2𝐼</a:t>
              </a:r>
              <a:endParaRPr lang="en-US" sz="1300"/>
            </a:p>
          </xdr:txBody>
        </xdr:sp>
      </mc:Fallback>
    </mc:AlternateContent>
    <xdr:clientData/>
  </xdr:oneCellAnchor>
  <xdr:oneCellAnchor>
    <xdr:from>
      <xdr:col>5</xdr:col>
      <xdr:colOff>102893</xdr:colOff>
      <xdr:row>25</xdr:row>
      <xdr:rowOff>141854</xdr:rowOff>
    </xdr:from>
    <xdr:ext cx="1638370" cy="434158"/>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01275427-A52C-BB41-B0A6-A368CE88DA6A}"/>
                </a:ext>
              </a:extLst>
            </xdr:cNvPr>
            <xdr:cNvSpPr txBox="1"/>
          </xdr:nvSpPr>
          <xdr:spPr>
            <a:xfrm>
              <a:off x="7024393" y="6822054"/>
              <a:ext cx="1638370" cy="4341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300" b="0" i="1">
                            <a:latin typeface="Cambria Math" panose="02040503050406030204" pitchFamily="18" charset="0"/>
                          </a:rPr>
                        </m:ctrlPr>
                      </m:sSubPr>
                      <m:e>
                        <m:r>
                          <a:rPr lang="it-IT" sz="1300" b="0" i="1">
                            <a:latin typeface="Cambria Math" panose="02040503050406030204" pitchFamily="18" charset="0"/>
                            <a:ea typeface="Cambria Math" panose="02040503050406030204" pitchFamily="18" charset="0"/>
                          </a:rPr>
                          <m:t>𝜃</m:t>
                        </m:r>
                      </m:e>
                      <m:sub>
                        <m:r>
                          <a:rPr lang="it-IT" sz="1300" b="0" i="1">
                            <a:latin typeface="Cambria Math" panose="02040503050406030204" pitchFamily="18" charset="0"/>
                          </a:rPr>
                          <m:t>𝑟𝑜𝑡</m:t>
                        </m:r>
                      </m:sub>
                    </m:sSub>
                    <m:r>
                      <a:rPr lang="it-IT" sz="1300" b="0" i="1">
                        <a:latin typeface="Cambria Math" panose="02040503050406030204" pitchFamily="18" charset="0"/>
                      </a:rPr>
                      <m:t>= </m:t>
                    </m:r>
                    <m:f>
                      <m:fPr>
                        <m:ctrlPr>
                          <a:rPr lang="it-IT" sz="1300" b="0" i="1">
                            <a:latin typeface="Cambria Math" panose="02040503050406030204" pitchFamily="18" charset="0"/>
                          </a:rPr>
                        </m:ctrlPr>
                      </m:fPr>
                      <m:num>
                        <m:sSup>
                          <m:sSupPr>
                            <m:ctrlPr>
                              <a:rPr lang="it-IT" sz="1300" b="0" i="1">
                                <a:latin typeface="Cambria Math" panose="02040503050406030204" pitchFamily="18" charset="0"/>
                              </a:rPr>
                            </m:ctrlPr>
                          </m:sSupPr>
                          <m:e>
                            <m:r>
                              <a:rPr lang="it-IT" sz="1300" b="0" i="1">
                                <a:latin typeface="Cambria Math" panose="02040503050406030204" pitchFamily="18" charset="0"/>
                              </a:rPr>
                              <m:t>h</m:t>
                            </m:r>
                          </m:e>
                          <m:sup>
                            <m:r>
                              <a:rPr lang="it-IT" sz="1300" b="0" i="1">
                                <a:latin typeface="Cambria Math" panose="02040503050406030204" pitchFamily="18" charset="0"/>
                              </a:rPr>
                              <m:t>2</m:t>
                            </m:r>
                          </m:sup>
                        </m:sSup>
                      </m:num>
                      <m:den>
                        <m:r>
                          <a:rPr lang="it-IT" sz="1300" b="0" i="1">
                            <a:latin typeface="Cambria Math" panose="02040503050406030204" pitchFamily="18" charset="0"/>
                          </a:rPr>
                          <m:t>8</m:t>
                        </m:r>
                        <m:sSup>
                          <m:sSupPr>
                            <m:ctrlPr>
                              <a:rPr lang="it-IT" sz="1300" b="0" i="1">
                                <a:latin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𝜋</m:t>
                            </m:r>
                          </m:e>
                          <m:sup>
                            <m:r>
                              <a:rPr lang="it-IT" sz="1300" b="0" i="1">
                                <a:latin typeface="Cambria Math" panose="02040503050406030204" pitchFamily="18" charset="0"/>
                              </a:rPr>
                              <m:t>2</m:t>
                            </m:r>
                          </m:sup>
                        </m:sSup>
                        <m:r>
                          <a:rPr lang="it-IT" sz="1300" b="0" i="1">
                            <a:latin typeface="Cambria Math" panose="02040503050406030204" pitchFamily="18" charset="0"/>
                            <a:ea typeface="Cambria Math" panose="02040503050406030204" pitchFamily="18" charset="0"/>
                          </a:rPr>
                          <m:t>𝐼</m:t>
                        </m:r>
                        <m:r>
                          <a:rPr lang="it-IT" sz="1300" b="0" i="1">
                            <a:latin typeface="Cambria Math" panose="02040503050406030204" pitchFamily="18" charset="0"/>
                            <a:ea typeface="Cambria Math" panose="02040503050406030204" pitchFamily="18" charset="0"/>
                          </a:rPr>
                          <m:t> </m:t>
                        </m:r>
                        <m:sSub>
                          <m:sSubPr>
                            <m:ctrlPr>
                              <a:rPr lang="it-IT" sz="1300" b="0" i="1">
                                <a:latin typeface="Cambria Math" panose="02040503050406030204" pitchFamily="18" charset="0"/>
                                <a:ea typeface="Cambria Math" panose="02040503050406030204" pitchFamily="18" charset="0"/>
                              </a:rPr>
                            </m:ctrlPr>
                          </m:sSubPr>
                          <m:e>
                            <m:r>
                              <a:rPr lang="it-IT" sz="1300" b="0" i="1">
                                <a:latin typeface="Cambria Math" panose="02040503050406030204" pitchFamily="18" charset="0"/>
                                <a:ea typeface="Cambria Math" panose="02040503050406030204" pitchFamily="18" charset="0"/>
                              </a:rPr>
                              <m:t>𝑘</m:t>
                            </m:r>
                          </m:e>
                          <m:sub>
                            <m:r>
                              <a:rPr lang="it-IT" sz="1300" b="0" i="1">
                                <a:latin typeface="Cambria Math" panose="02040503050406030204" pitchFamily="18" charset="0"/>
                                <a:ea typeface="Cambria Math" panose="02040503050406030204" pitchFamily="18" charset="0"/>
                              </a:rPr>
                              <m:t>𝑏</m:t>
                            </m:r>
                          </m:sub>
                        </m:sSub>
                      </m:den>
                    </m:f>
                  </m:oMath>
                </m:oMathPara>
              </a14:m>
              <a:endParaRPr lang="en-US" sz="1300"/>
            </a:p>
          </xdr:txBody>
        </xdr:sp>
      </mc:Choice>
      <mc:Fallback xmlns="">
        <xdr:sp macro="" textlink="">
          <xdr:nvSpPr>
            <xdr:cNvPr id="5" name="TextBox 4">
              <a:extLst>
                <a:ext uri="{FF2B5EF4-FFF2-40B4-BE49-F238E27FC236}">
                  <a16:creationId xmlns:a16="http://schemas.microsoft.com/office/drawing/2014/main" id="{01275427-A52C-BB41-B0A6-A368CE88DA6A}"/>
                </a:ext>
              </a:extLst>
            </xdr:cNvPr>
            <xdr:cNvSpPr txBox="1"/>
          </xdr:nvSpPr>
          <xdr:spPr>
            <a:xfrm>
              <a:off x="7024393" y="6822054"/>
              <a:ext cx="1638370" cy="4341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300" b="0" i="0">
                  <a:latin typeface="Cambria Math" panose="02040503050406030204" pitchFamily="18" charset="0"/>
                  <a:ea typeface="Cambria Math" panose="02040503050406030204" pitchFamily="18" charset="0"/>
                </a:rPr>
                <a:t>𝜃_</a:t>
              </a:r>
              <a:r>
                <a:rPr lang="it-IT" sz="1300" b="0" i="0">
                  <a:latin typeface="Cambria Math" panose="02040503050406030204" pitchFamily="18" charset="0"/>
                </a:rPr>
                <a:t>𝑟𝑜𝑡=  ℎ^2/(8</a:t>
              </a:r>
              <a:r>
                <a:rPr lang="it-IT" sz="1300" b="0" i="0">
                  <a:latin typeface="Cambria Math" panose="02040503050406030204" pitchFamily="18" charset="0"/>
                  <a:ea typeface="Cambria Math" panose="02040503050406030204" pitchFamily="18" charset="0"/>
                </a:rPr>
                <a:t>𝜋^</a:t>
              </a:r>
              <a:r>
                <a:rPr lang="it-IT" sz="1300" b="0" i="0">
                  <a:latin typeface="Cambria Math" panose="02040503050406030204" pitchFamily="18" charset="0"/>
                </a:rPr>
                <a:t>2</a:t>
              </a:r>
              <a:r>
                <a:rPr lang="it-IT" sz="1300" b="0" i="0">
                  <a:latin typeface="Cambria Math" panose="02040503050406030204" pitchFamily="18" charset="0"/>
                  <a:ea typeface="Cambria Math" panose="02040503050406030204" pitchFamily="18" charset="0"/>
                </a:rPr>
                <a:t> 𝐼 𝑘_𝑏 )</a:t>
              </a:r>
              <a:endParaRPr lang="en-US" sz="1300"/>
            </a:p>
          </xdr:txBody>
        </xdr:sp>
      </mc:Fallback>
    </mc:AlternateContent>
    <xdr:clientData/>
  </xdr:oneCellAnchor>
  <xdr:twoCellAnchor>
    <xdr:from>
      <xdr:col>4</xdr:col>
      <xdr:colOff>452528</xdr:colOff>
      <xdr:row>55</xdr:row>
      <xdr:rowOff>131380</xdr:rowOff>
    </xdr:from>
    <xdr:to>
      <xdr:col>6</xdr:col>
      <xdr:colOff>613104</xdr:colOff>
      <xdr:row>55</xdr:row>
      <xdr:rowOff>145977</xdr:rowOff>
    </xdr:to>
    <xdr:cxnSp macro="">
      <xdr:nvCxnSpPr>
        <xdr:cNvPr id="6" name="Straight Arrow Connector 5">
          <a:extLst>
            <a:ext uri="{FF2B5EF4-FFF2-40B4-BE49-F238E27FC236}">
              <a16:creationId xmlns:a16="http://schemas.microsoft.com/office/drawing/2014/main" id="{A6C0A99E-B6C2-EA48-98ED-752FC914150B}"/>
            </a:ext>
          </a:extLst>
        </xdr:cNvPr>
        <xdr:cNvCxnSpPr/>
      </xdr:nvCxnSpPr>
      <xdr:spPr>
        <a:xfrm>
          <a:off x="6002428" y="150284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125030</xdr:colOff>
      <xdr:row>53</xdr:row>
      <xdr:rowOff>179868</xdr:rowOff>
    </xdr:from>
    <xdr:ext cx="2143857" cy="608821"/>
    <mc:AlternateContent xmlns:mc="http://schemas.openxmlformats.org/markup-compatibility/2006" xmlns:a14="http://schemas.microsoft.com/office/drawing/2010/main">
      <mc:Choice Requires="a14">
        <xdr:sp macro="" textlink="">
          <xdr:nvSpPr>
            <xdr:cNvPr id="7" name="TextBox 6">
              <a:extLst>
                <a:ext uri="{FF2B5EF4-FFF2-40B4-BE49-F238E27FC236}">
                  <a16:creationId xmlns:a16="http://schemas.microsoft.com/office/drawing/2014/main" id="{8F96118E-F933-B84B-A06E-443C4A701F6E}"/>
                </a:ext>
              </a:extLst>
            </xdr:cNvPr>
            <xdr:cNvSpPr txBox="1"/>
          </xdr:nvSpPr>
          <xdr:spPr>
            <a:xfrm>
              <a:off x="9421430" y="14581668"/>
              <a:ext cx="2143857"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sSup>
                      <m:sSupPr>
                        <m:ctrlPr>
                          <a:rPr lang="it-IT" sz="1600" b="0" i="1">
                            <a:latin typeface="Cambria Math" panose="02040503050406030204" pitchFamily="18" charset="0"/>
                          </a:rPr>
                        </m:ctrlPr>
                      </m:sSupPr>
                      <m:e>
                        <m:r>
                          <a:rPr lang="it-IT" sz="1600" b="0" i="1">
                            <a:latin typeface="Cambria Math" panose="02040503050406030204" pitchFamily="18" charset="0"/>
                          </a:rPr>
                          <m:t> </m:t>
                        </m:r>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r>
                                  <a:rPr lang="it-IT" sz="1600" b="0" i="1">
                                    <a:latin typeface="Cambria Math" panose="02040503050406030204" pitchFamily="18" charset="0"/>
                                    <a:ea typeface="Cambria Math" panose="02040503050406030204" pitchFamily="18" charset="0"/>
                                  </a:rPr>
                                  <m:t>𝑚</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num>
                              <m:den>
                                <m:sSup>
                                  <m:sSupPr>
                                    <m:ctrlPr>
                                      <a:rPr lang="it-IT" sz="1600" b="0" i="1">
                                        <a:latin typeface="Cambria Math" panose="02040503050406030204" pitchFamily="18" charset="0"/>
                                      </a:rPr>
                                    </m:ctrlPr>
                                  </m:sSupPr>
                                  <m:e>
                                    <m:r>
                                      <a:rPr lang="it-IT" sz="1600" b="0" i="1">
                                        <a:latin typeface="Cambria Math" panose="02040503050406030204" pitchFamily="18" charset="0"/>
                                      </a:rPr>
                                      <m:t>h</m:t>
                                    </m:r>
                                  </m:e>
                                  <m:sup>
                                    <m:r>
                                      <a:rPr lang="it-IT" sz="1600" b="0" i="1">
                                        <a:latin typeface="Cambria Math" panose="02040503050406030204" pitchFamily="18" charset="0"/>
                                      </a:rPr>
                                      <m:t>2</m:t>
                                    </m:r>
                                  </m:sup>
                                </m:sSup>
                              </m:den>
                            </m:f>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r>
                      <a:rPr lang="it-IT" sz="1600" b="0" i="1">
                        <a:latin typeface="Cambria Math" panose="02040503050406030204" pitchFamily="18" charset="0"/>
                      </a:rPr>
                      <m:t>𝑉</m:t>
                    </m:r>
                  </m:oMath>
                </m:oMathPara>
              </a14:m>
              <a:endParaRPr lang="en-US" sz="1600"/>
            </a:p>
          </xdr:txBody>
        </xdr:sp>
      </mc:Choice>
      <mc:Fallback xmlns="">
        <xdr:sp macro="" textlink="">
          <xdr:nvSpPr>
            <xdr:cNvPr id="7" name="TextBox 6">
              <a:extLst>
                <a:ext uri="{FF2B5EF4-FFF2-40B4-BE49-F238E27FC236}">
                  <a16:creationId xmlns:a16="http://schemas.microsoft.com/office/drawing/2014/main" id="{8F96118E-F933-B84B-A06E-443C4A701F6E}"/>
                </a:ext>
              </a:extLst>
            </xdr:cNvPr>
            <xdr:cNvSpPr txBox="1"/>
          </xdr:nvSpPr>
          <xdr:spPr>
            <a:xfrm>
              <a:off x="9421430" y="14581668"/>
              <a:ext cx="2143857"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 ((2</a:t>
              </a:r>
              <a:r>
                <a:rPr lang="it-IT" sz="1600" b="0" i="0">
                  <a:latin typeface="Cambria Math" panose="02040503050406030204" pitchFamily="18" charset="0"/>
                  <a:ea typeface="Cambria Math" panose="02040503050406030204" pitchFamily="18" charset="0"/>
                </a:rPr>
                <a:t>𝜋𝑚𝑘_𝑏 𝑇)/</a:t>
              </a:r>
              <a:r>
                <a:rPr lang="it-IT" sz="1600" b="0" i="0">
                  <a:latin typeface="Cambria Math" panose="02040503050406030204" pitchFamily="18" charset="0"/>
                </a:rPr>
                <a:t>ℎ^2 )〗^(3/2) 𝑉</a:t>
              </a:r>
              <a:endParaRPr lang="en-US" sz="1600"/>
            </a:p>
          </xdr:txBody>
        </xdr:sp>
      </mc:Fallback>
    </mc:AlternateContent>
    <xdr:clientData/>
  </xdr:oneCellAnchor>
  <xdr:oneCellAnchor>
    <xdr:from>
      <xdr:col>7</xdr:col>
      <xdr:colOff>104790</xdr:colOff>
      <xdr:row>56</xdr:row>
      <xdr:rowOff>61497</xdr:rowOff>
    </xdr:from>
    <xdr:ext cx="2729209" cy="608821"/>
    <mc:AlternateContent xmlns:mc="http://schemas.openxmlformats.org/markup-compatibility/2006" xmlns:a14="http://schemas.microsoft.com/office/drawing/2010/main">
      <mc:Choice Requires="a14">
        <xdr:sp macro="" textlink="">
          <xdr:nvSpPr>
            <xdr:cNvPr id="8" name="TextBox 7">
              <a:extLst>
                <a:ext uri="{FF2B5EF4-FFF2-40B4-BE49-F238E27FC236}">
                  <a16:creationId xmlns:a16="http://schemas.microsoft.com/office/drawing/2014/main" id="{210AE9C7-6889-B046-8384-8A16CA2375F6}"/>
                </a:ext>
              </a:extLst>
            </xdr:cNvPr>
            <xdr:cNvSpPr txBox="1"/>
          </xdr:nvSpPr>
          <xdr:spPr>
            <a:xfrm>
              <a:off x="9401190" y="15301497"/>
              <a:ext cx="2729209"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n-US" sz="160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up>
                        <m:r>
                          <a:rPr lang="it-IT" sz="1600" b="0" i="1">
                            <a:latin typeface="Cambria Math" panose="02040503050406030204" pitchFamily="18" charset="0"/>
                          </a:rPr>
                          <m:t>𝑢𝑑𝑣</m:t>
                        </m:r>
                      </m:sup>
                    </m:sSubSup>
                    <m:r>
                      <a:rPr lang="it-IT" sz="1600" b="0" i="1">
                        <a:latin typeface="Cambria Math" panose="02040503050406030204" pitchFamily="18" charset="0"/>
                      </a:rPr>
                      <m:t>=</m:t>
                    </m:r>
                    <m:f>
                      <m:fPr>
                        <m:ctrlPr>
                          <a:rPr lang="it-IT" sz="1600" b="0" i="1">
                            <a:latin typeface="Cambria Math" panose="02040503050406030204" pitchFamily="18" charset="0"/>
                          </a:rPr>
                        </m:ctrlPr>
                      </m:fPr>
                      <m:num>
                        <m:sSub>
                          <m:sSubPr>
                            <m:ctrlPr>
                              <a:rPr lang="it-IT" sz="1600" b="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𝑡𝑟𝑎𝑠𝑙</m:t>
                            </m:r>
                          </m:sub>
                        </m:sSub>
                      </m:num>
                      <m:den>
                        <m:r>
                          <a:rPr lang="it-IT" sz="1600" b="0" i="1">
                            <a:latin typeface="Cambria Math" panose="02040503050406030204" pitchFamily="18" charset="0"/>
                          </a:rPr>
                          <m:t>𝑉</m:t>
                        </m:r>
                      </m:den>
                    </m:f>
                    <m:r>
                      <a:rPr lang="it-IT" sz="1600" b="0" i="1">
                        <a:latin typeface="Cambria Math" panose="02040503050406030204" pitchFamily="18" charset="0"/>
                      </a:rPr>
                      <m:t>=</m:t>
                    </m:r>
                    <m:sSup>
                      <m:sSupPr>
                        <m:ctrlPr>
                          <a:rPr lang="it-IT" sz="1600" b="0" i="1">
                            <a:latin typeface="Cambria Math" panose="02040503050406030204" pitchFamily="18" charset="0"/>
                          </a:rPr>
                        </m:ctrlPr>
                      </m:sSupPr>
                      <m:e>
                        <m:r>
                          <a:rPr lang="it-IT" sz="1600" b="0" i="1">
                            <a:latin typeface="Cambria Math" panose="02040503050406030204" pitchFamily="18" charset="0"/>
                          </a:rPr>
                          <m:t> </m:t>
                        </m:r>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r>
                                  <a:rPr lang="it-IT" sz="1600" b="0" i="1">
                                    <a:latin typeface="Cambria Math" panose="02040503050406030204" pitchFamily="18" charset="0"/>
                                    <a:ea typeface="Cambria Math" panose="02040503050406030204" pitchFamily="18" charset="0"/>
                                  </a:rPr>
                                  <m:t>𝑚</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num>
                              <m:den>
                                <m:sSup>
                                  <m:sSupPr>
                                    <m:ctrlPr>
                                      <a:rPr lang="it-IT" sz="1600" b="0" i="1">
                                        <a:latin typeface="Cambria Math" panose="02040503050406030204" pitchFamily="18" charset="0"/>
                                      </a:rPr>
                                    </m:ctrlPr>
                                  </m:sSupPr>
                                  <m:e>
                                    <m:r>
                                      <a:rPr lang="it-IT" sz="1600" b="0" i="1">
                                        <a:latin typeface="Cambria Math" panose="02040503050406030204" pitchFamily="18" charset="0"/>
                                      </a:rPr>
                                      <m:t>h</m:t>
                                    </m:r>
                                  </m:e>
                                  <m:sup>
                                    <m:r>
                                      <a:rPr lang="it-IT" sz="1600" b="0" i="1">
                                        <a:latin typeface="Cambria Math" panose="02040503050406030204" pitchFamily="18" charset="0"/>
                                      </a:rPr>
                                      <m:t>2</m:t>
                                    </m:r>
                                  </m:sup>
                                </m:sSup>
                              </m:den>
                            </m:f>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oMath>
                </m:oMathPara>
              </a14:m>
              <a:endParaRPr lang="en-US" sz="1600"/>
            </a:p>
          </xdr:txBody>
        </xdr:sp>
      </mc:Choice>
      <mc:Fallback xmlns="">
        <xdr:sp macro="" textlink="">
          <xdr:nvSpPr>
            <xdr:cNvPr id="8" name="TextBox 7">
              <a:extLst>
                <a:ext uri="{FF2B5EF4-FFF2-40B4-BE49-F238E27FC236}">
                  <a16:creationId xmlns:a16="http://schemas.microsoft.com/office/drawing/2014/main" id="{210AE9C7-6889-B046-8384-8A16CA2375F6}"/>
                </a:ext>
              </a:extLst>
            </xdr:cNvPr>
            <xdr:cNvSpPr txBox="1"/>
          </xdr:nvSpPr>
          <xdr:spPr>
            <a:xfrm>
              <a:off x="9401190" y="15301497"/>
              <a:ext cx="2729209"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𝑡𝑟𝑎𝑛𝑠𝑙^𝑢𝑑𝑣=𝑄_𝑡𝑟𝑎𝑠𝑙/𝑉=〖 ((2</a:t>
              </a:r>
              <a:r>
                <a:rPr lang="it-IT" sz="1600" b="0" i="0">
                  <a:latin typeface="Cambria Math" panose="02040503050406030204" pitchFamily="18" charset="0"/>
                  <a:ea typeface="Cambria Math" panose="02040503050406030204" pitchFamily="18" charset="0"/>
                </a:rPr>
                <a:t>𝜋𝑚𝑘_𝑏 𝑇)/</a:t>
              </a:r>
              <a:r>
                <a:rPr lang="it-IT" sz="1600" b="0" i="0">
                  <a:latin typeface="Cambria Math" panose="02040503050406030204" pitchFamily="18" charset="0"/>
                </a:rPr>
                <a:t>ℎ^2 )〗^(3/2)</a:t>
              </a:r>
              <a:endParaRPr lang="en-US" sz="1600"/>
            </a:p>
          </xdr:txBody>
        </xdr:sp>
      </mc:Fallback>
    </mc:AlternateContent>
    <xdr:clientData/>
  </xdr:oneCellAnchor>
  <xdr:twoCellAnchor>
    <xdr:from>
      <xdr:col>6</xdr:col>
      <xdr:colOff>750454</xdr:colOff>
      <xdr:row>54</xdr:row>
      <xdr:rowOff>72159</xdr:rowOff>
    </xdr:from>
    <xdr:to>
      <xdr:col>7</xdr:col>
      <xdr:colOff>137102</xdr:colOff>
      <xdr:row>58</xdr:row>
      <xdr:rowOff>202046</xdr:rowOff>
    </xdr:to>
    <xdr:sp macro="" textlink="">
      <xdr:nvSpPr>
        <xdr:cNvPr id="9" name="Left Brace 8">
          <a:extLst>
            <a:ext uri="{FF2B5EF4-FFF2-40B4-BE49-F238E27FC236}">
              <a16:creationId xmlns:a16="http://schemas.microsoft.com/office/drawing/2014/main" id="{C79811EE-786E-4849-A468-9F2618E17984}"/>
            </a:ext>
          </a:extLst>
        </xdr:cNvPr>
        <xdr:cNvSpPr/>
      </xdr:nvSpPr>
      <xdr:spPr>
        <a:xfrm>
          <a:off x="8764154" y="14727959"/>
          <a:ext cx="669348" cy="1196687"/>
        </a:xfrm>
        <a:prstGeom prst="leftBrace">
          <a:avLst>
            <a:gd name="adj1" fmla="val 8333"/>
            <a:gd name="adj2" fmla="val 26786"/>
          </a:avLst>
        </a:prstGeom>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10</xdr:col>
      <xdr:colOff>760147</xdr:colOff>
      <xdr:row>54</xdr:row>
      <xdr:rowOff>185401</xdr:rowOff>
    </xdr:from>
    <xdr:to>
      <xdr:col>14</xdr:col>
      <xdr:colOff>1079500</xdr:colOff>
      <xdr:row>59</xdr:row>
      <xdr:rowOff>83431</xdr:rowOff>
    </xdr:to>
    <mc:AlternateContent xmlns:mc="http://schemas.openxmlformats.org/markup-compatibility/2006" xmlns:a14="http://schemas.microsoft.com/office/drawing/2010/main">
      <mc:Choice Requires="a14">
        <xdr:sp macro="" textlink="">
          <xdr:nvSpPr>
            <xdr:cNvPr id="10" name="Rectangle 9">
              <a:extLst>
                <a:ext uri="{FF2B5EF4-FFF2-40B4-BE49-F238E27FC236}">
                  <a16:creationId xmlns:a16="http://schemas.microsoft.com/office/drawing/2014/main" id="{1625FA64-F61A-5449-ACE2-6BDDC7B0578C}"/>
                </a:ext>
              </a:extLst>
            </xdr:cNvPr>
            <xdr:cNvSpPr/>
          </xdr:nvSpPr>
          <xdr:spPr>
            <a:xfrm>
              <a:off x="12863247" y="14841201"/>
              <a:ext cx="4726253" cy="120613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here</a:t>
              </a:r>
              <a:r>
                <a:rPr lang="en-US" sz="1100" baseline="0"/>
                <a:t> V is volume of the system considered (abc for a cubic volume).</a:t>
              </a:r>
            </a:p>
            <a:p>
              <a:pPr algn="l"/>
              <a:endParaRPr lang="en-US" sz="1100" baseline="0"/>
            </a:p>
            <a:p>
              <a:pPr algn="l"/>
              <a:r>
                <a:rPr lang="en-US" sz="1100" b="0" baseline="0"/>
                <a:t>In gaussian, since no volume is specified, the ideal gasses equation is used: </a:t>
              </a:r>
              <a14:m>
                <m:oMath xmlns:m="http://schemas.openxmlformats.org/officeDocument/2006/math">
                  <m:r>
                    <a:rPr lang="it-IT" sz="1100" b="0" i="1" baseline="0">
                      <a:latin typeface="Cambria Math" panose="02040503050406030204" pitchFamily="18" charset="0"/>
                    </a:rPr>
                    <m:t>𝑃𝑉</m:t>
                  </m:r>
                  <m:r>
                    <a:rPr lang="it-IT" sz="1100" b="0" i="1" baseline="0">
                      <a:latin typeface="Cambria Math" panose="02040503050406030204" pitchFamily="18" charset="0"/>
                    </a:rPr>
                    <m:t>=</m:t>
                  </m:r>
                  <m:r>
                    <a:rPr lang="it-IT" sz="1100" b="0" i="1" baseline="0">
                      <a:latin typeface="Cambria Math" panose="02040503050406030204" pitchFamily="18" charset="0"/>
                    </a:rPr>
                    <m:t>𝑁𝑅𝑇</m:t>
                  </m:r>
                  <m:r>
                    <a:rPr lang="it-IT" sz="1100" b="0" i="1" baseline="0">
                      <a:latin typeface="Cambria Math" panose="02040503050406030204" pitchFamily="18" charset="0"/>
                    </a:rPr>
                    <m:t>=</m:t>
                  </m:r>
                  <m:d>
                    <m:dPr>
                      <m:ctrlPr>
                        <a:rPr lang="it-IT" sz="1100" b="0" i="1" baseline="0">
                          <a:latin typeface="Cambria Math" panose="02040503050406030204" pitchFamily="18" charset="0"/>
                        </a:rPr>
                      </m:ctrlPr>
                    </m:dPr>
                    <m:e>
                      <m:f>
                        <m:fPr>
                          <m:ctrlPr>
                            <a:rPr lang="it-IT" sz="1100" b="0" i="1" baseline="0">
                              <a:latin typeface="Cambria Math" panose="02040503050406030204" pitchFamily="18" charset="0"/>
                            </a:rPr>
                          </m:ctrlPr>
                        </m:fPr>
                        <m:num>
                          <m:r>
                            <a:rPr lang="it-IT" sz="1100" b="0" i="1" baseline="0">
                              <a:latin typeface="Cambria Math" panose="02040503050406030204" pitchFamily="18" charset="0"/>
                            </a:rPr>
                            <m:t>𝑛</m:t>
                          </m:r>
                        </m:num>
                        <m:den>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𝑁</m:t>
                              </m:r>
                            </m:e>
                            <m:sub>
                              <m:r>
                                <a:rPr lang="it-IT" sz="1100" b="0" i="1" baseline="0">
                                  <a:latin typeface="Cambria Math" panose="02040503050406030204" pitchFamily="18" charset="0"/>
                                </a:rPr>
                                <m:t>𝐴</m:t>
                              </m:r>
                            </m:sub>
                          </m:sSub>
                        </m:den>
                      </m:f>
                    </m:e>
                  </m:d>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𝑁</m:t>
                      </m:r>
                    </m:e>
                    <m:sub>
                      <m:r>
                        <a:rPr lang="it-IT" sz="1100" b="0" i="1" baseline="0">
                          <a:latin typeface="Cambria Math" panose="02040503050406030204" pitchFamily="18" charset="0"/>
                        </a:rPr>
                        <m:t>𝐴</m:t>
                      </m:r>
                    </m:sub>
                  </m:sSub>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𝑘</m:t>
                      </m:r>
                    </m:e>
                    <m:sub>
                      <m:r>
                        <a:rPr lang="it-IT" sz="1100" b="0" i="1" baseline="0">
                          <a:latin typeface="Cambria Math" panose="02040503050406030204" pitchFamily="18" charset="0"/>
                        </a:rPr>
                        <m:t>𝑏</m:t>
                      </m:r>
                    </m:sub>
                  </m:sSub>
                  <m:r>
                    <a:rPr lang="it-IT" sz="1100" b="0" i="1" baseline="0">
                      <a:latin typeface="Cambria Math" panose="02040503050406030204" pitchFamily="18" charset="0"/>
                    </a:rPr>
                    <m:t>𝑇</m:t>
                  </m:r>
                  <m:r>
                    <a:rPr lang="it-IT" sz="1100" b="0" i="1" baseline="0">
                      <a:latin typeface="Cambria Math" panose="02040503050406030204" pitchFamily="18" charset="0"/>
                    </a:rPr>
                    <m:t> →</m:t>
                  </m:r>
                  <m:r>
                    <a:rPr lang="it-IT" sz="1100" b="0" i="1" baseline="0">
                      <a:latin typeface="Cambria Math" panose="02040503050406030204" pitchFamily="18" charset="0"/>
                      <a:ea typeface="Cambria Math" panose="02040503050406030204" pitchFamily="18" charset="0"/>
                    </a:rPr>
                    <m:t>𝑉</m:t>
                  </m:r>
                  <m:r>
                    <a:rPr lang="it-IT" sz="1100" b="0" i="1" baseline="0">
                      <a:latin typeface="Cambria Math" panose="02040503050406030204" pitchFamily="18" charset="0"/>
                      <a:ea typeface="Cambria Math" panose="02040503050406030204" pitchFamily="18" charset="0"/>
                    </a:rPr>
                    <m:t>=</m:t>
                  </m:r>
                  <m:f>
                    <m:fPr>
                      <m:ctrlPr>
                        <a:rPr lang="it-IT" sz="1100" b="0" i="1" baseline="0">
                          <a:latin typeface="Cambria Math" panose="02040503050406030204" pitchFamily="18" charset="0"/>
                          <a:ea typeface="Cambria Math" panose="02040503050406030204" pitchFamily="18" charset="0"/>
                        </a:rPr>
                      </m:ctrlPr>
                    </m:fPr>
                    <m:num>
                      <m:sSub>
                        <m:sSubPr>
                          <m:ctrlPr>
                            <a:rPr lang="it-IT" sz="1100" b="0" i="1" baseline="0">
                              <a:latin typeface="Cambria Math" panose="02040503050406030204" pitchFamily="18" charset="0"/>
                              <a:ea typeface="Cambria Math" panose="02040503050406030204" pitchFamily="18" charset="0"/>
                            </a:rPr>
                          </m:ctrlPr>
                        </m:sSubPr>
                        <m:e>
                          <m:r>
                            <a:rPr lang="it-IT" sz="1100" b="0" i="1" baseline="0">
                              <a:latin typeface="Cambria Math" panose="02040503050406030204" pitchFamily="18" charset="0"/>
                              <a:ea typeface="Cambria Math" panose="02040503050406030204" pitchFamily="18" charset="0"/>
                            </a:rPr>
                            <m:t>𝑘</m:t>
                          </m:r>
                        </m:e>
                        <m:sub>
                          <m:r>
                            <a:rPr lang="it-IT" sz="1100" b="0" i="1" baseline="0">
                              <a:latin typeface="Cambria Math" panose="02040503050406030204" pitchFamily="18" charset="0"/>
                              <a:ea typeface="Cambria Math" panose="02040503050406030204" pitchFamily="18" charset="0"/>
                            </a:rPr>
                            <m:t>𝑏</m:t>
                          </m:r>
                        </m:sub>
                      </m:sSub>
                      <m:r>
                        <a:rPr lang="it-IT" sz="1100" b="0" i="1" baseline="0">
                          <a:latin typeface="Cambria Math" panose="02040503050406030204" pitchFamily="18" charset="0"/>
                          <a:ea typeface="Cambria Math" panose="02040503050406030204" pitchFamily="18" charset="0"/>
                        </a:rPr>
                        <m:t>𝑇</m:t>
                      </m:r>
                    </m:num>
                    <m:den>
                      <m:r>
                        <a:rPr lang="it-IT" sz="1100" b="0" i="1" baseline="0">
                          <a:latin typeface="Cambria Math" panose="02040503050406030204" pitchFamily="18" charset="0"/>
                          <a:ea typeface="Cambria Math" panose="02040503050406030204" pitchFamily="18" charset="0"/>
                        </a:rPr>
                        <m:t>𝑃</m:t>
                      </m:r>
                    </m:den>
                  </m:f>
                </m:oMath>
              </a14:m>
              <a:r>
                <a:rPr lang="en-US" sz="1100" b="1" baseline="0"/>
                <a:t>  </a:t>
              </a:r>
              <a:endParaRPr lang="en-US" sz="1100" b="1"/>
            </a:p>
          </xdr:txBody>
        </xdr:sp>
      </mc:Choice>
      <mc:Fallback xmlns="">
        <xdr:sp macro="" textlink="">
          <xdr:nvSpPr>
            <xdr:cNvPr id="10" name="Rectangle 9">
              <a:extLst>
                <a:ext uri="{FF2B5EF4-FFF2-40B4-BE49-F238E27FC236}">
                  <a16:creationId xmlns:a16="http://schemas.microsoft.com/office/drawing/2014/main" id="{1625FA64-F61A-5449-ACE2-6BDDC7B0578C}"/>
                </a:ext>
              </a:extLst>
            </xdr:cNvPr>
            <xdr:cNvSpPr/>
          </xdr:nvSpPr>
          <xdr:spPr>
            <a:xfrm>
              <a:off x="12863247" y="14841201"/>
              <a:ext cx="4726253" cy="120613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here</a:t>
              </a:r>
              <a:r>
                <a:rPr lang="en-US" sz="1100" baseline="0"/>
                <a:t> V is volume of the system considered (abc for a cubic volume).</a:t>
              </a:r>
            </a:p>
            <a:p>
              <a:pPr algn="l"/>
              <a:endParaRPr lang="en-US" sz="1100" baseline="0"/>
            </a:p>
            <a:p>
              <a:pPr algn="l"/>
              <a:r>
                <a:rPr lang="en-US" sz="1100" b="0" baseline="0"/>
                <a:t>In gaussian, since no volume is specified, the ideal gasses equation is used: </a:t>
              </a:r>
              <a:r>
                <a:rPr lang="it-IT" sz="1100" b="0" i="0" baseline="0">
                  <a:latin typeface="Cambria Math" panose="02040503050406030204" pitchFamily="18" charset="0"/>
                </a:rPr>
                <a:t>𝑃𝑉=𝑁𝑅𝑇=(𝑛/𝑁_𝐴 ) 𝑁_𝐴 𝑘_𝑏 𝑇 →</a:t>
              </a:r>
              <a:r>
                <a:rPr lang="it-IT" sz="1100" b="0" i="0" baseline="0">
                  <a:latin typeface="Cambria Math" panose="02040503050406030204" pitchFamily="18" charset="0"/>
                  <a:ea typeface="Cambria Math" panose="02040503050406030204" pitchFamily="18" charset="0"/>
                </a:rPr>
                <a:t>𝑉=(𝑘_𝑏 𝑇)/𝑃</a:t>
              </a:r>
              <a:r>
                <a:rPr lang="en-US" sz="1100" b="1" baseline="0"/>
                <a:t>  </a:t>
              </a:r>
              <a:endParaRPr lang="en-US" sz="1100" b="1"/>
            </a:p>
          </xdr:txBody>
        </xdr:sp>
      </mc:Fallback>
    </mc:AlternateContent>
    <xdr:clientData/>
  </xdr:twoCellAnchor>
  <xdr:twoCellAnchor>
    <xdr:from>
      <xdr:col>5</xdr:col>
      <xdr:colOff>540926</xdr:colOff>
      <xdr:row>38</xdr:row>
      <xdr:rowOff>35278</xdr:rowOff>
    </xdr:from>
    <xdr:to>
      <xdr:col>5</xdr:col>
      <xdr:colOff>623241</xdr:colOff>
      <xdr:row>39</xdr:row>
      <xdr:rowOff>211666</xdr:rowOff>
    </xdr:to>
    <xdr:cxnSp macro="">
      <xdr:nvCxnSpPr>
        <xdr:cNvPr id="11" name="Straight Arrow Connector 10">
          <a:extLst>
            <a:ext uri="{FF2B5EF4-FFF2-40B4-BE49-F238E27FC236}">
              <a16:creationId xmlns:a16="http://schemas.microsoft.com/office/drawing/2014/main" id="{E9285C41-3DFA-5247-A06C-2E4C9C9DCFC7}"/>
            </a:ext>
          </a:extLst>
        </xdr:cNvPr>
        <xdr:cNvCxnSpPr/>
      </xdr:nvCxnSpPr>
      <xdr:spPr>
        <a:xfrm flipV="1">
          <a:off x="7462426" y="9992078"/>
          <a:ext cx="82315" cy="417688"/>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4</xdr:col>
      <xdr:colOff>933615</xdr:colOff>
      <xdr:row>35</xdr:row>
      <xdr:rowOff>212608</xdr:rowOff>
    </xdr:from>
    <xdr:ext cx="1638370" cy="591059"/>
    <mc:AlternateContent xmlns:mc="http://schemas.openxmlformats.org/markup-compatibility/2006" xmlns:a14="http://schemas.microsoft.com/office/drawing/2010/main">
      <mc:Choice Requires="a14">
        <xdr:sp macro="" textlink="">
          <xdr:nvSpPr>
            <xdr:cNvPr id="12" name="TextBox 11">
              <a:extLst>
                <a:ext uri="{FF2B5EF4-FFF2-40B4-BE49-F238E27FC236}">
                  <a16:creationId xmlns:a16="http://schemas.microsoft.com/office/drawing/2014/main" id="{FEDDDD2F-1FAD-A347-B4BA-C91F46B4746C}"/>
                </a:ext>
              </a:extLst>
            </xdr:cNvPr>
            <xdr:cNvSpPr txBox="1"/>
          </xdr:nvSpPr>
          <xdr:spPr>
            <a:xfrm>
              <a:off x="6483515" y="9407408"/>
              <a:ext cx="1638370" cy="5910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300" i="1">
                        <a:latin typeface="Cambria Math" panose="02040503050406030204" pitchFamily="18" charset="0"/>
                        <a:ea typeface="Cambria Math" panose="02040503050406030204" pitchFamily="18" charset="0"/>
                      </a:rPr>
                      <m:t>𝜈</m:t>
                    </m:r>
                    <m:r>
                      <a:rPr lang="it-IT" sz="1300" b="0" i="1">
                        <a:latin typeface="Cambria Math" panose="02040503050406030204" pitchFamily="18" charset="0"/>
                        <a:ea typeface="Cambria Math" panose="02040503050406030204" pitchFamily="18" charset="0"/>
                      </a:rPr>
                      <m:t>=</m:t>
                    </m:r>
                    <m:f>
                      <m:fPr>
                        <m:ctrlPr>
                          <a:rPr lang="it-IT" sz="1300" b="0" i="1">
                            <a:latin typeface="Cambria Math" panose="02040503050406030204" pitchFamily="18" charset="0"/>
                            <a:ea typeface="Cambria Math" panose="02040503050406030204" pitchFamily="18" charset="0"/>
                          </a:rPr>
                        </m:ctrlPr>
                      </m:fPr>
                      <m:num>
                        <m:r>
                          <a:rPr lang="it-IT" sz="1300" b="0" i="1">
                            <a:latin typeface="Cambria Math" panose="02040503050406030204" pitchFamily="18" charset="0"/>
                            <a:ea typeface="Cambria Math" panose="02040503050406030204" pitchFamily="18" charset="0"/>
                          </a:rPr>
                          <m:t>1</m:t>
                        </m:r>
                      </m:num>
                      <m:den>
                        <m:r>
                          <a:rPr lang="it-IT" sz="1300" b="0" i="1">
                            <a:latin typeface="Cambria Math" panose="02040503050406030204" pitchFamily="18" charset="0"/>
                            <a:ea typeface="Cambria Math" panose="02040503050406030204" pitchFamily="18" charset="0"/>
                          </a:rPr>
                          <m:t>2</m:t>
                        </m:r>
                        <m:r>
                          <a:rPr lang="it-IT" sz="1300" b="0" i="1">
                            <a:latin typeface="Cambria Math" panose="02040503050406030204" pitchFamily="18" charset="0"/>
                            <a:ea typeface="Cambria Math" panose="02040503050406030204" pitchFamily="18" charset="0"/>
                          </a:rPr>
                          <m:t>𝜋</m:t>
                        </m:r>
                        <m:r>
                          <a:rPr lang="it-IT" sz="1300" b="0" i="1">
                            <a:latin typeface="Cambria Math" panose="02040503050406030204" pitchFamily="18" charset="0"/>
                            <a:ea typeface="Cambria Math" panose="02040503050406030204" pitchFamily="18" charset="0"/>
                          </a:rPr>
                          <m:t>𝑐</m:t>
                        </m:r>
                      </m:den>
                    </m:f>
                    <m:rad>
                      <m:radPr>
                        <m:degHide m:val="on"/>
                        <m:ctrlPr>
                          <a:rPr lang="it-IT" sz="1300" b="0" i="1">
                            <a:latin typeface="Cambria Math" panose="02040503050406030204" pitchFamily="18" charset="0"/>
                            <a:ea typeface="Cambria Math" panose="02040503050406030204" pitchFamily="18" charset="0"/>
                          </a:rPr>
                        </m:ctrlPr>
                      </m:radPr>
                      <m:deg/>
                      <m:e>
                        <m:f>
                          <m:fPr>
                            <m:ctrlPr>
                              <a:rPr lang="it-IT" sz="1300" b="0" i="1">
                                <a:latin typeface="Cambria Math" panose="02040503050406030204" pitchFamily="18" charset="0"/>
                                <a:ea typeface="Cambria Math" panose="02040503050406030204" pitchFamily="18" charset="0"/>
                              </a:rPr>
                            </m:ctrlPr>
                          </m:fPr>
                          <m:num>
                            <m:r>
                              <a:rPr lang="it-IT" sz="1300" b="0" i="1">
                                <a:latin typeface="Cambria Math" panose="02040503050406030204" pitchFamily="18" charset="0"/>
                                <a:ea typeface="Cambria Math" panose="02040503050406030204" pitchFamily="18" charset="0"/>
                              </a:rPr>
                              <m:t>𝑘</m:t>
                            </m:r>
                          </m:num>
                          <m:den>
                            <m:r>
                              <a:rPr lang="it-IT" sz="1300" b="0" i="1">
                                <a:solidFill>
                                  <a:srgbClr val="FF0000"/>
                                </a:solidFill>
                                <a:latin typeface="Cambria Math" panose="02040503050406030204" pitchFamily="18" charset="0"/>
                                <a:ea typeface="Cambria Math" panose="02040503050406030204" pitchFamily="18" charset="0"/>
                              </a:rPr>
                              <m:t>𝜇</m:t>
                            </m:r>
                          </m:den>
                        </m:f>
                      </m:e>
                    </m:rad>
                  </m:oMath>
                </m:oMathPara>
              </a14:m>
              <a:endParaRPr lang="en-US" sz="1300"/>
            </a:p>
          </xdr:txBody>
        </xdr:sp>
      </mc:Choice>
      <mc:Fallback xmlns="">
        <xdr:sp macro="" textlink="">
          <xdr:nvSpPr>
            <xdr:cNvPr id="12" name="TextBox 11">
              <a:extLst>
                <a:ext uri="{FF2B5EF4-FFF2-40B4-BE49-F238E27FC236}">
                  <a16:creationId xmlns:a16="http://schemas.microsoft.com/office/drawing/2014/main" id="{FEDDDD2F-1FAD-A347-B4BA-C91F46B4746C}"/>
                </a:ext>
              </a:extLst>
            </xdr:cNvPr>
            <xdr:cNvSpPr txBox="1"/>
          </xdr:nvSpPr>
          <xdr:spPr>
            <a:xfrm>
              <a:off x="6483515" y="9407408"/>
              <a:ext cx="1638370" cy="5910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300" i="0">
                  <a:latin typeface="Cambria Math" panose="02040503050406030204" pitchFamily="18" charset="0"/>
                  <a:ea typeface="Cambria Math" panose="02040503050406030204" pitchFamily="18" charset="0"/>
                </a:rPr>
                <a:t>𝜈</a:t>
              </a:r>
              <a:r>
                <a:rPr lang="it-IT" sz="1300" b="0" i="0">
                  <a:latin typeface="Cambria Math" panose="02040503050406030204" pitchFamily="18" charset="0"/>
                  <a:ea typeface="Cambria Math" panose="02040503050406030204" pitchFamily="18" charset="0"/>
                </a:rPr>
                <a:t>=1/2𝜋𝑐 √(𝑘/</a:t>
              </a:r>
              <a:r>
                <a:rPr lang="it-IT" sz="1300" b="0" i="0">
                  <a:solidFill>
                    <a:srgbClr val="FF0000"/>
                  </a:solidFill>
                  <a:latin typeface="Cambria Math" panose="02040503050406030204" pitchFamily="18" charset="0"/>
                  <a:ea typeface="Cambria Math" panose="02040503050406030204" pitchFamily="18" charset="0"/>
                </a:rPr>
                <a:t>𝜇)</a:t>
              </a:r>
              <a:endParaRPr lang="en-US" sz="1300"/>
            </a:p>
          </xdr:txBody>
        </xdr:sp>
      </mc:Fallback>
    </mc:AlternateContent>
    <xdr:clientData/>
  </xdr:oneCellAnchor>
  <xdr:twoCellAnchor>
    <xdr:from>
      <xdr:col>5</xdr:col>
      <xdr:colOff>1023055</xdr:colOff>
      <xdr:row>37</xdr:row>
      <xdr:rowOff>223426</xdr:rowOff>
    </xdr:from>
    <xdr:to>
      <xdr:col>6</xdr:col>
      <xdr:colOff>576204</xdr:colOff>
      <xdr:row>39</xdr:row>
      <xdr:rowOff>199907</xdr:rowOff>
    </xdr:to>
    <xdr:cxnSp macro="">
      <xdr:nvCxnSpPr>
        <xdr:cNvPr id="13" name="Straight Arrow Connector 12">
          <a:extLst>
            <a:ext uri="{FF2B5EF4-FFF2-40B4-BE49-F238E27FC236}">
              <a16:creationId xmlns:a16="http://schemas.microsoft.com/office/drawing/2014/main" id="{C847FF8A-0675-9245-BA35-B17AA29B6B1B}"/>
            </a:ext>
          </a:extLst>
        </xdr:cNvPr>
        <xdr:cNvCxnSpPr/>
      </xdr:nvCxnSpPr>
      <xdr:spPr>
        <a:xfrm flipH="1" flipV="1">
          <a:off x="7944555" y="9926226"/>
          <a:ext cx="645349" cy="471781"/>
        </a:xfrm>
        <a:prstGeom prst="straightConnector1">
          <a:avLst/>
        </a:prstGeom>
        <a:ln>
          <a:solidFill>
            <a:srgbClr val="FF0000"/>
          </a:solidFill>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7</xdr:col>
      <xdr:colOff>728134</xdr:colOff>
      <xdr:row>70</xdr:row>
      <xdr:rowOff>222790</xdr:rowOff>
    </xdr:from>
    <xdr:to>
      <xdr:col>14</xdr:col>
      <xdr:colOff>351463</xdr:colOff>
      <xdr:row>85</xdr:row>
      <xdr:rowOff>135466</xdr:rowOff>
    </xdr:to>
    <xdr:graphicFrame macro="">
      <xdr:nvGraphicFramePr>
        <xdr:cNvPr id="14" name="Chart 13">
          <a:extLst>
            <a:ext uri="{FF2B5EF4-FFF2-40B4-BE49-F238E27FC236}">
              <a16:creationId xmlns:a16="http://schemas.microsoft.com/office/drawing/2014/main" id="{AE762784-04CE-5A4E-9B7D-1F70E37E9B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359975</xdr:colOff>
      <xdr:row>92</xdr:row>
      <xdr:rowOff>168476</xdr:rowOff>
    </xdr:from>
    <xdr:to>
      <xdr:col>6</xdr:col>
      <xdr:colOff>520551</xdr:colOff>
      <xdr:row>92</xdr:row>
      <xdr:rowOff>183073</xdr:rowOff>
    </xdr:to>
    <xdr:cxnSp macro="">
      <xdr:nvCxnSpPr>
        <xdr:cNvPr id="15" name="Straight Arrow Connector 14">
          <a:extLst>
            <a:ext uri="{FF2B5EF4-FFF2-40B4-BE49-F238E27FC236}">
              <a16:creationId xmlns:a16="http://schemas.microsoft.com/office/drawing/2014/main" id="{EF9899CA-C946-7A49-9FA3-4A2BB898736F}"/>
            </a:ext>
          </a:extLst>
        </xdr:cNvPr>
        <xdr:cNvCxnSpPr/>
      </xdr:nvCxnSpPr>
      <xdr:spPr>
        <a:xfrm>
          <a:off x="5909875" y="24031776"/>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6</xdr:col>
      <xdr:colOff>887238</xdr:colOff>
      <xdr:row>90</xdr:row>
      <xdr:rowOff>194410</xdr:rowOff>
    </xdr:from>
    <xdr:ext cx="2036135" cy="805477"/>
    <mc:AlternateContent xmlns:mc="http://schemas.openxmlformats.org/markup-compatibility/2006" xmlns:a14="http://schemas.microsoft.com/office/drawing/2010/main">
      <mc:Choice Requires="a14">
        <xdr:sp macro="" textlink="">
          <xdr:nvSpPr>
            <xdr:cNvPr id="16" name="TextBox 15">
              <a:extLst>
                <a:ext uri="{FF2B5EF4-FFF2-40B4-BE49-F238E27FC236}">
                  <a16:creationId xmlns:a16="http://schemas.microsoft.com/office/drawing/2014/main" id="{1E51DB02-8368-2A4F-AF16-35B698994F49}"/>
                </a:ext>
              </a:extLst>
            </xdr:cNvPr>
            <xdr:cNvSpPr txBox="1"/>
          </xdr:nvSpPr>
          <xdr:spPr>
            <a:xfrm>
              <a:off x="8900938" y="23575110"/>
              <a:ext cx="2036135" cy="8054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𝑣𝑖𝑏</m:t>
                        </m:r>
                      </m:sub>
                    </m:sSub>
                    <m:r>
                      <a:rPr lang="it-IT" sz="1600" b="0" i="1">
                        <a:latin typeface="Cambria Math" panose="02040503050406030204" pitchFamily="18" charset="0"/>
                      </a:rPr>
                      <m:t>=</m:t>
                    </m:r>
                    <m:nary>
                      <m:naryPr>
                        <m:chr m:val="∏"/>
                        <m:ctrlPr>
                          <a:rPr lang="it-IT" sz="1600" b="0" i="1">
                            <a:latin typeface="Cambria Math" panose="02040503050406030204" pitchFamily="18" charset="0"/>
                          </a:rPr>
                        </m:ctrlPr>
                      </m:naryPr>
                      <m:sub>
                        <m:r>
                          <m:rPr>
                            <m:brk m:alnAt="23"/>
                          </m:rPr>
                          <a:rPr lang="it-IT" sz="1600" b="0" i="1">
                            <a:latin typeface="Cambria Math" panose="02040503050406030204" pitchFamily="18" charset="0"/>
                          </a:rPr>
                          <m:t>𝑖</m:t>
                        </m:r>
                        <m:r>
                          <a:rPr lang="it-IT" sz="1600" b="0" i="1">
                            <a:latin typeface="Cambria Math" panose="02040503050406030204" pitchFamily="18" charset="0"/>
                          </a:rPr>
                          <m:t>=1</m:t>
                        </m:r>
                      </m:sub>
                      <m:sup>
                        <m:sSub>
                          <m:sSubPr>
                            <m:ctrlPr>
                              <a:rPr lang="it-IT" sz="1600" b="0" i="1">
                                <a:latin typeface="Cambria Math" panose="02040503050406030204" pitchFamily="18" charset="0"/>
                              </a:rPr>
                            </m:ctrlPr>
                          </m:sSubPr>
                          <m:e>
                            <m:r>
                              <a:rPr lang="it-IT" sz="1600" b="0" i="1">
                                <a:latin typeface="Cambria Math" panose="02040503050406030204" pitchFamily="18" charset="0"/>
                              </a:rPr>
                              <m:t>𝑁</m:t>
                            </m:r>
                          </m:e>
                          <m:sub>
                            <m:r>
                              <a:rPr lang="it-IT" sz="1600" b="0" i="1">
                                <a:latin typeface="Cambria Math" panose="02040503050406030204" pitchFamily="18" charset="0"/>
                              </a:rPr>
                              <m:t>𝑣𝑖𝑏</m:t>
                            </m:r>
                          </m:sub>
                        </m:sSub>
                      </m:sup>
                      <m:e>
                        <m:f>
                          <m:fPr>
                            <m:ctrlPr>
                              <a:rPr lang="it-IT" sz="1600" b="0" i="1">
                                <a:latin typeface="Cambria Math" panose="02040503050406030204" pitchFamily="18" charset="0"/>
                              </a:rPr>
                            </m:ctrlPr>
                          </m:fPr>
                          <m:num>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d>
                                  <m:dPr>
                                    <m:ctrlPr>
                                      <a:rPr lang="it-IT" sz="1600" b="0" i="1">
                                        <a:latin typeface="Cambria Math" panose="02040503050406030204" pitchFamily="18" charset="0"/>
                                      </a:rPr>
                                    </m:ctrlPr>
                                  </m:dPr>
                                  <m:e>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h</m:t>
                                        </m:r>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𝜐</m:t>
                                            </m:r>
                                          </m:e>
                                          <m:sub>
                                            <m:r>
                                              <a:rPr lang="it-IT" sz="1600" b="0" i="1">
                                                <a:latin typeface="Cambria Math" panose="02040503050406030204" pitchFamily="18" charset="0"/>
                                              </a:rPr>
                                              <m:t>𝑖</m:t>
                                            </m:r>
                                          </m:sub>
                                        </m:sSub>
                                      </m:num>
                                      <m:den>
                                        <m:r>
                                          <a:rPr lang="it-IT" sz="1600" b="0" i="1">
                                            <a:latin typeface="Cambria Math" panose="02040503050406030204" pitchFamily="18" charset="0"/>
                                          </a:rPr>
                                          <m:t>2</m:t>
                                        </m:r>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e>
                                </m:d>
                              </m:sup>
                            </m:sSup>
                          </m:num>
                          <m:den>
                            <m:r>
                              <a:rPr lang="it-IT" sz="1600" b="0" i="1">
                                <a:latin typeface="Cambria Math" panose="02040503050406030204" pitchFamily="18" charset="0"/>
                              </a:rPr>
                              <m:t>1−</m:t>
                            </m:r>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d>
                                  <m:dPr>
                                    <m:ctrlPr>
                                      <a:rPr lang="it-IT" sz="1600" b="0" i="1">
                                        <a:latin typeface="Cambria Math" panose="02040503050406030204" pitchFamily="18" charset="0"/>
                                      </a:rPr>
                                    </m:ctrlPr>
                                  </m:dPr>
                                  <m:e>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h</m:t>
                                        </m:r>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𝜐</m:t>
                                            </m:r>
                                          </m:e>
                                          <m:sub>
                                            <m:r>
                                              <a:rPr lang="it-IT" sz="1600" b="0" i="1">
                                                <a:latin typeface="Cambria Math" panose="02040503050406030204" pitchFamily="18" charset="0"/>
                                              </a:rPr>
                                              <m:t>𝑖</m:t>
                                            </m:r>
                                          </m:sub>
                                        </m:sSub>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e>
                                </m:d>
                              </m:sup>
                            </m:sSup>
                          </m:den>
                        </m:f>
                      </m:e>
                    </m:nary>
                  </m:oMath>
                </m:oMathPara>
              </a14:m>
              <a:endParaRPr lang="en-US" sz="1600"/>
            </a:p>
          </xdr:txBody>
        </xdr:sp>
      </mc:Choice>
      <mc:Fallback xmlns="">
        <xdr:sp macro="" textlink="">
          <xdr:nvSpPr>
            <xdr:cNvPr id="16" name="TextBox 15">
              <a:extLst>
                <a:ext uri="{FF2B5EF4-FFF2-40B4-BE49-F238E27FC236}">
                  <a16:creationId xmlns:a16="http://schemas.microsoft.com/office/drawing/2014/main" id="{1E51DB02-8368-2A4F-AF16-35B698994F49}"/>
                </a:ext>
              </a:extLst>
            </xdr:cNvPr>
            <xdr:cNvSpPr txBox="1"/>
          </xdr:nvSpPr>
          <xdr:spPr>
            <a:xfrm>
              <a:off x="8900938" y="23575110"/>
              <a:ext cx="2036135" cy="8054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𝑣𝑖𝑏=∏_(𝑖=1)^(𝑁_𝑣𝑖𝑏)▒𝑒^((−(ℎ</a:t>
              </a:r>
              <a:r>
                <a:rPr lang="it-IT" sz="1600" b="0" i="0">
                  <a:latin typeface="Cambria Math" panose="02040503050406030204" pitchFamily="18" charset="0"/>
                  <a:ea typeface="Cambria Math" panose="02040503050406030204" pitchFamily="18" charset="0"/>
                </a:rPr>
                <a:t>𝜐_</a:t>
              </a:r>
              <a:r>
                <a:rPr lang="it-IT" sz="1600" b="0" i="0">
                  <a:latin typeface="Cambria Math" panose="02040503050406030204" pitchFamily="18" charset="0"/>
                </a:rPr>
                <a:t>𝑖)/(2𝑘_𝑏 𝑇)) )/(1−𝑒^((−(ℎ</a:t>
              </a:r>
              <a:r>
                <a:rPr lang="it-IT" sz="1600" b="0" i="0">
                  <a:latin typeface="Cambria Math" panose="02040503050406030204" pitchFamily="18" charset="0"/>
                  <a:ea typeface="Cambria Math" panose="02040503050406030204" pitchFamily="18" charset="0"/>
                </a:rPr>
                <a:t>𝜐_</a:t>
              </a:r>
              <a:r>
                <a:rPr lang="it-IT" sz="1600" b="0" i="0">
                  <a:latin typeface="Cambria Math" panose="02040503050406030204" pitchFamily="18" charset="0"/>
                </a:rPr>
                <a:t>𝑖)/(𝑘_𝑏 𝑇)) ) )</a:t>
              </a:r>
              <a:endParaRPr lang="en-US" sz="1600"/>
            </a:p>
          </xdr:txBody>
        </xdr:sp>
      </mc:Fallback>
    </mc:AlternateContent>
    <xdr:clientData/>
  </xdr:oneCellAnchor>
  <xdr:twoCellAnchor>
    <xdr:from>
      <xdr:col>9</xdr:col>
      <xdr:colOff>445581</xdr:colOff>
      <xdr:row>90</xdr:row>
      <xdr:rowOff>63114</xdr:rowOff>
    </xdr:from>
    <xdr:to>
      <xdr:col>12</xdr:col>
      <xdr:colOff>766140</xdr:colOff>
      <xdr:row>94</xdr:row>
      <xdr:rowOff>220870</xdr:rowOff>
    </xdr:to>
    <xdr:sp macro="" textlink="">
      <xdr:nvSpPr>
        <xdr:cNvPr id="17" name="Rectangle 16">
          <a:extLst>
            <a:ext uri="{FF2B5EF4-FFF2-40B4-BE49-F238E27FC236}">
              <a16:creationId xmlns:a16="http://schemas.microsoft.com/office/drawing/2014/main" id="{09937B7E-3C12-3E4B-8854-9D46864FDD5B}"/>
            </a:ext>
          </a:extLst>
        </xdr:cNvPr>
        <xdr:cNvSpPr/>
      </xdr:nvSpPr>
      <xdr:spPr>
        <a:xfrm>
          <a:off x="11431081" y="23443814"/>
          <a:ext cx="3609859" cy="122455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N</a:t>
          </a:r>
          <a:r>
            <a:rPr lang="en-US" sz="1100" b="1" baseline="-25000"/>
            <a:t>vib</a:t>
          </a:r>
          <a:r>
            <a:rPr lang="en-US" sz="1100" b="1" baseline="0"/>
            <a:t> represents the number of vibrational modes of a molecule. Since those only depend from the mass of the atoms in the molecule and are not dependent on the temperature considered, we will use directly the experimental data for the theoretical results calculation</a:t>
          </a:r>
          <a:endParaRPr lang="en-US" sz="1100" b="1" baseline="-25000"/>
        </a:p>
      </xdr:txBody>
    </xdr:sp>
    <xdr:clientData/>
  </xdr:twoCellAnchor>
  <xdr:twoCellAnchor>
    <xdr:from>
      <xdr:col>15</xdr:col>
      <xdr:colOff>558800</xdr:colOff>
      <xdr:row>107</xdr:row>
      <xdr:rowOff>228599</xdr:rowOff>
    </xdr:from>
    <xdr:to>
      <xdr:col>19</xdr:col>
      <xdr:colOff>372533</xdr:colOff>
      <xdr:row>124</xdr:row>
      <xdr:rowOff>50800</xdr:rowOff>
    </xdr:to>
    <xdr:graphicFrame macro="">
      <xdr:nvGraphicFramePr>
        <xdr:cNvPr id="18" name="Chart 17">
          <a:extLst>
            <a:ext uri="{FF2B5EF4-FFF2-40B4-BE49-F238E27FC236}">
              <a16:creationId xmlns:a16="http://schemas.microsoft.com/office/drawing/2014/main" id="{59641B32-14F7-AE49-833A-211EABF739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452528</xdr:colOff>
      <xdr:row>127</xdr:row>
      <xdr:rowOff>131380</xdr:rowOff>
    </xdr:from>
    <xdr:to>
      <xdr:col>6</xdr:col>
      <xdr:colOff>613104</xdr:colOff>
      <xdr:row>127</xdr:row>
      <xdr:rowOff>145977</xdr:rowOff>
    </xdr:to>
    <xdr:cxnSp macro="">
      <xdr:nvCxnSpPr>
        <xdr:cNvPr id="19" name="Straight Arrow Connector 18">
          <a:extLst>
            <a:ext uri="{FF2B5EF4-FFF2-40B4-BE49-F238E27FC236}">
              <a16:creationId xmlns:a16="http://schemas.microsoft.com/office/drawing/2014/main" id="{BC23B180-4216-324F-835E-C35EB42AE8F6}"/>
            </a:ext>
          </a:extLst>
        </xdr:cNvPr>
        <xdr:cNvCxnSpPr/>
      </xdr:nvCxnSpPr>
      <xdr:spPr>
        <a:xfrm>
          <a:off x="6002428" y="328338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125030</xdr:colOff>
      <xdr:row>125</xdr:row>
      <xdr:rowOff>179868</xdr:rowOff>
    </xdr:from>
    <xdr:ext cx="1504001" cy="494110"/>
    <mc:AlternateContent xmlns:mc="http://schemas.openxmlformats.org/markup-compatibility/2006" xmlns:a14="http://schemas.microsoft.com/office/drawing/2010/main">
      <mc:Choice Requires="a14">
        <xdr:sp macro="" textlink="">
          <xdr:nvSpPr>
            <xdr:cNvPr id="20" name="TextBox 19">
              <a:extLst>
                <a:ext uri="{FF2B5EF4-FFF2-40B4-BE49-F238E27FC236}">
                  <a16:creationId xmlns:a16="http://schemas.microsoft.com/office/drawing/2014/main" id="{D95D2E61-8786-9043-923C-5594720A37B7}"/>
                </a:ext>
              </a:extLst>
            </xdr:cNvPr>
            <xdr:cNvSpPr txBox="1"/>
          </xdr:nvSpPr>
          <xdr:spPr>
            <a:xfrm>
              <a:off x="9421430" y="32437868"/>
              <a:ext cx="1504001" cy="494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2</m:t>
                        </m:r>
                        <m:r>
                          <a:rPr lang="it-IT" sz="1600" b="0" i="1">
                            <a:latin typeface="Cambria Math" panose="02040503050406030204" pitchFamily="18" charset="0"/>
                          </a:rPr>
                          <m:t>𝐷</m:t>
                        </m:r>
                      </m:sup>
                    </m:sSubSup>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8</m:t>
                        </m:r>
                        <m:sSup>
                          <m:sSupPr>
                            <m:ctrlPr>
                              <a:rPr lang="it-IT" sz="1600" b="0" i="1">
                                <a:latin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𝜋</m:t>
                            </m:r>
                          </m:e>
                          <m:sup>
                            <m:r>
                              <a:rPr lang="it-IT" sz="1600" b="0" i="1">
                                <a:latin typeface="Cambria Math" panose="02040503050406030204" pitchFamily="18" charset="0"/>
                              </a:rPr>
                              <m:t>2</m:t>
                            </m:r>
                          </m:sup>
                        </m:sSup>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𝑇𝐼</m:t>
                        </m:r>
                      </m:num>
                      <m:den>
                        <m:r>
                          <a:rPr lang="it-IT" sz="1600" b="0" i="1">
                            <a:latin typeface="Cambria Math" panose="02040503050406030204" pitchFamily="18" charset="0"/>
                            <a:ea typeface="Cambria Math" panose="02040503050406030204" pitchFamily="18" charset="0"/>
                          </a:rPr>
                          <m:t>𝜎</m:t>
                        </m:r>
                        <m:sSup>
                          <m:sSupPr>
                            <m:ctrlPr>
                              <a:rPr lang="it-IT" sz="1600" b="0" i="1">
                                <a:latin typeface="Cambria Math" panose="02040503050406030204" pitchFamily="18" charset="0"/>
                                <a:ea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h</m:t>
                            </m:r>
                          </m:e>
                          <m:sup>
                            <m:r>
                              <a:rPr lang="it-IT" sz="1600" b="0" i="1">
                                <a:latin typeface="Cambria Math" panose="02040503050406030204" pitchFamily="18" charset="0"/>
                                <a:ea typeface="Cambria Math" panose="02040503050406030204" pitchFamily="18" charset="0"/>
                              </a:rPr>
                              <m:t>2</m:t>
                            </m:r>
                          </m:sup>
                        </m:sSup>
                      </m:den>
                    </m:f>
                  </m:oMath>
                </m:oMathPara>
              </a14:m>
              <a:endParaRPr lang="en-US" sz="1600"/>
            </a:p>
          </xdr:txBody>
        </xdr:sp>
      </mc:Choice>
      <mc:Fallback xmlns="">
        <xdr:sp macro="" textlink="">
          <xdr:nvSpPr>
            <xdr:cNvPr id="20" name="TextBox 19">
              <a:extLst>
                <a:ext uri="{FF2B5EF4-FFF2-40B4-BE49-F238E27FC236}">
                  <a16:creationId xmlns:a16="http://schemas.microsoft.com/office/drawing/2014/main" id="{D95D2E61-8786-9043-923C-5594720A37B7}"/>
                </a:ext>
              </a:extLst>
            </xdr:cNvPr>
            <xdr:cNvSpPr txBox="1"/>
          </xdr:nvSpPr>
          <xdr:spPr>
            <a:xfrm>
              <a:off x="9421430" y="32437868"/>
              <a:ext cx="1504001" cy="494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𝑄_𝑟𝑜𝑡^2𝐷=(8</a:t>
              </a:r>
              <a:r>
                <a:rPr lang="it-IT" sz="1600" b="0" i="0">
                  <a:latin typeface="Cambria Math" panose="02040503050406030204" pitchFamily="18" charset="0"/>
                  <a:ea typeface="Cambria Math" panose="02040503050406030204" pitchFamily="18" charset="0"/>
                </a:rPr>
                <a:t>𝜋^</a:t>
              </a:r>
              <a:r>
                <a:rPr lang="it-IT" sz="1600" b="0" i="0">
                  <a:latin typeface="Cambria Math" panose="02040503050406030204" pitchFamily="18" charset="0"/>
                </a:rPr>
                <a:t>2 𝑘_𝑏 𝑇𝐼)/(</a:t>
              </a:r>
              <a:r>
                <a:rPr lang="it-IT" sz="1600" b="0" i="0">
                  <a:latin typeface="Cambria Math" panose="02040503050406030204" pitchFamily="18" charset="0"/>
                  <a:ea typeface="Cambria Math" panose="02040503050406030204" pitchFamily="18" charset="0"/>
                </a:rPr>
                <a:t>𝜎ℎ^2 )</a:t>
              </a:r>
              <a:endParaRPr lang="en-US" sz="1600"/>
            </a:p>
          </xdr:txBody>
        </xdr:sp>
      </mc:Fallback>
    </mc:AlternateContent>
    <xdr:clientData/>
  </xdr:oneCellAnchor>
  <xdr:twoCellAnchor>
    <xdr:from>
      <xdr:col>6</xdr:col>
      <xdr:colOff>750454</xdr:colOff>
      <xdr:row>126</xdr:row>
      <xdr:rowOff>72159</xdr:rowOff>
    </xdr:from>
    <xdr:to>
      <xdr:col>7</xdr:col>
      <xdr:colOff>137102</xdr:colOff>
      <xdr:row>130</xdr:row>
      <xdr:rowOff>202046</xdr:rowOff>
    </xdr:to>
    <xdr:sp macro="" textlink="">
      <xdr:nvSpPr>
        <xdr:cNvPr id="21" name="Left Brace 20">
          <a:extLst>
            <a:ext uri="{FF2B5EF4-FFF2-40B4-BE49-F238E27FC236}">
              <a16:creationId xmlns:a16="http://schemas.microsoft.com/office/drawing/2014/main" id="{FBC92AC6-6468-A44A-A12D-8D93810AA415}"/>
            </a:ext>
          </a:extLst>
        </xdr:cNvPr>
        <xdr:cNvSpPr/>
      </xdr:nvSpPr>
      <xdr:spPr>
        <a:xfrm>
          <a:off x="8764154" y="32533359"/>
          <a:ext cx="669348" cy="1222087"/>
        </a:xfrm>
        <a:prstGeom prst="leftBrace">
          <a:avLst>
            <a:gd name="adj1" fmla="val 8333"/>
            <a:gd name="adj2" fmla="val 26786"/>
          </a:avLst>
        </a:prstGeom>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10</xdr:col>
      <xdr:colOff>418580</xdr:colOff>
      <xdr:row>125</xdr:row>
      <xdr:rowOff>183035</xdr:rowOff>
    </xdr:from>
    <xdr:to>
      <xdr:col>14</xdr:col>
      <xdr:colOff>737933</xdr:colOff>
      <xdr:row>130</xdr:row>
      <xdr:rowOff>238851</xdr:rowOff>
    </xdr:to>
    <mc:AlternateContent xmlns:mc="http://schemas.openxmlformats.org/markup-compatibility/2006" xmlns:a14="http://schemas.microsoft.com/office/drawing/2010/main">
      <mc:Choice Requires="a14">
        <xdr:sp macro="" textlink="">
          <xdr:nvSpPr>
            <xdr:cNvPr id="22" name="Rectangle 21">
              <a:extLst>
                <a:ext uri="{FF2B5EF4-FFF2-40B4-BE49-F238E27FC236}">
                  <a16:creationId xmlns:a16="http://schemas.microsoft.com/office/drawing/2014/main" id="{22524B52-164B-E24A-9802-656FA4CC320A}"/>
                </a:ext>
              </a:extLst>
            </xdr:cNvPr>
            <xdr:cNvSpPr/>
          </xdr:nvSpPr>
          <xdr:spPr>
            <a:xfrm>
              <a:off x="12521680" y="32441035"/>
              <a:ext cx="4726253" cy="135121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I</a:t>
              </a:r>
              <a:r>
                <a:rPr lang="en-US" sz="1100" b="1" baseline="-25000"/>
                <a:t>x</a:t>
              </a:r>
              <a:r>
                <a:rPr lang="en-US" sz="1100" b="0"/>
                <a:t>,</a:t>
              </a:r>
              <a:r>
                <a:rPr lang="en-US" sz="1100" b="1" baseline="0"/>
                <a:t> I</a:t>
              </a:r>
              <a:r>
                <a:rPr lang="en-US" sz="1100" b="1" baseline="-25000"/>
                <a:t>y</a:t>
              </a:r>
              <a:r>
                <a:rPr lang="en-US" sz="1100" b="0" baseline="0"/>
                <a:t>,</a:t>
              </a:r>
              <a:r>
                <a:rPr lang="en-US" sz="1100" b="1" baseline="0"/>
                <a:t> I</a:t>
              </a:r>
              <a:r>
                <a:rPr lang="en-US" sz="1100" b="1" baseline="-25000"/>
                <a:t>z</a:t>
              </a:r>
              <a:r>
                <a:rPr lang="en-US" sz="1100" b="1" baseline="0"/>
                <a:t> </a:t>
              </a:r>
              <a:r>
                <a:rPr lang="en-US" sz="1100" b="0" baseline="0"/>
                <a:t>are the principal moments of inertia, while </a:t>
              </a:r>
              <a14:m>
                <m:oMath xmlns:m="http://schemas.openxmlformats.org/officeDocument/2006/math">
                  <m:r>
                    <a:rPr lang="it-IT" sz="1100" b="1" i="1">
                      <a:latin typeface="Cambria Math" panose="02040503050406030204" pitchFamily="18" charset="0"/>
                      <a:ea typeface="Cambria Math" panose="02040503050406030204" pitchFamily="18" charset="0"/>
                    </a:rPr>
                    <m:t>𝝈</m:t>
                  </m:r>
                </m:oMath>
              </a14:m>
              <a:r>
                <a:rPr lang="en-US" sz="1100" b="1" baseline="0"/>
                <a:t> </a:t>
              </a:r>
              <a:r>
                <a:rPr lang="en-US" sz="1100" b="0" baseline="0"/>
                <a:t>is the rotational simmetry number (number of identical configurations obtained by rotation of the molecule around he center of simmetry). Regarding this last parameter, Gassian choose </a:t>
              </a:r>
              <a:r>
                <a:rPr lang="en-US" sz="1100" b="1" baseline="0"/>
                <a:t> </a:t>
              </a:r>
              <a14:m>
                <m:oMath xmlns:m="http://schemas.openxmlformats.org/officeDocument/2006/math">
                  <m:r>
                    <a:rPr lang="it-IT" sz="1100" b="1" i="1">
                      <a:latin typeface="Cambria Math" panose="02040503050406030204" pitchFamily="18" charset="0"/>
                      <a:ea typeface="Cambria Math" panose="02040503050406030204" pitchFamily="18" charset="0"/>
                    </a:rPr>
                    <m:t>𝝈</m:t>
                  </m:r>
                </m:oMath>
              </a14:m>
              <a:r>
                <a:rPr lang="en-US" sz="1100" b="1"/>
                <a:t>=3 </a:t>
              </a:r>
              <a:r>
                <a:rPr lang="en-US" sz="1100" b="0"/>
                <a:t>but, in theory,</a:t>
              </a:r>
              <a:r>
                <a:rPr lang="en-US" sz="1100" b="0" baseline="0"/>
                <a:t> for CH</a:t>
              </a:r>
              <a:r>
                <a:rPr lang="en-US" sz="1100" b="0" baseline="-25000"/>
                <a:t>4</a:t>
              </a:r>
              <a:r>
                <a:rPr lang="en-US" sz="1100" b="0" baseline="0"/>
                <a:t>, we would have </a:t>
              </a:r>
              <a14:m>
                <m:oMath xmlns:m="http://schemas.openxmlformats.org/officeDocument/2006/math">
                  <m:r>
                    <a:rPr lang="it-IT" sz="1100" b="1" i="1">
                      <a:latin typeface="Cambria Math" panose="02040503050406030204" pitchFamily="18" charset="0"/>
                      <a:ea typeface="Cambria Math" panose="02040503050406030204" pitchFamily="18" charset="0"/>
                    </a:rPr>
                    <m:t>𝝈</m:t>
                  </m:r>
                </m:oMath>
              </a14:m>
              <a:r>
                <a:rPr lang="en-US" sz="1100" b="1"/>
                <a:t>=12</a:t>
              </a:r>
              <a:r>
                <a:rPr lang="en-US" sz="1100" b="0"/>
                <a:t>.</a:t>
              </a:r>
            </a:p>
            <a:p>
              <a:pPr algn="l"/>
              <a:r>
                <a:rPr lang="en-US" sz="1100" b="0"/>
                <a:t>Furthermore, Gaussian</a:t>
              </a:r>
              <a:r>
                <a:rPr lang="en-US" sz="1100" b="0" baseline="0"/>
                <a:t> internally uses a different formulation for the rotational partition function:</a:t>
              </a:r>
              <a:endParaRPr lang="en-US" sz="1100" b="0"/>
            </a:p>
          </xdr:txBody>
        </xdr:sp>
      </mc:Choice>
      <mc:Fallback xmlns="">
        <xdr:sp macro="" textlink="">
          <xdr:nvSpPr>
            <xdr:cNvPr id="22" name="Rectangle 21">
              <a:extLst>
                <a:ext uri="{FF2B5EF4-FFF2-40B4-BE49-F238E27FC236}">
                  <a16:creationId xmlns:a16="http://schemas.microsoft.com/office/drawing/2014/main" id="{22524B52-164B-E24A-9802-656FA4CC320A}"/>
                </a:ext>
              </a:extLst>
            </xdr:cNvPr>
            <xdr:cNvSpPr/>
          </xdr:nvSpPr>
          <xdr:spPr>
            <a:xfrm>
              <a:off x="12521680" y="32441035"/>
              <a:ext cx="4726253" cy="135121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I</a:t>
              </a:r>
              <a:r>
                <a:rPr lang="en-US" sz="1100" b="1" baseline="-25000"/>
                <a:t>x</a:t>
              </a:r>
              <a:r>
                <a:rPr lang="en-US" sz="1100" b="0"/>
                <a:t>,</a:t>
              </a:r>
              <a:r>
                <a:rPr lang="en-US" sz="1100" b="1" baseline="0"/>
                <a:t> I</a:t>
              </a:r>
              <a:r>
                <a:rPr lang="en-US" sz="1100" b="1" baseline="-25000"/>
                <a:t>y</a:t>
              </a:r>
              <a:r>
                <a:rPr lang="en-US" sz="1100" b="0" baseline="0"/>
                <a:t>,</a:t>
              </a:r>
              <a:r>
                <a:rPr lang="en-US" sz="1100" b="1" baseline="0"/>
                <a:t> I</a:t>
              </a:r>
              <a:r>
                <a:rPr lang="en-US" sz="1100" b="1" baseline="-25000"/>
                <a:t>z</a:t>
              </a:r>
              <a:r>
                <a:rPr lang="en-US" sz="1100" b="1" baseline="0"/>
                <a:t> </a:t>
              </a:r>
              <a:r>
                <a:rPr lang="en-US" sz="1100" b="0" baseline="0"/>
                <a:t>are the principal moments of inertia, while </a:t>
              </a:r>
              <a:r>
                <a:rPr lang="it-IT" sz="1100" b="1" i="0">
                  <a:latin typeface="Cambria Math" panose="02040503050406030204" pitchFamily="18" charset="0"/>
                  <a:ea typeface="Cambria Math" panose="02040503050406030204" pitchFamily="18" charset="0"/>
                </a:rPr>
                <a:t>𝝈</a:t>
              </a:r>
              <a:r>
                <a:rPr lang="en-US" sz="1100" b="1" baseline="0"/>
                <a:t> </a:t>
              </a:r>
              <a:r>
                <a:rPr lang="en-US" sz="1100" b="0" baseline="0"/>
                <a:t>is the rotational simmetry number (number of identical configurations obtained by rotation of the molecule around he center of simmetry). Regarding this last parameter, Gassian choose </a:t>
              </a:r>
              <a:r>
                <a:rPr lang="en-US" sz="1100" b="1" baseline="0"/>
                <a:t> </a:t>
              </a:r>
              <a:r>
                <a:rPr lang="it-IT" sz="1100" b="1" i="0">
                  <a:latin typeface="Cambria Math" panose="02040503050406030204" pitchFamily="18" charset="0"/>
                  <a:ea typeface="Cambria Math" panose="02040503050406030204" pitchFamily="18" charset="0"/>
                </a:rPr>
                <a:t>𝝈</a:t>
              </a:r>
              <a:r>
                <a:rPr lang="en-US" sz="1100" b="1"/>
                <a:t>=3 </a:t>
              </a:r>
              <a:r>
                <a:rPr lang="en-US" sz="1100" b="0"/>
                <a:t>but, in theory,</a:t>
              </a:r>
              <a:r>
                <a:rPr lang="en-US" sz="1100" b="0" baseline="0"/>
                <a:t> for CH</a:t>
              </a:r>
              <a:r>
                <a:rPr lang="en-US" sz="1100" b="0" baseline="-25000"/>
                <a:t>4</a:t>
              </a:r>
              <a:r>
                <a:rPr lang="en-US" sz="1100" b="0" baseline="0"/>
                <a:t>, we would have </a:t>
              </a:r>
              <a:r>
                <a:rPr lang="it-IT" sz="1100" b="1" i="0">
                  <a:latin typeface="Cambria Math" panose="02040503050406030204" pitchFamily="18" charset="0"/>
                  <a:ea typeface="Cambria Math" panose="02040503050406030204" pitchFamily="18" charset="0"/>
                </a:rPr>
                <a:t>𝝈</a:t>
              </a:r>
              <a:r>
                <a:rPr lang="en-US" sz="1100" b="1"/>
                <a:t>=12</a:t>
              </a:r>
              <a:r>
                <a:rPr lang="en-US" sz="1100" b="0"/>
                <a:t>.</a:t>
              </a:r>
            </a:p>
            <a:p>
              <a:pPr algn="l"/>
              <a:r>
                <a:rPr lang="en-US" sz="1100" b="0"/>
                <a:t>Furthermore, Gaussian</a:t>
              </a:r>
              <a:r>
                <a:rPr lang="en-US" sz="1100" b="0" baseline="0"/>
                <a:t> internally uses a different formulation for the rotational partition function:</a:t>
              </a:r>
              <a:endParaRPr lang="en-US" sz="1100" b="0"/>
            </a:p>
          </xdr:txBody>
        </xdr:sp>
      </mc:Fallback>
    </mc:AlternateContent>
    <xdr:clientData/>
  </xdr:twoCellAnchor>
  <xdr:oneCellAnchor>
    <xdr:from>
      <xdr:col>7</xdr:col>
      <xdr:colOff>62175</xdr:colOff>
      <xdr:row>128</xdr:row>
      <xdr:rowOff>95489</xdr:rowOff>
    </xdr:from>
    <xdr:ext cx="2805896" cy="622543"/>
    <mc:AlternateContent xmlns:mc="http://schemas.openxmlformats.org/markup-compatibility/2006" xmlns:a14="http://schemas.microsoft.com/office/drawing/2010/main">
      <mc:Choice Requires="a14">
        <xdr:sp macro="" textlink="">
          <xdr:nvSpPr>
            <xdr:cNvPr id="23" name="TextBox 22">
              <a:extLst>
                <a:ext uri="{FF2B5EF4-FFF2-40B4-BE49-F238E27FC236}">
                  <a16:creationId xmlns:a16="http://schemas.microsoft.com/office/drawing/2014/main" id="{54D99E1D-2705-7B43-BA64-26F3389ACB2D}"/>
                </a:ext>
              </a:extLst>
            </xdr:cNvPr>
            <xdr:cNvSpPr txBox="1"/>
          </xdr:nvSpPr>
          <xdr:spPr>
            <a:xfrm>
              <a:off x="9358575" y="33140889"/>
              <a:ext cx="2805896" cy="6225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3</m:t>
                        </m:r>
                        <m:r>
                          <a:rPr lang="it-IT" sz="1600" b="0" i="1">
                            <a:latin typeface="Cambria Math" panose="02040503050406030204" pitchFamily="18" charset="0"/>
                          </a:rPr>
                          <m:t>𝐷</m:t>
                        </m:r>
                      </m:sup>
                    </m:sSubSup>
                    <m:r>
                      <a:rPr lang="it-IT" sz="1600" b="0" i="1">
                        <a:latin typeface="Cambria Math" panose="02040503050406030204" pitchFamily="18" charset="0"/>
                      </a:rPr>
                      <m:t>(1)=</m:t>
                    </m:r>
                    <m:f>
                      <m:fPr>
                        <m:ctrlPr>
                          <a:rPr lang="it-IT" sz="1600" b="0" i="1">
                            <a:latin typeface="Cambria Math" panose="02040503050406030204" pitchFamily="18" charset="0"/>
                          </a:rPr>
                        </m:ctrlPr>
                      </m:fPr>
                      <m:num>
                        <m:r>
                          <a:rPr lang="it-IT" sz="1600" b="0" i="1">
                            <a:latin typeface="Cambria Math" panose="02040503050406030204" pitchFamily="18" charset="0"/>
                          </a:rPr>
                          <m:t>8</m:t>
                        </m:r>
                        <m:sSup>
                          <m:sSupPr>
                            <m:ctrlPr>
                              <a:rPr lang="it-IT" sz="1600" b="0" i="1">
                                <a:latin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𝜋</m:t>
                            </m:r>
                          </m:e>
                          <m:sup>
                            <m:r>
                              <a:rPr lang="it-IT" sz="1600" b="0" i="1">
                                <a:latin typeface="Cambria Math" panose="02040503050406030204" pitchFamily="18" charset="0"/>
                              </a:rPr>
                              <m:t>2</m:t>
                            </m:r>
                          </m:sup>
                        </m:sSup>
                        <m:sSup>
                          <m:sSupPr>
                            <m:ctrlPr>
                              <a:rPr lang="it-IT" sz="1600" b="0" i="1">
                                <a:latin typeface="Cambria Math" panose="02040503050406030204" pitchFamily="18" charset="0"/>
                              </a:rPr>
                            </m:ctrlPr>
                          </m:sSupPr>
                          <m:e>
                            <m:d>
                              <m:dPr>
                                <m:ctrlPr>
                                  <a:rPr lang="it-IT" sz="1600" b="0" i="1">
                                    <a:latin typeface="Cambria Math" panose="02040503050406030204" pitchFamily="18" charset="0"/>
                                  </a:rPr>
                                </m:ctrlPr>
                              </m:dPr>
                              <m:e>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rad>
                          <m:radPr>
                            <m:degHide m:val="on"/>
                            <m:ctrlPr>
                              <a:rPr lang="it-IT" sz="1600" b="0" i="1">
                                <a:latin typeface="Cambria Math" panose="02040503050406030204" pitchFamily="18" charset="0"/>
                              </a:rPr>
                            </m:ctrlPr>
                          </m:radPr>
                          <m:deg/>
                          <m:e>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𝑥</m:t>
                                </m:r>
                              </m:sub>
                            </m:sSub>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𝑦</m:t>
                                </m:r>
                              </m:sub>
                            </m:sSub>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𝑧</m:t>
                                </m:r>
                              </m:sub>
                            </m:sSub>
                          </m:e>
                        </m:rad>
                      </m:num>
                      <m:den>
                        <m:r>
                          <a:rPr lang="it-IT" sz="1600" b="0" i="1">
                            <a:latin typeface="Cambria Math" panose="02040503050406030204" pitchFamily="18" charset="0"/>
                            <a:ea typeface="Cambria Math" panose="02040503050406030204" pitchFamily="18" charset="0"/>
                          </a:rPr>
                          <m:t>𝜎</m:t>
                        </m:r>
                        <m:sSup>
                          <m:sSupPr>
                            <m:ctrlPr>
                              <a:rPr lang="it-IT" sz="1600" b="0" i="1">
                                <a:latin typeface="Cambria Math" panose="02040503050406030204" pitchFamily="18" charset="0"/>
                                <a:ea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h</m:t>
                            </m:r>
                          </m:e>
                          <m:sup>
                            <m:r>
                              <a:rPr lang="it-IT" sz="1600" b="0" i="1">
                                <a:latin typeface="Cambria Math" panose="02040503050406030204" pitchFamily="18" charset="0"/>
                                <a:ea typeface="Cambria Math" panose="02040503050406030204" pitchFamily="18" charset="0"/>
                              </a:rPr>
                              <m:t>3</m:t>
                            </m:r>
                          </m:sup>
                        </m:sSup>
                      </m:den>
                    </m:f>
                  </m:oMath>
                </m:oMathPara>
              </a14:m>
              <a:endParaRPr lang="en-US" sz="1600"/>
            </a:p>
          </xdr:txBody>
        </xdr:sp>
      </mc:Choice>
      <mc:Fallback xmlns="">
        <xdr:sp macro="" textlink="">
          <xdr:nvSpPr>
            <xdr:cNvPr id="23" name="TextBox 22">
              <a:extLst>
                <a:ext uri="{FF2B5EF4-FFF2-40B4-BE49-F238E27FC236}">
                  <a16:creationId xmlns:a16="http://schemas.microsoft.com/office/drawing/2014/main" id="{54D99E1D-2705-7B43-BA64-26F3389ACB2D}"/>
                </a:ext>
              </a:extLst>
            </xdr:cNvPr>
            <xdr:cNvSpPr txBox="1"/>
          </xdr:nvSpPr>
          <xdr:spPr>
            <a:xfrm>
              <a:off x="9358575" y="33140889"/>
              <a:ext cx="2805896" cy="6225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𝑄_𝑟𝑜𝑡^3𝐷 (1)=(8</a:t>
              </a:r>
              <a:r>
                <a:rPr lang="it-IT" sz="1600" b="0" i="0">
                  <a:latin typeface="Cambria Math" panose="02040503050406030204" pitchFamily="18" charset="0"/>
                  <a:ea typeface="Cambria Math" panose="02040503050406030204" pitchFamily="18" charset="0"/>
                </a:rPr>
                <a:t>𝜋^</a:t>
              </a:r>
              <a:r>
                <a:rPr lang="it-IT" sz="1600" b="0" i="0">
                  <a:latin typeface="Cambria Math" panose="02040503050406030204" pitchFamily="18" charset="0"/>
                </a:rPr>
                <a:t>2 (2</a:t>
              </a:r>
              <a:r>
                <a:rPr lang="it-IT" sz="1600" b="0" i="0">
                  <a:latin typeface="Cambria Math" panose="02040503050406030204" pitchFamily="18" charset="0"/>
                  <a:ea typeface="Cambria Math" panose="02040503050406030204" pitchFamily="18" charset="0"/>
                </a:rPr>
                <a:t>𝜋𝑘_𝑏 𝑇)^(</a:t>
              </a:r>
              <a:r>
                <a:rPr lang="it-IT" sz="1600" b="0" i="0">
                  <a:latin typeface="Cambria Math" panose="02040503050406030204" pitchFamily="18" charset="0"/>
                </a:rPr>
                <a:t>3/2) √(𝐼_𝑥 𝐼_𝑦 𝐼_𝑧 ))/(</a:t>
              </a:r>
              <a:r>
                <a:rPr lang="it-IT" sz="1600" b="0" i="0">
                  <a:latin typeface="Cambria Math" panose="02040503050406030204" pitchFamily="18" charset="0"/>
                  <a:ea typeface="Cambria Math" panose="02040503050406030204" pitchFamily="18" charset="0"/>
                </a:rPr>
                <a:t>𝜎ℎ^3 )</a:t>
              </a:r>
              <a:endParaRPr lang="en-US" sz="1600"/>
            </a:p>
          </xdr:txBody>
        </xdr:sp>
      </mc:Fallback>
    </mc:AlternateContent>
    <xdr:clientData/>
  </xdr:oneCellAnchor>
  <xdr:twoCellAnchor>
    <xdr:from>
      <xdr:col>7</xdr:col>
      <xdr:colOff>38099</xdr:colOff>
      <xdr:row>128</xdr:row>
      <xdr:rowOff>63500</xdr:rowOff>
    </xdr:from>
    <xdr:to>
      <xdr:col>10</xdr:col>
      <xdr:colOff>362856</xdr:colOff>
      <xdr:row>131</xdr:row>
      <xdr:rowOff>88900</xdr:rowOff>
    </xdr:to>
    <xdr:sp macro="" textlink="">
      <xdr:nvSpPr>
        <xdr:cNvPr id="24" name="Rounded Rectangle 23">
          <a:extLst>
            <a:ext uri="{FF2B5EF4-FFF2-40B4-BE49-F238E27FC236}">
              <a16:creationId xmlns:a16="http://schemas.microsoft.com/office/drawing/2014/main" id="{2CF5FA39-EE3C-9745-A662-89A507CEF6FA}"/>
            </a:ext>
          </a:extLst>
        </xdr:cNvPr>
        <xdr:cNvSpPr/>
      </xdr:nvSpPr>
      <xdr:spPr>
        <a:xfrm>
          <a:off x="9334499" y="33108900"/>
          <a:ext cx="3131457" cy="787400"/>
        </a:xfrm>
        <a:prstGeom prst="roundRect">
          <a:avLst/>
        </a:prstGeom>
        <a:noFill/>
        <a:ln w="2857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11</xdr:col>
      <xdr:colOff>213330</xdr:colOff>
      <xdr:row>131</xdr:row>
      <xdr:rowOff>77170</xdr:rowOff>
    </xdr:from>
    <xdr:ext cx="2304349" cy="792718"/>
    <mc:AlternateContent xmlns:mc="http://schemas.openxmlformats.org/markup-compatibility/2006" xmlns:a14="http://schemas.microsoft.com/office/drawing/2010/main">
      <mc:Choice Requires="a14">
        <xdr:sp macro="" textlink="">
          <xdr:nvSpPr>
            <xdr:cNvPr id="25" name="TextBox 24">
              <a:extLst>
                <a:ext uri="{FF2B5EF4-FFF2-40B4-BE49-F238E27FC236}">
                  <a16:creationId xmlns:a16="http://schemas.microsoft.com/office/drawing/2014/main" id="{1872EDA6-6B9D-F044-9393-F78050BBA7C2}"/>
                </a:ext>
              </a:extLst>
            </xdr:cNvPr>
            <xdr:cNvSpPr txBox="1"/>
          </xdr:nvSpPr>
          <xdr:spPr>
            <a:xfrm>
              <a:off x="13408630" y="33884570"/>
              <a:ext cx="2304349" cy="7927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3</m:t>
                        </m:r>
                        <m:r>
                          <a:rPr lang="it-IT" sz="1600" b="0" i="1">
                            <a:latin typeface="Cambria Math" panose="02040503050406030204" pitchFamily="18" charset="0"/>
                          </a:rPr>
                          <m:t>𝐷</m:t>
                        </m:r>
                      </m:sup>
                    </m:sSubSup>
                    <m:r>
                      <a:rPr lang="it-IT" sz="1600" b="0" i="1">
                        <a:latin typeface="Cambria Math" panose="02040503050406030204" pitchFamily="18" charset="0"/>
                      </a:rPr>
                      <m:t>(2)=</m:t>
                    </m:r>
                    <m:f>
                      <m:fPr>
                        <m:ctrlPr>
                          <a:rPr lang="it-IT" sz="1600" b="0" i="1">
                            <a:latin typeface="Cambria Math" panose="02040503050406030204" pitchFamily="18" charset="0"/>
                          </a:rPr>
                        </m:ctrlPr>
                      </m:fPr>
                      <m:num>
                        <m:rad>
                          <m:radPr>
                            <m:degHide m:val="on"/>
                            <m:ctrlPr>
                              <a:rPr lang="it-IT" sz="1600" b="0" i="1">
                                <a:latin typeface="Cambria Math" panose="02040503050406030204" pitchFamily="18" charset="0"/>
                              </a:rPr>
                            </m:ctrlPr>
                          </m:radPr>
                          <m:deg/>
                          <m:e>
                            <m:r>
                              <a:rPr lang="it-IT" sz="1600" b="0" i="1">
                                <a:latin typeface="Cambria Math" panose="02040503050406030204" pitchFamily="18" charset="0"/>
                                <a:ea typeface="Cambria Math" panose="02040503050406030204" pitchFamily="18" charset="0"/>
                              </a:rPr>
                              <m:t>𝜋</m:t>
                            </m:r>
                          </m:e>
                        </m:rad>
                      </m:num>
                      <m:den>
                        <m:r>
                          <a:rPr lang="it-IT" sz="1600" b="0" i="1">
                            <a:latin typeface="Cambria Math" panose="02040503050406030204" pitchFamily="18" charset="0"/>
                            <a:ea typeface="Cambria Math" panose="02040503050406030204" pitchFamily="18" charset="0"/>
                          </a:rPr>
                          <m:t>𝜎</m:t>
                        </m:r>
                      </m:den>
                    </m:f>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sSup>
                              <m:sSupPr>
                                <m:ctrlPr>
                                  <a:rPr lang="it-IT" sz="1600" b="0" i="1">
                                    <a:latin typeface="Cambria Math" panose="02040503050406030204" pitchFamily="18" charset="0"/>
                                  </a:rPr>
                                </m:ctrlPr>
                              </m:sSupPr>
                              <m:e>
                                <m:r>
                                  <a:rPr lang="it-IT" sz="1600" b="0" i="1">
                                    <a:latin typeface="Cambria Math" panose="02040503050406030204" pitchFamily="18" charset="0"/>
                                  </a:rPr>
                                  <m:t>𝑇</m:t>
                                </m:r>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num>
                          <m:den>
                            <m:rad>
                              <m:radPr>
                                <m:degHide m:val="on"/>
                                <m:ctrlPr>
                                  <a:rPr lang="it-IT" sz="1600" b="0" i="1">
                                    <a:latin typeface="Cambria Math" panose="02040503050406030204" pitchFamily="18" charset="0"/>
                                  </a:rPr>
                                </m:ctrlPr>
                              </m:radPr>
                              <m:deg/>
                              <m:e>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rPr>
                                      <m:t>𝑥</m:t>
                                    </m:r>
                                  </m:sub>
                                </m:sSub>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ea typeface="Cambria Math" panose="02040503050406030204" pitchFamily="18" charset="0"/>
                                      </a:rPr>
                                      <m:t>𝑦</m:t>
                                    </m:r>
                                  </m:sub>
                                </m:sSub>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ea typeface="Cambria Math" panose="02040503050406030204" pitchFamily="18" charset="0"/>
                                      </a:rPr>
                                      <m:t>𝑧</m:t>
                                    </m:r>
                                  </m:sub>
                                </m:sSub>
                              </m:e>
                            </m:rad>
                          </m:den>
                        </m:f>
                      </m:e>
                    </m:d>
                  </m:oMath>
                </m:oMathPara>
              </a14:m>
              <a:endParaRPr lang="en-US" sz="1600"/>
            </a:p>
          </xdr:txBody>
        </xdr:sp>
      </mc:Choice>
      <mc:Fallback xmlns="">
        <xdr:sp macro="" textlink="">
          <xdr:nvSpPr>
            <xdr:cNvPr id="25" name="TextBox 24">
              <a:extLst>
                <a:ext uri="{FF2B5EF4-FFF2-40B4-BE49-F238E27FC236}">
                  <a16:creationId xmlns:a16="http://schemas.microsoft.com/office/drawing/2014/main" id="{1872EDA6-6B9D-F044-9393-F78050BBA7C2}"/>
                </a:ext>
              </a:extLst>
            </xdr:cNvPr>
            <xdr:cNvSpPr txBox="1"/>
          </xdr:nvSpPr>
          <xdr:spPr>
            <a:xfrm>
              <a:off x="13408630" y="33884570"/>
              <a:ext cx="2304349" cy="7927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𝑄_𝑟𝑜𝑡^3𝐷 (2)=√</a:t>
              </a:r>
              <a:r>
                <a:rPr lang="it-IT" sz="1600" b="0" i="0">
                  <a:latin typeface="Cambria Math" panose="02040503050406030204" pitchFamily="18" charset="0"/>
                  <a:ea typeface="Cambria Math" panose="02040503050406030204" pitchFamily="18" charset="0"/>
                </a:rPr>
                <a:t>𝜋/𝜎 </a:t>
              </a:r>
              <a:r>
                <a:rPr lang="it-IT" sz="1600" b="0" i="0">
                  <a:latin typeface="Cambria Math" panose="02040503050406030204" pitchFamily="18" charset="0"/>
                </a:rPr>
                <a:t>(𝑇^(3/2)/√(</a:t>
              </a:r>
              <a:r>
                <a:rPr lang="it-IT" sz="1600" b="0" i="0">
                  <a:latin typeface="Cambria Math" panose="02040503050406030204" pitchFamily="18" charset="0"/>
                  <a:ea typeface="Cambria Math" panose="02040503050406030204" pitchFamily="18" charset="0"/>
                </a:rPr>
                <a:t>𝜃_</a:t>
              </a:r>
              <a:r>
                <a:rPr lang="it-IT" sz="1600" b="0" i="0">
                  <a:latin typeface="Cambria Math" panose="02040503050406030204" pitchFamily="18" charset="0"/>
                </a:rPr>
                <a:t>𝑥 </a:t>
              </a:r>
              <a:r>
                <a:rPr lang="it-IT" sz="1600" b="0" i="0">
                  <a:latin typeface="Cambria Math" panose="02040503050406030204" pitchFamily="18" charset="0"/>
                  <a:ea typeface="Cambria Math" panose="02040503050406030204" pitchFamily="18" charset="0"/>
                </a:rPr>
                <a:t>𝜃_𝑦 𝜃_𝑧 ))</a:t>
              </a:r>
              <a:endParaRPr lang="en-US" sz="1600"/>
            </a:p>
          </xdr:txBody>
        </xdr:sp>
      </mc:Fallback>
    </mc:AlternateContent>
    <xdr:clientData/>
  </xdr:oneCellAnchor>
  <xdr:twoCellAnchor>
    <xdr:from>
      <xdr:col>10</xdr:col>
      <xdr:colOff>833739</xdr:colOff>
      <xdr:row>130</xdr:row>
      <xdr:rowOff>126030</xdr:rowOff>
    </xdr:from>
    <xdr:to>
      <xdr:col>11</xdr:col>
      <xdr:colOff>213330</xdr:colOff>
      <xdr:row>132</xdr:row>
      <xdr:rowOff>194408</xdr:rowOff>
    </xdr:to>
    <xdr:cxnSp macro="">
      <xdr:nvCxnSpPr>
        <xdr:cNvPr id="26" name="Curved Connector 25">
          <a:extLst>
            <a:ext uri="{FF2B5EF4-FFF2-40B4-BE49-F238E27FC236}">
              <a16:creationId xmlns:a16="http://schemas.microsoft.com/office/drawing/2014/main" id="{04E6B188-AD64-1844-8657-337FFBCFF2B3}"/>
            </a:ext>
          </a:extLst>
        </xdr:cNvPr>
        <xdr:cNvCxnSpPr>
          <a:endCxn id="25" idx="1"/>
        </xdr:cNvCxnSpPr>
      </xdr:nvCxnSpPr>
      <xdr:spPr>
        <a:xfrm rot="16200000" flipH="1">
          <a:off x="12871846" y="33744423"/>
          <a:ext cx="601778" cy="471791"/>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9769</xdr:colOff>
      <xdr:row>142</xdr:row>
      <xdr:rowOff>222807</xdr:rowOff>
    </xdr:from>
    <xdr:to>
      <xdr:col>15</xdr:col>
      <xdr:colOff>824046</xdr:colOff>
      <xdr:row>155</xdr:row>
      <xdr:rowOff>171380</xdr:rowOff>
    </xdr:to>
    <xdr:graphicFrame macro="">
      <xdr:nvGraphicFramePr>
        <xdr:cNvPr id="27" name="Chart 26">
          <a:extLst>
            <a:ext uri="{FF2B5EF4-FFF2-40B4-BE49-F238E27FC236}">
              <a16:creationId xmlns:a16="http://schemas.microsoft.com/office/drawing/2014/main" id="{9CD0021F-10C5-6343-9077-68D01603F6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oneCellAnchor>
    <xdr:from>
      <xdr:col>9</xdr:col>
      <xdr:colOff>745958</xdr:colOff>
      <xdr:row>156</xdr:row>
      <xdr:rowOff>38545</xdr:rowOff>
    </xdr:from>
    <xdr:ext cx="65" cy="172227"/>
    <xdr:sp macro="" textlink="">
      <xdr:nvSpPr>
        <xdr:cNvPr id="28" name="TextBox 27">
          <a:extLst>
            <a:ext uri="{FF2B5EF4-FFF2-40B4-BE49-F238E27FC236}">
              <a16:creationId xmlns:a16="http://schemas.microsoft.com/office/drawing/2014/main" id="{210442FB-5649-1340-86C1-88ED75CC15C4}"/>
            </a:ext>
          </a:extLst>
        </xdr:cNvPr>
        <xdr:cNvSpPr txBox="1"/>
      </xdr:nvSpPr>
      <xdr:spPr>
        <a:xfrm>
          <a:off x="11731458" y="4000544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twoCellAnchor>
    <xdr:from>
      <xdr:col>4</xdr:col>
      <xdr:colOff>452528</xdr:colOff>
      <xdr:row>163</xdr:row>
      <xdr:rowOff>131380</xdr:rowOff>
    </xdr:from>
    <xdr:to>
      <xdr:col>6</xdr:col>
      <xdr:colOff>613104</xdr:colOff>
      <xdr:row>163</xdr:row>
      <xdr:rowOff>145977</xdr:rowOff>
    </xdr:to>
    <xdr:cxnSp macro="">
      <xdr:nvCxnSpPr>
        <xdr:cNvPr id="29" name="Straight Arrow Connector 28">
          <a:extLst>
            <a:ext uri="{FF2B5EF4-FFF2-40B4-BE49-F238E27FC236}">
              <a16:creationId xmlns:a16="http://schemas.microsoft.com/office/drawing/2014/main" id="{30D91EAF-0490-2942-B182-E1BA76DB6D74}"/>
            </a:ext>
          </a:extLst>
        </xdr:cNvPr>
        <xdr:cNvCxnSpPr/>
      </xdr:nvCxnSpPr>
      <xdr:spPr>
        <a:xfrm>
          <a:off x="6002428" y="415968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209696</xdr:colOff>
      <xdr:row>161</xdr:row>
      <xdr:rowOff>239134</xdr:rowOff>
    </xdr:from>
    <xdr:ext cx="1988301" cy="695255"/>
    <mc:AlternateContent xmlns:mc="http://schemas.openxmlformats.org/markup-compatibility/2006" xmlns:a14="http://schemas.microsoft.com/office/drawing/2010/main">
      <mc:Choice Requires="a14">
        <xdr:sp macro="" textlink="">
          <xdr:nvSpPr>
            <xdr:cNvPr id="30" name="TextBox 29">
              <a:extLst>
                <a:ext uri="{FF2B5EF4-FFF2-40B4-BE49-F238E27FC236}">
                  <a16:creationId xmlns:a16="http://schemas.microsoft.com/office/drawing/2014/main" id="{8B89A41B-A194-4840-BF39-BAB84E112C1A}"/>
                </a:ext>
              </a:extLst>
            </xdr:cNvPr>
            <xdr:cNvSpPr txBox="1"/>
          </xdr:nvSpPr>
          <xdr:spPr>
            <a:xfrm>
              <a:off x="9506096" y="41222034"/>
              <a:ext cx="1988301" cy="6952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nary>
                      <m:naryPr>
                        <m:chr m:val="∑"/>
                        <m:ctrlPr>
                          <a:rPr lang="it-IT" sz="1600" b="0" i="1">
                            <a:latin typeface="Cambria Math" panose="02040503050406030204" pitchFamily="18" charset="0"/>
                          </a:rPr>
                        </m:ctrlPr>
                      </m:naryPr>
                      <m:sub>
                        <m:r>
                          <m:rPr>
                            <m:brk m:alnAt="23"/>
                          </m:rPr>
                          <a:rPr lang="it-IT" sz="1600" b="0" i="1">
                            <a:latin typeface="Cambria Math" panose="02040503050406030204" pitchFamily="18" charset="0"/>
                          </a:rPr>
                          <m:t>𝑖</m:t>
                        </m:r>
                        <m:r>
                          <a:rPr lang="it-IT" sz="1600" b="0" i="1">
                            <a:latin typeface="Cambria Math" panose="02040503050406030204" pitchFamily="18" charset="0"/>
                          </a:rPr>
                          <m:t>=0</m:t>
                        </m:r>
                      </m:sub>
                      <m:sup>
                        <m:r>
                          <a:rPr lang="it-IT" sz="1600" b="0" i="1">
                            <a:latin typeface="Cambria Math" panose="02040503050406030204" pitchFamily="18" charset="0"/>
                            <a:ea typeface="Cambria Math" panose="02040503050406030204" pitchFamily="18" charset="0"/>
                          </a:rPr>
                          <m:t>∞</m:t>
                        </m:r>
                      </m:sup>
                      <m:e>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𝑖</m:t>
                            </m:r>
                          </m:sup>
                        </m:sSubSup>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r>
                              <a:rPr lang="it-IT" sz="1600" b="0" i="1">
                                <a:latin typeface="Cambria Math" panose="02040503050406030204" pitchFamily="18" charset="0"/>
                              </a:rPr>
                              <m:t>−</m:t>
                            </m:r>
                            <m:f>
                              <m:fPr>
                                <m:ctrlPr>
                                  <a:rPr lang="it-IT" sz="1600" b="0" i="1">
                                    <a:latin typeface="Cambria Math" panose="02040503050406030204" pitchFamily="18" charset="0"/>
                                  </a:rPr>
                                </m:ctrlPr>
                              </m:fPr>
                              <m:num>
                                <m:sSubSup>
                                  <m:sSubSupPr>
                                    <m:ctrlPr>
                                      <a:rPr lang="it-IT" sz="1600" b="0" i="1">
                                        <a:latin typeface="Cambria Math" panose="02040503050406030204" pitchFamily="18" charset="0"/>
                                      </a:rPr>
                                    </m:ctrlPr>
                                  </m:sSubSupPr>
                                  <m:e>
                                    <m:r>
                                      <a:rPr lang="it-IT" sz="1600" b="0" i="1">
                                        <a:latin typeface="Cambria Math" panose="02040503050406030204" pitchFamily="18" charset="0"/>
                                      </a:rPr>
                                      <m:t>𝐸</m:t>
                                    </m:r>
                                  </m:e>
                                  <m:sub>
                                    <m:r>
                                      <a:rPr lang="it-IT" sz="1600" b="0" i="1">
                                        <a:latin typeface="Cambria Math" panose="02040503050406030204" pitchFamily="18" charset="0"/>
                                      </a:rPr>
                                      <m:t>𝑒𝑙</m:t>
                                    </m:r>
                                  </m:sub>
                                  <m:sup>
                                    <m:r>
                                      <a:rPr lang="it-IT" sz="1600" b="0" i="1">
                                        <a:latin typeface="Cambria Math" panose="02040503050406030204" pitchFamily="18" charset="0"/>
                                      </a:rPr>
                                      <m:t>𝑖</m:t>
                                    </m:r>
                                  </m:sup>
                                </m:sSubSup>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sup>
                        </m:sSup>
                      </m:e>
                    </m:nary>
                  </m:oMath>
                </m:oMathPara>
              </a14:m>
              <a:endParaRPr lang="en-US" sz="1600"/>
            </a:p>
          </xdr:txBody>
        </xdr:sp>
      </mc:Choice>
      <mc:Fallback xmlns="">
        <xdr:sp macro="" textlink="">
          <xdr:nvSpPr>
            <xdr:cNvPr id="30" name="TextBox 29">
              <a:extLst>
                <a:ext uri="{FF2B5EF4-FFF2-40B4-BE49-F238E27FC236}">
                  <a16:creationId xmlns:a16="http://schemas.microsoft.com/office/drawing/2014/main" id="{8B89A41B-A194-4840-BF39-BAB84E112C1A}"/>
                </a:ext>
              </a:extLst>
            </xdr:cNvPr>
            <xdr:cNvSpPr txBox="1"/>
          </xdr:nvSpPr>
          <xdr:spPr>
            <a:xfrm>
              <a:off x="9506096" y="41222034"/>
              <a:ext cx="1988301" cy="6952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𝑡𝑟𝑎𝑛𝑠𝑙=∑_(𝑖=0)</a:t>
              </a:r>
              <a:r>
                <a:rPr lang="it-IT" sz="1600" b="0" i="0">
                  <a:latin typeface="Cambria Math" panose="02040503050406030204" pitchFamily="18" charset="0"/>
                  <a:ea typeface="Cambria Math" panose="02040503050406030204" pitchFamily="18" charset="0"/>
                </a:rPr>
                <a:t>^∞▒〖</a:t>
              </a:r>
              <a:r>
                <a:rPr lang="it-IT" sz="1600" b="0" i="0">
                  <a:latin typeface="Cambria Math" panose="02040503050406030204" pitchFamily="18" charset="0"/>
                </a:rPr>
                <a:t>𝑔_𝑒𝑙^𝑖 𝑒^(−(𝐸_𝑒𝑙^𝑖)/(𝑘_𝑏 𝑇)) </a:t>
              </a:r>
              <a:r>
                <a:rPr lang="it-IT" sz="1600" b="0" i="0">
                  <a:latin typeface="Cambria Math" panose="02040503050406030204" pitchFamily="18" charset="0"/>
                  <a:ea typeface="Cambria Math" panose="02040503050406030204" pitchFamily="18" charset="0"/>
                </a:rPr>
                <a:t>〗</a:t>
              </a:r>
              <a:endParaRPr lang="en-US" sz="1600"/>
            </a:p>
          </xdr:txBody>
        </xdr:sp>
      </mc:Fallback>
    </mc:AlternateContent>
    <xdr:clientData/>
  </xdr:oneCellAnchor>
  <xdr:twoCellAnchor>
    <xdr:from>
      <xdr:col>10</xdr:col>
      <xdr:colOff>743214</xdr:colOff>
      <xdr:row>162</xdr:row>
      <xdr:rowOff>75335</xdr:rowOff>
    </xdr:from>
    <xdr:to>
      <xdr:col>14</xdr:col>
      <xdr:colOff>1062567</xdr:colOff>
      <xdr:row>166</xdr:row>
      <xdr:rowOff>218898</xdr:rowOff>
    </xdr:to>
    <xdr:sp macro="" textlink="">
      <xdr:nvSpPr>
        <xdr:cNvPr id="31" name="Rectangle 30">
          <a:extLst>
            <a:ext uri="{FF2B5EF4-FFF2-40B4-BE49-F238E27FC236}">
              <a16:creationId xmlns:a16="http://schemas.microsoft.com/office/drawing/2014/main" id="{B35B0CE8-DE70-DD4F-BD30-58065BCD801A}"/>
            </a:ext>
          </a:extLst>
        </xdr:cNvPr>
        <xdr:cNvSpPr/>
      </xdr:nvSpPr>
      <xdr:spPr>
        <a:xfrm>
          <a:off x="12846314" y="41299535"/>
          <a:ext cx="4726253" cy="122306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Form</a:t>
          </a:r>
          <a:r>
            <a:rPr lang="en-US" sz="1100" b="1" baseline="0"/>
            <a:t> Gaussian manual:</a:t>
          </a:r>
          <a:br>
            <a:rPr lang="en-US" sz="1100" b="1" baseline="0"/>
          </a:br>
          <a:r>
            <a:rPr lang="en-US"/>
            <a:t>Gaussian assumes that the first electronic excitation energy is much greater than k</a:t>
          </a:r>
          <a:r>
            <a:rPr lang="en-US" baseline="-25000"/>
            <a:t>B</a:t>
          </a:r>
          <a:r>
            <a:rPr lang="en-US"/>
            <a:t>T. Therefore, the first and higher excited states are assumed to be inaccessible at any temperature. Further, the energy of the ground state is set to zero. </a:t>
          </a:r>
          <a:endParaRPr lang="en-US" sz="1100" b="1"/>
        </a:p>
      </xdr:txBody>
    </xdr:sp>
    <xdr:clientData/>
  </xdr:twoCellAnchor>
  <xdr:twoCellAnchor>
    <xdr:from>
      <xdr:col>9</xdr:col>
      <xdr:colOff>711638</xdr:colOff>
      <xdr:row>163</xdr:row>
      <xdr:rowOff>155965</xdr:rowOff>
    </xdr:from>
    <xdr:to>
      <xdr:col>10</xdr:col>
      <xdr:colOff>679561</xdr:colOff>
      <xdr:row>165</xdr:row>
      <xdr:rowOff>43793</xdr:rowOff>
    </xdr:to>
    <xdr:cxnSp macro="">
      <xdr:nvCxnSpPr>
        <xdr:cNvPr id="32" name="Curved Connector 31">
          <a:extLst>
            <a:ext uri="{FF2B5EF4-FFF2-40B4-BE49-F238E27FC236}">
              <a16:creationId xmlns:a16="http://schemas.microsoft.com/office/drawing/2014/main" id="{CCF95730-5584-6B4D-BC2E-9D6A90DB0C20}"/>
            </a:ext>
          </a:extLst>
        </xdr:cNvPr>
        <xdr:cNvCxnSpPr/>
      </xdr:nvCxnSpPr>
      <xdr:spPr>
        <a:xfrm flipV="1">
          <a:off x="11697138" y="41621465"/>
          <a:ext cx="1085523" cy="472028"/>
        </a:xfrm>
        <a:prstGeom prst="curvedConnector3">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11</xdr:col>
      <xdr:colOff>440267</xdr:colOff>
      <xdr:row>167</xdr:row>
      <xdr:rowOff>135467</xdr:rowOff>
    </xdr:from>
    <xdr:ext cx="2190536" cy="468205"/>
    <mc:AlternateContent xmlns:mc="http://schemas.openxmlformats.org/markup-compatibility/2006" xmlns:a14="http://schemas.microsoft.com/office/drawing/2010/main">
      <mc:Choice Requires="a14">
        <xdr:sp macro="" textlink="">
          <xdr:nvSpPr>
            <xdr:cNvPr id="33" name="TextBox 32">
              <a:extLst>
                <a:ext uri="{FF2B5EF4-FFF2-40B4-BE49-F238E27FC236}">
                  <a16:creationId xmlns:a16="http://schemas.microsoft.com/office/drawing/2014/main" id="{4314396A-B71C-9B4D-AA16-1493A764011A}"/>
                </a:ext>
              </a:extLst>
            </xdr:cNvPr>
            <xdr:cNvSpPr txBox="1"/>
          </xdr:nvSpPr>
          <xdr:spPr>
            <a:xfrm>
              <a:off x="13635567" y="42693167"/>
              <a:ext cx="2190536" cy="468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r>
                        <a:rPr lang="it-IT" sz="1600" b="0" i="1">
                          <a:latin typeface="Cambria Math" panose="02040503050406030204" pitchFamily="18" charset="0"/>
                        </a:rPr>
                        <m:t>−</m:t>
                      </m:r>
                      <m:f>
                        <m:fPr>
                          <m:ctrlPr>
                            <a:rPr lang="it-IT" sz="1600" b="0" i="1">
                              <a:latin typeface="Cambria Math" panose="02040503050406030204" pitchFamily="18" charset="0"/>
                            </a:rPr>
                          </m:ctrlPr>
                        </m:fPr>
                        <m:num>
                          <m:sSubSup>
                            <m:sSubSupPr>
                              <m:ctrlPr>
                                <a:rPr lang="it-IT" sz="1600" b="0" i="1">
                                  <a:latin typeface="Cambria Math" panose="02040503050406030204" pitchFamily="18" charset="0"/>
                                </a:rPr>
                              </m:ctrlPr>
                            </m:sSubSupPr>
                            <m:e>
                              <m:r>
                                <a:rPr lang="it-IT" sz="1600" b="0" i="1">
                                  <a:latin typeface="Cambria Math" panose="02040503050406030204" pitchFamily="18" charset="0"/>
                                </a:rPr>
                                <m:t>𝐸</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sup>
                  </m:sSup>
                  <m:r>
                    <a:rPr lang="it-IT" sz="1600" b="0" i="1">
                      <a:latin typeface="Cambria Math" panose="02040503050406030204" pitchFamily="18" charset="0"/>
                    </a:rPr>
                    <m:t>=</m:t>
                  </m:r>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oMath>
              </a14:m>
              <a:r>
                <a:rPr lang="en-US" sz="1600"/>
                <a:t> </a:t>
              </a:r>
            </a:p>
          </xdr:txBody>
        </xdr:sp>
      </mc:Choice>
      <mc:Fallback xmlns="">
        <xdr:sp macro="" textlink="">
          <xdr:nvSpPr>
            <xdr:cNvPr id="33" name="TextBox 32">
              <a:extLst>
                <a:ext uri="{FF2B5EF4-FFF2-40B4-BE49-F238E27FC236}">
                  <a16:creationId xmlns:a16="http://schemas.microsoft.com/office/drawing/2014/main" id="{4314396A-B71C-9B4D-AA16-1493A764011A}"/>
                </a:ext>
              </a:extLst>
            </xdr:cNvPr>
            <xdr:cNvSpPr txBox="1"/>
          </xdr:nvSpPr>
          <xdr:spPr>
            <a:xfrm>
              <a:off x="13635567" y="42693167"/>
              <a:ext cx="2190536" cy="468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𝑡𝑟𝑎𝑛𝑠𝑙=𝑔_𝑒𝑙^0 𝑒^(−(𝐸_𝑒𝑙^0)/(𝑘_𝑏 𝑇))=𝑔_𝑒𝑙^0</a:t>
              </a:r>
              <a:r>
                <a:rPr lang="en-US" sz="1600"/>
                <a:t> </a:t>
              </a:r>
            </a:p>
          </xdr:txBody>
        </xdr:sp>
      </mc:Fallback>
    </mc:AlternateContent>
    <xdr:clientData/>
  </xdr:oneCellAnchor>
  <xdr:twoCellAnchor>
    <xdr:from>
      <xdr:col>9</xdr:col>
      <xdr:colOff>810879</xdr:colOff>
      <xdr:row>54</xdr:row>
      <xdr:rowOff>177230</xdr:rowOff>
    </xdr:from>
    <xdr:to>
      <xdr:col>10</xdr:col>
      <xdr:colOff>813725</xdr:colOff>
      <xdr:row>55</xdr:row>
      <xdr:rowOff>101443</xdr:rowOff>
    </xdr:to>
    <xdr:cxnSp macro="">
      <xdr:nvCxnSpPr>
        <xdr:cNvPr id="34" name="Curved Connector 33">
          <a:extLst>
            <a:ext uri="{FF2B5EF4-FFF2-40B4-BE49-F238E27FC236}">
              <a16:creationId xmlns:a16="http://schemas.microsoft.com/office/drawing/2014/main" id="{4B484970-9AC6-1649-A078-54803958BD0A}"/>
            </a:ext>
          </a:extLst>
        </xdr:cNvPr>
        <xdr:cNvCxnSpPr/>
      </xdr:nvCxnSpPr>
      <xdr:spPr>
        <a:xfrm>
          <a:off x="11796379" y="14833030"/>
          <a:ext cx="1120446" cy="165513"/>
        </a:xfrm>
        <a:prstGeom prst="curvedConnector3">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245533</xdr:colOff>
      <xdr:row>166</xdr:row>
      <xdr:rowOff>118533</xdr:rowOff>
    </xdr:from>
    <xdr:to>
      <xdr:col>11</xdr:col>
      <xdr:colOff>440266</xdr:colOff>
      <xdr:row>168</xdr:row>
      <xdr:rowOff>124036</xdr:rowOff>
    </xdr:to>
    <xdr:cxnSp macro="">
      <xdr:nvCxnSpPr>
        <xdr:cNvPr id="35" name="Curved Connector 34">
          <a:extLst>
            <a:ext uri="{FF2B5EF4-FFF2-40B4-BE49-F238E27FC236}">
              <a16:creationId xmlns:a16="http://schemas.microsoft.com/office/drawing/2014/main" id="{3DD98261-9E79-DC48-9EAB-8EEDFE983525}"/>
            </a:ext>
          </a:extLst>
        </xdr:cNvPr>
        <xdr:cNvCxnSpPr>
          <a:endCxn id="33" idx="1"/>
        </xdr:cNvCxnSpPr>
      </xdr:nvCxnSpPr>
      <xdr:spPr>
        <a:xfrm rot="16200000" flipH="1">
          <a:off x="13281448" y="42581618"/>
          <a:ext cx="513503" cy="194733"/>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8</xdr:col>
      <xdr:colOff>35473</xdr:colOff>
      <xdr:row>164</xdr:row>
      <xdr:rowOff>144956</xdr:rowOff>
    </xdr:from>
    <xdr:ext cx="1272015" cy="578235"/>
    <mc:AlternateContent xmlns:mc="http://schemas.openxmlformats.org/markup-compatibility/2006" xmlns:a14="http://schemas.microsoft.com/office/drawing/2010/main">
      <mc:Choice Requires="a14">
        <xdr:sp macro="" textlink="">
          <xdr:nvSpPr>
            <xdr:cNvPr id="36" name="TextBox 35">
              <a:extLst>
                <a:ext uri="{FF2B5EF4-FFF2-40B4-BE49-F238E27FC236}">
                  <a16:creationId xmlns:a16="http://schemas.microsoft.com/office/drawing/2014/main" id="{60CD29C4-BFC9-FC45-889E-2C3FAEE5B0AE}"/>
                </a:ext>
              </a:extLst>
            </xdr:cNvPr>
            <xdr:cNvSpPr txBox="1"/>
          </xdr:nvSpPr>
          <xdr:spPr>
            <a:xfrm>
              <a:off x="10195473" y="41953356"/>
              <a:ext cx="1272015" cy="5782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2000" b="0" i="1">
                        <a:latin typeface="Cambria Math" panose="02040503050406030204" pitchFamily="18" charset="0"/>
                      </a:rPr>
                      <m:t>=</m:t>
                    </m:r>
                    <m:sSubSup>
                      <m:sSubSupPr>
                        <m:ctrlPr>
                          <a:rPr lang="it-IT" sz="2000" b="0" i="1">
                            <a:latin typeface="Cambria Math" panose="02040503050406030204" pitchFamily="18" charset="0"/>
                          </a:rPr>
                        </m:ctrlPr>
                      </m:sSubSupPr>
                      <m:e>
                        <m:r>
                          <a:rPr lang="it-IT" sz="2000" b="0" i="1">
                            <a:latin typeface="Cambria Math" panose="02040503050406030204" pitchFamily="18" charset="0"/>
                          </a:rPr>
                          <m:t>𝑔</m:t>
                        </m:r>
                      </m:e>
                      <m:sub>
                        <m:r>
                          <a:rPr lang="it-IT" sz="2000" b="0" i="1">
                            <a:latin typeface="Cambria Math" panose="02040503050406030204" pitchFamily="18" charset="0"/>
                          </a:rPr>
                          <m:t>𝑒𝑙</m:t>
                        </m:r>
                      </m:sub>
                      <m:sup>
                        <m:r>
                          <a:rPr lang="it-IT" sz="2000" b="0" i="1">
                            <a:latin typeface="Cambria Math" panose="02040503050406030204" pitchFamily="18" charset="0"/>
                          </a:rPr>
                          <m:t>0</m:t>
                        </m:r>
                      </m:sup>
                    </m:sSubSup>
                    <m:sSup>
                      <m:sSupPr>
                        <m:ctrlPr>
                          <a:rPr lang="it-IT" sz="2000" b="0" i="1">
                            <a:latin typeface="Cambria Math" panose="02040503050406030204" pitchFamily="18" charset="0"/>
                          </a:rPr>
                        </m:ctrlPr>
                      </m:sSupPr>
                      <m:e>
                        <m:r>
                          <a:rPr lang="it-IT" sz="2000" b="0" i="1">
                            <a:latin typeface="Cambria Math" panose="02040503050406030204" pitchFamily="18" charset="0"/>
                          </a:rPr>
                          <m:t>𝑒</m:t>
                        </m:r>
                      </m:e>
                      <m:sup>
                        <m:r>
                          <a:rPr lang="it-IT" sz="2000" b="0" i="1">
                            <a:latin typeface="Cambria Math" panose="02040503050406030204" pitchFamily="18" charset="0"/>
                          </a:rPr>
                          <m:t>−</m:t>
                        </m:r>
                        <m:f>
                          <m:fPr>
                            <m:ctrlPr>
                              <a:rPr lang="it-IT" sz="2000" b="0" i="1">
                                <a:latin typeface="Cambria Math" panose="02040503050406030204" pitchFamily="18" charset="0"/>
                              </a:rPr>
                            </m:ctrlPr>
                          </m:fPr>
                          <m:num>
                            <m:sSubSup>
                              <m:sSubSupPr>
                                <m:ctrlPr>
                                  <a:rPr lang="it-IT" sz="2000" b="0" i="1">
                                    <a:latin typeface="Cambria Math" panose="02040503050406030204" pitchFamily="18" charset="0"/>
                                  </a:rPr>
                                </m:ctrlPr>
                              </m:sSubSupPr>
                              <m:e>
                                <m:r>
                                  <a:rPr lang="it-IT" sz="2000" b="0" i="1">
                                    <a:latin typeface="Cambria Math" panose="02040503050406030204" pitchFamily="18" charset="0"/>
                                  </a:rPr>
                                  <m:t>𝐸</m:t>
                                </m:r>
                              </m:e>
                              <m:sub>
                                <m:r>
                                  <a:rPr lang="it-IT" sz="2000" b="0" i="1">
                                    <a:latin typeface="Cambria Math" panose="02040503050406030204" pitchFamily="18" charset="0"/>
                                  </a:rPr>
                                  <m:t>𝑒𝑙</m:t>
                                </m:r>
                              </m:sub>
                              <m:sup>
                                <m:r>
                                  <a:rPr lang="it-IT" sz="2000" b="0" i="1">
                                    <a:latin typeface="Cambria Math" panose="02040503050406030204" pitchFamily="18" charset="0"/>
                                  </a:rPr>
                                  <m:t>0</m:t>
                                </m:r>
                              </m:sup>
                            </m:sSubSup>
                          </m:num>
                          <m:den>
                            <m:sSub>
                              <m:sSubPr>
                                <m:ctrlPr>
                                  <a:rPr lang="it-IT" sz="2000" b="0" i="1">
                                    <a:latin typeface="Cambria Math" panose="02040503050406030204" pitchFamily="18" charset="0"/>
                                  </a:rPr>
                                </m:ctrlPr>
                              </m:sSubPr>
                              <m:e>
                                <m:r>
                                  <a:rPr lang="it-IT" sz="2000" b="0" i="1">
                                    <a:latin typeface="Cambria Math" panose="02040503050406030204" pitchFamily="18" charset="0"/>
                                  </a:rPr>
                                  <m:t>𝑘</m:t>
                                </m:r>
                              </m:e>
                              <m:sub>
                                <m:r>
                                  <a:rPr lang="it-IT" sz="2000" b="0" i="1">
                                    <a:latin typeface="Cambria Math" panose="02040503050406030204" pitchFamily="18" charset="0"/>
                                  </a:rPr>
                                  <m:t>𝑏</m:t>
                                </m:r>
                              </m:sub>
                            </m:sSub>
                            <m:r>
                              <a:rPr lang="it-IT" sz="2000" b="0" i="1">
                                <a:latin typeface="Cambria Math" panose="02040503050406030204" pitchFamily="18" charset="0"/>
                              </a:rPr>
                              <m:t>𝑇</m:t>
                            </m:r>
                          </m:den>
                        </m:f>
                      </m:sup>
                    </m:sSup>
                  </m:oMath>
                </m:oMathPara>
              </a14:m>
              <a:endParaRPr lang="en-US" sz="2000"/>
            </a:p>
          </xdr:txBody>
        </xdr:sp>
      </mc:Choice>
      <mc:Fallback xmlns="">
        <xdr:sp macro="" textlink="">
          <xdr:nvSpPr>
            <xdr:cNvPr id="36" name="TextBox 35">
              <a:extLst>
                <a:ext uri="{FF2B5EF4-FFF2-40B4-BE49-F238E27FC236}">
                  <a16:creationId xmlns:a16="http://schemas.microsoft.com/office/drawing/2014/main" id="{60CD29C4-BFC9-FC45-889E-2C3FAEE5B0AE}"/>
                </a:ext>
              </a:extLst>
            </xdr:cNvPr>
            <xdr:cNvSpPr txBox="1"/>
          </xdr:nvSpPr>
          <xdr:spPr>
            <a:xfrm>
              <a:off x="10195473" y="41953356"/>
              <a:ext cx="1272015" cy="5782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2000" b="0" i="0">
                  <a:latin typeface="Cambria Math" panose="02040503050406030204" pitchFamily="18" charset="0"/>
                </a:rPr>
                <a:t>=𝑔_𝑒𝑙^0 𝑒^(−(𝐸_𝑒𝑙^0)/(𝑘_𝑏 𝑇))</a:t>
              </a:r>
              <a:endParaRPr lang="en-US" sz="2000"/>
            </a:p>
          </xdr:txBody>
        </xdr:sp>
      </mc:Fallback>
    </mc:AlternateContent>
    <xdr:clientData/>
  </xdr:oneCellAnchor>
  <xdr:twoCellAnchor>
    <xdr:from>
      <xdr:col>7</xdr:col>
      <xdr:colOff>592666</xdr:colOff>
      <xdr:row>179</xdr:row>
      <xdr:rowOff>25400</xdr:rowOff>
    </xdr:from>
    <xdr:to>
      <xdr:col>12</xdr:col>
      <xdr:colOff>762000</xdr:colOff>
      <xdr:row>191</xdr:row>
      <xdr:rowOff>67734</xdr:rowOff>
    </xdr:to>
    <xdr:graphicFrame macro="">
      <xdr:nvGraphicFramePr>
        <xdr:cNvPr id="37" name="Chart 36">
          <a:extLst>
            <a:ext uri="{FF2B5EF4-FFF2-40B4-BE49-F238E27FC236}">
              <a16:creationId xmlns:a16="http://schemas.microsoft.com/office/drawing/2014/main" id="{ACB1EB0F-5C0F-2942-AF4C-DAAF70BB3B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452528</xdr:colOff>
      <xdr:row>198</xdr:row>
      <xdr:rowOff>131380</xdr:rowOff>
    </xdr:from>
    <xdr:to>
      <xdr:col>6</xdr:col>
      <xdr:colOff>613104</xdr:colOff>
      <xdr:row>198</xdr:row>
      <xdr:rowOff>145977</xdr:rowOff>
    </xdr:to>
    <xdr:cxnSp macro="">
      <xdr:nvCxnSpPr>
        <xdr:cNvPr id="38" name="Straight Arrow Connector 37">
          <a:extLst>
            <a:ext uri="{FF2B5EF4-FFF2-40B4-BE49-F238E27FC236}">
              <a16:creationId xmlns:a16="http://schemas.microsoft.com/office/drawing/2014/main" id="{B3FC51C1-E58E-524C-8060-4DA31567D807}"/>
            </a:ext>
          </a:extLst>
        </xdr:cNvPr>
        <xdr:cNvCxnSpPr/>
      </xdr:nvCxnSpPr>
      <xdr:spPr>
        <a:xfrm>
          <a:off x="6002428" y="502455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6</xdr:col>
      <xdr:colOff>646187</xdr:colOff>
      <xdr:row>200</xdr:row>
      <xdr:rowOff>189278</xdr:rowOff>
    </xdr:from>
    <xdr:ext cx="282578" cy="411278"/>
    <mc:AlternateContent xmlns:mc="http://schemas.openxmlformats.org/markup-compatibility/2006" xmlns:a14="http://schemas.microsoft.com/office/drawing/2010/main">
      <mc:Choice Requires="a14">
        <xdr:sp macro="" textlink="">
          <xdr:nvSpPr>
            <xdr:cNvPr id="39" name="TextBox 38">
              <a:extLst>
                <a:ext uri="{FF2B5EF4-FFF2-40B4-BE49-F238E27FC236}">
                  <a16:creationId xmlns:a16="http://schemas.microsoft.com/office/drawing/2014/main" id="{B781C758-5724-AD45-B35B-B4E4DAB2BF2B}"/>
                </a:ext>
              </a:extLst>
            </xdr:cNvPr>
            <xdr:cNvSpPr txBox="1"/>
          </xdr:nvSpPr>
          <xdr:spPr>
            <a:xfrm>
              <a:off x="8659887" y="50862278"/>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en-US" sz="1400" i="1">
                            <a:latin typeface="Cambria Math" panose="02040503050406030204" pitchFamily="18" charset="0"/>
                          </a:rPr>
                        </m:ctrlPr>
                      </m:fPr>
                      <m:num>
                        <m:r>
                          <a:rPr lang="it-IT" sz="1400" b="0" i="1">
                            <a:latin typeface="Cambria Math" panose="02040503050406030204" pitchFamily="18" charset="0"/>
                          </a:rPr>
                          <m:t>3</m:t>
                        </m:r>
                      </m:num>
                      <m:den>
                        <m:r>
                          <a:rPr lang="it-IT" sz="1400" b="0" i="1">
                            <a:latin typeface="Cambria Math" panose="02040503050406030204" pitchFamily="18" charset="0"/>
                          </a:rPr>
                          <m:t>2</m:t>
                        </m:r>
                      </m:den>
                    </m:f>
                    <m:r>
                      <a:rPr lang="it-IT" sz="1400" b="0" i="1">
                        <a:latin typeface="Cambria Math" panose="02040503050406030204" pitchFamily="18" charset="0"/>
                      </a:rPr>
                      <m:t>𝑅</m:t>
                    </m:r>
                  </m:oMath>
                </m:oMathPara>
              </a14:m>
              <a:endParaRPr lang="en-US" sz="1400"/>
            </a:p>
          </xdr:txBody>
        </xdr:sp>
      </mc:Choice>
      <mc:Fallback xmlns="">
        <xdr:sp macro="" textlink="">
          <xdr:nvSpPr>
            <xdr:cNvPr id="39" name="TextBox 38">
              <a:extLst>
                <a:ext uri="{FF2B5EF4-FFF2-40B4-BE49-F238E27FC236}">
                  <a16:creationId xmlns:a16="http://schemas.microsoft.com/office/drawing/2014/main" id="{B781C758-5724-AD45-B35B-B4E4DAB2BF2B}"/>
                </a:ext>
              </a:extLst>
            </xdr:cNvPr>
            <xdr:cNvSpPr txBox="1"/>
          </xdr:nvSpPr>
          <xdr:spPr>
            <a:xfrm>
              <a:off x="8659887" y="50862278"/>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3</a:t>
              </a:r>
              <a:r>
                <a:rPr lang="en-US" sz="1400" b="0" i="0">
                  <a:latin typeface="Cambria Math" panose="02040503050406030204" pitchFamily="18" charset="0"/>
                </a:rPr>
                <a:t>/</a:t>
              </a:r>
              <a:r>
                <a:rPr lang="it-IT" sz="1400" b="0" i="0">
                  <a:latin typeface="Cambria Math" panose="02040503050406030204" pitchFamily="18" charset="0"/>
                </a:rPr>
                <a:t>2 𝑅</a:t>
              </a:r>
              <a:endParaRPr lang="en-US" sz="1400"/>
            </a:p>
          </xdr:txBody>
        </xdr:sp>
      </mc:Fallback>
    </mc:AlternateContent>
    <xdr:clientData/>
  </xdr:oneCellAnchor>
  <xdr:oneCellAnchor>
    <xdr:from>
      <xdr:col>6</xdr:col>
      <xdr:colOff>1173237</xdr:colOff>
      <xdr:row>203</xdr:row>
      <xdr:rowOff>26280</xdr:rowOff>
    </xdr:from>
    <xdr:ext cx="1932324" cy="755976"/>
    <mc:AlternateContent xmlns:mc="http://schemas.openxmlformats.org/markup-compatibility/2006" xmlns:a14="http://schemas.microsoft.com/office/drawing/2010/main">
      <mc:Choice Requires="a14">
        <xdr:sp macro="" textlink="">
          <xdr:nvSpPr>
            <xdr:cNvPr id="40" name="TextBox 39">
              <a:extLst>
                <a:ext uri="{FF2B5EF4-FFF2-40B4-BE49-F238E27FC236}">
                  <a16:creationId xmlns:a16="http://schemas.microsoft.com/office/drawing/2014/main" id="{4E27CEC0-22F6-EE47-A22A-B43E08A992C5}"/>
                </a:ext>
              </a:extLst>
            </xdr:cNvPr>
            <xdr:cNvSpPr txBox="1"/>
          </xdr:nvSpPr>
          <xdr:spPr>
            <a:xfrm>
              <a:off x="9186937" y="51372380"/>
              <a:ext cx="1932324" cy="7559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nary>
                      <m:naryPr>
                        <m:chr m:val="∑"/>
                        <m:supHide m:val="on"/>
                        <m:ctrlPr>
                          <a:rPr lang="it-IT" sz="1400" b="0" i="1">
                            <a:latin typeface="Cambria Math" panose="02040503050406030204" pitchFamily="18" charset="0"/>
                          </a:rPr>
                        </m:ctrlPr>
                      </m:naryPr>
                      <m:sub>
                        <m:r>
                          <m:rPr>
                            <m:brk m:alnAt="7"/>
                          </m:rPr>
                          <a:rPr lang="it-IT" sz="1400" b="0" i="1">
                            <a:latin typeface="Cambria Math" panose="02040503050406030204" pitchFamily="18" charset="0"/>
                          </a:rPr>
                          <m:t>𝑖</m:t>
                        </m:r>
                      </m:sub>
                      <m:sup/>
                      <m:e>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sSubSup>
                                  <m:sSubSupPr>
                                    <m:ctrlPr>
                                      <a:rPr lang="it-IT" sz="1400" b="0" i="1">
                                        <a:latin typeface="Cambria Math" panose="02040503050406030204" pitchFamily="18" charset="0"/>
                                      </a:rPr>
                                    </m:ctrlPr>
                                  </m:sSubSup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up>
                                    <m:r>
                                      <a:rPr lang="it-IT" sz="1400" b="0" i="1">
                                        <a:latin typeface="Cambria Math" panose="02040503050406030204" pitchFamily="18" charset="0"/>
                                      </a:rPr>
                                      <m:t>2</m:t>
                                    </m:r>
                                  </m:sup>
                                </m:sSubSup>
                                <m:sSup>
                                  <m:sSupPr>
                                    <m:ctrlPr>
                                      <a:rPr lang="it-IT" sz="1400" b="0" i="1">
                                        <a:latin typeface="Cambria Math" panose="02040503050406030204" pitchFamily="18" charset="0"/>
                                      </a:rPr>
                                    </m:ctrlPr>
                                  </m:sSupPr>
                                  <m:e>
                                    <m:r>
                                      <a:rPr lang="it-IT" sz="1400" b="0" i="1">
                                        <a:latin typeface="Cambria Math" panose="02040503050406030204" pitchFamily="18" charset="0"/>
                                      </a:rPr>
                                      <m:t> </m:t>
                                    </m:r>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num>
                              <m:den>
                                <m:sSup>
                                  <m:sSupPr>
                                    <m:ctrlPr>
                                      <a:rPr lang="it-IT" sz="1400" b="0" i="1">
                                        <a:latin typeface="Cambria Math" panose="02040503050406030204" pitchFamily="18" charset="0"/>
                                      </a:rPr>
                                    </m:ctrlPr>
                                  </m:sSupPr>
                                  <m:e>
                                    <m:r>
                                      <a:rPr lang="it-IT" sz="1400" b="0" i="1">
                                        <a:latin typeface="Cambria Math" panose="02040503050406030204" pitchFamily="18" charset="0"/>
                                      </a:rPr>
                                      <m:t>𝑇</m:t>
                                    </m:r>
                                  </m:e>
                                  <m:sup>
                                    <m:r>
                                      <a:rPr lang="it-IT" sz="1400" b="0" i="1">
                                        <a:latin typeface="Cambria Math" panose="02040503050406030204" pitchFamily="18" charset="0"/>
                                      </a:rPr>
                                      <m:t>2</m:t>
                                    </m:r>
                                  </m:sup>
                                </m:sSup>
                                <m:sSup>
                                  <m:sSupPr>
                                    <m:ctrlPr>
                                      <a:rPr lang="it-IT" sz="1400" b="0" i="1">
                                        <a:latin typeface="Cambria Math" panose="02040503050406030204" pitchFamily="18" charset="0"/>
                                      </a:rPr>
                                    </m:ctrlPr>
                                  </m:sSupPr>
                                  <m:e>
                                    <m:d>
                                      <m:dPr>
                                        <m:ctrlPr>
                                          <a:rPr lang="it-IT" sz="1400" b="0" i="1">
                                            <a:latin typeface="Cambria Math" panose="02040503050406030204" pitchFamily="18" charset="0"/>
                                          </a:rPr>
                                        </m:ctrlPr>
                                      </m:dPr>
                                      <m:e>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r>
                                          <a:rPr lang="it-IT" sz="1400" b="0" i="1">
                                            <a:latin typeface="Cambria Math" panose="02040503050406030204" pitchFamily="18" charset="0"/>
                                          </a:rPr>
                                          <m:t>−1</m:t>
                                        </m:r>
                                      </m:e>
                                    </m:d>
                                  </m:e>
                                  <m:sup>
                                    <m:r>
                                      <a:rPr lang="it-IT" sz="1400" b="0" i="1">
                                        <a:latin typeface="Cambria Math" panose="02040503050406030204" pitchFamily="18" charset="0"/>
                                      </a:rPr>
                                      <m:t>2</m:t>
                                    </m:r>
                                  </m:sup>
                                </m:sSup>
                              </m:den>
                            </m:f>
                          </m:e>
                        </m:d>
                      </m:e>
                    </m:nary>
                  </m:oMath>
                </m:oMathPara>
              </a14:m>
              <a:endParaRPr lang="en-US" sz="1400"/>
            </a:p>
          </xdr:txBody>
        </xdr:sp>
      </mc:Choice>
      <mc:Fallback xmlns="">
        <xdr:sp macro="" textlink="">
          <xdr:nvSpPr>
            <xdr:cNvPr id="40" name="TextBox 39">
              <a:extLst>
                <a:ext uri="{FF2B5EF4-FFF2-40B4-BE49-F238E27FC236}">
                  <a16:creationId xmlns:a16="http://schemas.microsoft.com/office/drawing/2014/main" id="{4E27CEC0-22F6-EE47-A22A-B43E08A992C5}"/>
                </a:ext>
              </a:extLst>
            </xdr:cNvPr>
            <xdr:cNvSpPr txBox="1"/>
          </xdr:nvSpPr>
          <xdr:spPr>
            <a:xfrm>
              <a:off x="9186937" y="51372380"/>
              <a:ext cx="1932324" cy="7559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0" i="0">
                  <a:latin typeface="Cambria Math" panose="02040503050406030204" pitchFamily="18" charset="0"/>
                </a:rPr>
                <a:t>𝑅∑_𝑖▒((</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𝑣𝑖𝑏,𝑖)^2 〖 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𝑣𝑖𝑏,𝑖)/𝑇))/(𝑇^2 (𝑒^(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𝑣𝑖𝑏,𝑖)/𝑇)−1)^2 )) </a:t>
              </a:r>
              <a:endParaRPr lang="en-US" sz="1400"/>
            </a:p>
          </xdr:txBody>
        </xdr:sp>
      </mc:Fallback>
    </mc:AlternateContent>
    <xdr:clientData/>
  </xdr:oneCellAnchor>
  <xdr:oneCellAnchor>
    <xdr:from>
      <xdr:col>10</xdr:col>
      <xdr:colOff>65896</xdr:colOff>
      <xdr:row>202</xdr:row>
      <xdr:rowOff>195140</xdr:rowOff>
    </xdr:from>
    <xdr:ext cx="282578" cy="411278"/>
    <mc:AlternateContent xmlns:mc="http://schemas.openxmlformats.org/markup-compatibility/2006" xmlns:a14="http://schemas.microsoft.com/office/drawing/2010/main">
      <mc:Choice Requires="a14">
        <xdr:sp macro="" textlink="">
          <xdr:nvSpPr>
            <xdr:cNvPr id="41" name="TextBox 40">
              <a:extLst>
                <a:ext uri="{FF2B5EF4-FFF2-40B4-BE49-F238E27FC236}">
                  <a16:creationId xmlns:a16="http://schemas.microsoft.com/office/drawing/2014/main" id="{07D95E3F-ACF3-6547-9A00-87C5B607A00C}"/>
                </a:ext>
              </a:extLst>
            </xdr:cNvPr>
            <xdr:cNvSpPr txBox="1"/>
          </xdr:nvSpPr>
          <xdr:spPr>
            <a:xfrm>
              <a:off x="12168996" y="51287240"/>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en-US" sz="1400" i="1">
                            <a:latin typeface="Cambria Math" panose="02040503050406030204" pitchFamily="18" charset="0"/>
                          </a:rPr>
                        </m:ctrlPr>
                      </m:fPr>
                      <m:num>
                        <m:r>
                          <a:rPr lang="it-IT" sz="1400" b="0" i="1">
                            <a:latin typeface="Cambria Math" panose="02040503050406030204" pitchFamily="18" charset="0"/>
                          </a:rPr>
                          <m:t>3</m:t>
                        </m:r>
                      </m:num>
                      <m:den>
                        <m:r>
                          <a:rPr lang="it-IT" sz="1400" b="0" i="1">
                            <a:latin typeface="Cambria Math" panose="02040503050406030204" pitchFamily="18" charset="0"/>
                          </a:rPr>
                          <m:t>2</m:t>
                        </m:r>
                      </m:den>
                    </m:f>
                    <m:r>
                      <a:rPr lang="it-IT" sz="1400" b="0" i="1">
                        <a:latin typeface="Cambria Math" panose="02040503050406030204" pitchFamily="18" charset="0"/>
                      </a:rPr>
                      <m:t>𝑅</m:t>
                    </m:r>
                  </m:oMath>
                </m:oMathPara>
              </a14:m>
              <a:endParaRPr lang="en-US" sz="1400"/>
            </a:p>
          </xdr:txBody>
        </xdr:sp>
      </mc:Choice>
      <mc:Fallback xmlns="">
        <xdr:sp macro="" textlink="">
          <xdr:nvSpPr>
            <xdr:cNvPr id="41" name="TextBox 40">
              <a:extLst>
                <a:ext uri="{FF2B5EF4-FFF2-40B4-BE49-F238E27FC236}">
                  <a16:creationId xmlns:a16="http://schemas.microsoft.com/office/drawing/2014/main" id="{07D95E3F-ACF3-6547-9A00-87C5B607A00C}"/>
                </a:ext>
              </a:extLst>
            </xdr:cNvPr>
            <xdr:cNvSpPr txBox="1"/>
          </xdr:nvSpPr>
          <xdr:spPr>
            <a:xfrm>
              <a:off x="12168996" y="51287240"/>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3</a:t>
              </a:r>
              <a:r>
                <a:rPr lang="en-US" sz="1400" b="0" i="0">
                  <a:latin typeface="Cambria Math" panose="02040503050406030204" pitchFamily="18" charset="0"/>
                </a:rPr>
                <a:t>/</a:t>
              </a:r>
              <a:r>
                <a:rPr lang="it-IT" sz="1400" b="0" i="0">
                  <a:latin typeface="Cambria Math" panose="02040503050406030204" pitchFamily="18" charset="0"/>
                </a:rPr>
                <a:t>2 𝑅</a:t>
              </a:r>
              <a:endParaRPr lang="en-US" sz="1400"/>
            </a:p>
          </xdr:txBody>
        </xdr:sp>
      </mc:Fallback>
    </mc:AlternateContent>
    <xdr:clientData/>
  </xdr:oneCellAnchor>
  <xdr:oneCellAnchor>
    <xdr:from>
      <xdr:col>11</xdr:col>
      <xdr:colOff>218296</xdr:colOff>
      <xdr:row>200</xdr:row>
      <xdr:rowOff>146049</xdr:rowOff>
    </xdr:from>
    <xdr:ext cx="282578" cy="411278"/>
    <xdr:sp macro="" textlink="">
      <xdr:nvSpPr>
        <xdr:cNvPr id="42" name="TextBox 41">
          <a:extLst>
            <a:ext uri="{FF2B5EF4-FFF2-40B4-BE49-F238E27FC236}">
              <a16:creationId xmlns:a16="http://schemas.microsoft.com/office/drawing/2014/main" id="{5C4D3D50-CBE0-9047-9FD7-26BE6A8C0475}"/>
            </a:ext>
          </a:extLst>
        </xdr:cNvPr>
        <xdr:cNvSpPr txBox="1"/>
      </xdr:nvSpPr>
      <xdr:spPr>
        <a:xfrm>
          <a:off x="13413596" y="50819049"/>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en-US" sz="1400"/>
            <a:t>0</a:t>
          </a:r>
        </a:p>
      </xdr:txBody>
    </xdr:sp>
    <xdr:clientData/>
  </xdr:oneCellAnchor>
  <xdr:twoCellAnchor>
    <xdr:from>
      <xdr:col>6</xdr:col>
      <xdr:colOff>1025769</xdr:colOff>
      <xdr:row>199</xdr:row>
      <xdr:rowOff>61058</xdr:rowOff>
    </xdr:from>
    <xdr:to>
      <xdr:col>7</xdr:col>
      <xdr:colOff>378558</xdr:colOff>
      <xdr:row>201</xdr:row>
      <xdr:rowOff>67164</xdr:rowOff>
    </xdr:to>
    <xdr:cxnSp macro="">
      <xdr:nvCxnSpPr>
        <xdr:cNvPr id="43" name="Straight Arrow Connector 42">
          <a:extLst>
            <a:ext uri="{FF2B5EF4-FFF2-40B4-BE49-F238E27FC236}">
              <a16:creationId xmlns:a16="http://schemas.microsoft.com/office/drawing/2014/main" id="{209123B0-3AA8-FE40-9A26-12BA88A522F9}"/>
            </a:ext>
          </a:extLst>
        </xdr:cNvPr>
        <xdr:cNvCxnSpPr/>
      </xdr:nvCxnSpPr>
      <xdr:spPr>
        <a:xfrm flipH="1">
          <a:off x="9039469" y="50530858"/>
          <a:ext cx="635489" cy="412506"/>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177800</xdr:colOff>
      <xdr:row>199</xdr:row>
      <xdr:rowOff>42496</xdr:rowOff>
    </xdr:from>
    <xdr:to>
      <xdr:col>8</xdr:col>
      <xdr:colOff>390525</xdr:colOff>
      <xdr:row>202</xdr:row>
      <xdr:rowOff>152400</xdr:rowOff>
    </xdr:to>
    <xdr:cxnSp macro="">
      <xdr:nvCxnSpPr>
        <xdr:cNvPr id="44" name="Straight Arrow Connector 43">
          <a:extLst>
            <a:ext uri="{FF2B5EF4-FFF2-40B4-BE49-F238E27FC236}">
              <a16:creationId xmlns:a16="http://schemas.microsoft.com/office/drawing/2014/main" id="{5F68C1D9-BDA9-EC41-BB9D-2DA88E199865}"/>
            </a:ext>
          </a:extLst>
        </xdr:cNvPr>
        <xdr:cNvCxnSpPr/>
      </xdr:nvCxnSpPr>
      <xdr:spPr>
        <a:xfrm flipH="1">
          <a:off x="10337800" y="50512296"/>
          <a:ext cx="212725" cy="732204"/>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427403</xdr:colOff>
      <xdr:row>199</xdr:row>
      <xdr:rowOff>48846</xdr:rowOff>
    </xdr:from>
    <xdr:to>
      <xdr:col>9</xdr:col>
      <xdr:colOff>854807</xdr:colOff>
      <xdr:row>203</xdr:row>
      <xdr:rowOff>42740</xdr:rowOff>
    </xdr:to>
    <xdr:cxnSp macro="">
      <xdr:nvCxnSpPr>
        <xdr:cNvPr id="45" name="Straight Arrow Connector 44">
          <a:extLst>
            <a:ext uri="{FF2B5EF4-FFF2-40B4-BE49-F238E27FC236}">
              <a16:creationId xmlns:a16="http://schemas.microsoft.com/office/drawing/2014/main" id="{0F23EF30-DC2E-6A48-B58D-66D0A3A3F656}"/>
            </a:ext>
          </a:extLst>
        </xdr:cNvPr>
        <xdr:cNvCxnSpPr/>
      </xdr:nvCxnSpPr>
      <xdr:spPr>
        <a:xfrm>
          <a:off x="11412903" y="50518646"/>
          <a:ext cx="427404" cy="870194"/>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500674</xdr:colOff>
      <xdr:row>199</xdr:row>
      <xdr:rowOff>42741</xdr:rowOff>
    </xdr:from>
    <xdr:to>
      <xdr:col>11</xdr:col>
      <xdr:colOff>116010</xdr:colOff>
      <xdr:row>200</xdr:row>
      <xdr:rowOff>195384</xdr:rowOff>
    </xdr:to>
    <xdr:cxnSp macro="">
      <xdr:nvCxnSpPr>
        <xdr:cNvPr id="46" name="Straight Arrow Connector 45">
          <a:extLst>
            <a:ext uri="{FF2B5EF4-FFF2-40B4-BE49-F238E27FC236}">
              <a16:creationId xmlns:a16="http://schemas.microsoft.com/office/drawing/2014/main" id="{6EEE1650-80C1-084D-982F-94190EE734CF}"/>
            </a:ext>
          </a:extLst>
        </xdr:cNvPr>
        <xdr:cNvCxnSpPr/>
      </xdr:nvCxnSpPr>
      <xdr:spPr>
        <a:xfrm>
          <a:off x="12603774" y="50512541"/>
          <a:ext cx="707536" cy="355843"/>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11</xdr:col>
      <xdr:colOff>772161</xdr:colOff>
      <xdr:row>198</xdr:row>
      <xdr:rowOff>233681</xdr:rowOff>
    </xdr:from>
    <xdr:to>
      <xdr:col>14</xdr:col>
      <xdr:colOff>650241</xdr:colOff>
      <xdr:row>201</xdr:row>
      <xdr:rowOff>162561</xdr:rowOff>
    </xdr:to>
    <xdr:sp macro="" textlink="">
      <xdr:nvSpPr>
        <xdr:cNvPr id="47" name="Rectangle 46">
          <a:extLst>
            <a:ext uri="{FF2B5EF4-FFF2-40B4-BE49-F238E27FC236}">
              <a16:creationId xmlns:a16="http://schemas.microsoft.com/office/drawing/2014/main" id="{E8F81728-FF0F-AD44-82A6-C2B6F0DF38C9}"/>
            </a:ext>
          </a:extLst>
        </xdr:cNvPr>
        <xdr:cNvSpPr/>
      </xdr:nvSpPr>
      <xdr:spPr>
        <a:xfrm>
          <a:off x="13967461" y="50347881"/>
          <a:ext cx="3192780" cy="69088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No</a:t>
          </a:r>
          <a:r>
            <a:rPr lang="en-US" sz="1100" b="1" baseline="0"/>
            <a:t> contribution from the electronic motion, due to the lack of T dependence in the partition function</a:t>
          </a:r>
          <a:endParaRPr lang="en-US" sz="1100" b="1"/>
        </a:p>
      </xdr:txBody>
    </xdr:sp>
    <xdr:clientData/>
  </xdr:twoCellAnchor>
  <xdr:twoCellAnchor>
    <xdr:from>
      <xdr:col>9</xdr:col>
      <xdr:colOff>425450</xdr:colOff>
      <xdr:row>219</xdr:row>
      <xdr:rowOff>88900</xdr:rowOff>
    </xdr:from>
    <xdr:to>
      <xdr:col>14</xdr:col>
      <xdr:colOff>863600</xdr:colOff>
      <xdr:row>232</xdr:row>
      <xdr:rowOff>25400</xdr:rowOff>
    </xdr:to>
    <xdr:graphicFrame macro="">
      <xdr:nvGraphicFramePr>
        <xdr:cNvPr id="48" name="Chart 47">
          <a:extLst>
            <a:ext uri="{FF2B5EF4-FFF2-40B4-BE49-F238E27FC236}">
              <a16:creationId xmlns:a16="http://schemas.microsoft.com/office/drawing/2014/main" id="{1E3ED1DF-E2AB-A94C-A45F-446DA595A7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452528</xdr:colOff>
      <xdr:row>239</xdr:row>
      <xdr:rowOff>131380</xdr:rowOff>
    </xdr:from>
    <xdr:to>
      <xdr:col>6</xdr:col>
      <xdr:colOff>613104</xdr:colOff>
      <xdr:row>239</xdr:row>
      <xdr:rowOff>145977</xdr:rowOff>
    </xdr:to>
    <xdr:cxnSp macro="">
      <xdr:nvCxnSpPr>
        <xdr:cNvPr id="49" name="Straight Arrow Connector 48">
          <a:extLst>
            <a:ext uri="{FF2B5EF4-FFF2-40B4-BE49-F238E27FC236}">
              <a16:creationId xmlns:a16="http://schemas.microsoft.com/office/drawing/2014/main" id="{4DBE5A5F-835E-5B4E-A8B1-D06E715843F3}"/>
            </a:ext>
          </a:extLst>
        </xdr:cNvPr>
        <xdr:cNvCxnSpPr/>
      </xdr:nvCxnSpPr>
      <xdr:spPr>
        <a:xfrm>
          <a:off x="6002428" y="603674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5</xdr:col>
      <xdr:colOff>1067016</xdr:colOff>
      <xdr:row>242</xdr:row>
      <xdr:rowOff>105207</xdr:rowOff>
    </xdr:from>
    <xdr:ext cx="1450440" cy="683845"/>
    <mc:AlternateContent xmlns:mc="http://schemas.openxmlformats.org/markup-compatibility/2006" xmlns:a14="http://schemas.microsoft.com/office/drawing/2010/main">
      <mc:Choice Requires="a14">
        <xdr:sp macro="" textlink="">
          <xdr:nvSpPr>
            <xdr:cNvPr id="50" name="TextBox 49">
              <a:extLst>
                <a:ext uri="{FF2B5EF4-FFF2-40B4-BE49-F238E27FC236}">
                  <a16:creationId xmlns:a16="http://schemas.microsoft.com/office/drawing/2014/main" id="{A4B07C36-4A8F-8F47-BB52-740D29ACA34E}"/>
                </a:ext>
              </a:extLst>
            </xdr:cNvPr>
            <xdr:cNvSpPr txBox="1"/>
          </xdr:nvSpPr>
          <xdr:spPr>
            <a:xfrm>
              <a:off x="7988516" y="61103307"/>
              <a:ext cx="1450440" cy="683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r>
                      <a:rPr lang="it-IT" sz="1400" b="0" i="1">
                        <a:latin typeface="Cambria Math" panose="02040503050406030204" pitchFamily="18" charset="0"/>
                      </a:rPr>
                      <m:t> </m:t>
                    </m:r>
                    <m:r>
                      <a:rPr lang="it-IT" sz="1400" b="0" i="1">
                        <a:latin typeface="Cambria Math" panose="02040503050406030204" pitchFamily="18" charset="0"/>
                      </a:rPr>
                      <m:t>𝑙𝑛</m:t>
                    </m:r>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acc>
                              <m:accPr>
                                <m:chr m:val="̃"/>
                                <m:ctrlPr>
                                  <a:rPr lang="it-IT" sz="1400" b="0" i="1">
                                    <a:latin typeface="Cambria Math" panose="02040503050406030204" pitchFamily="18" charset="0"/>
                                  </a:rPr>
                                </m:ctrlPr>
                              </m:accPr>
                              <m:e>
                                <m:r>
                                  <a:rPr lang="it-IT" sz="1400" b="0" i="1">
                                    <a:latin typeface="Cambria Math" panose="02040503050406030204" pitchFamily="18" charset="0"/>
                                  </a:rPr>
                                  <m:t>𝑉</m:t>
                                </m:r>
                              </m:e>
                            </m:acc>
                          </m:num>
                          <m:den>
                            <m:sSub>
                              <m:sSubPr>
                                <m:ctrlPr>
                                  <a:rPr lang="it-IT" sz="1400" b="0" i="1">
                                    <a:latin typeface="Cambria Math" panose="02040503050406030204" pitchFamily="18" charset="0"/>
                                  </a:rPr>
                                </m:ctrlPr>
                              </m:sSubPr>
                              <m:e>
                                <m:r>
                                  <a:rPr lang="it-IT" sz="1400" b="0" i="1">
                                    <a:latin typeface="Cambria Math" panose="02040503050406030204" pitchFamily="18" charset="0"/>
                                  </a:rPr>
                                  <m:t>𝑁</m:t>
                                </m:r>
                              </m:e>
                              <m:sub>
                                <m:r>
                                  <a:rPr lang="it-IT" sz="1400" b="0" i="1">
                                    <a:latin typeface="Cambria Math" panose="02040503050406030204" pitchFamily="18" charset="0"/>
                                  </a:rPr>
                                  <m:t>𝑎𝑣𝑜</m:t>
                                </m:r>
                              </m:sub>
                            </m:sSub>
                          </m:den>
                        </m:f>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r>
                                  <a:rPr lang="it-IT" sz="1400" b="0" i="1">
                                    <a:latin typeface="Cambria Math" panose="02040503050406030204" pitchFamily="18" charset="0"/>
                                  </a:rPr>
                                  <m:t>5</m:t>
                                </m:r>
                              </m:num>
                              <m:den>
                                <m:r>
                                  <a:rPr lang="it-IT" sz="1400" b="0" i="1">
                                    <a:latin typeface="Cambria Math" panose="02040503050406030204" pitchFamily="18" charset="0"/>
                                  </a:rPr>
                                  <m:t>2</m:t>
                                </m:r>
                              </m:den>
                            </m:f>
                          </m:sup>
                        </m:sSup>
                        <m:r>
                          <a:rPr lang="it-IT" sz="1400" b="0" i="1">
                            <a:latin typeface="Cambria Math" panose="02040503050406030204" pitchFamily="18" charset="0"/>
                          </a:rPr>
                          <m:t> </m:t>
                        </m:r>
                        <m:r>
                          <a:rPr lang="it-IT" sz="1400" b="0" i="1">
                            <a:latin typeface="Cambria Math" panose="02040503050406030204" pitchFamily="18" charset="0"/>
                          </a:rPr>
                          <m:t>𝐴</m:t>
                        </m:r>
                      </m:e>
                    </m:d>
                  </m:oMath>
                </m:oMathPara>
              </a14:m>
              <a:endParaRPr lang="en-US" sz="1400"/>
            </a:p>
          </xdr:txBody>
        </xdr:sp>
      </mc:Choice>
      <mc:Fallback xmlns="">
        <xdr:sp macro="" textlink="">
          <xdr:nvSpPr>
            <xdr:cNvPr id="50" name="TextBox 49">
              <a:extLst>
                <a:ext uri="{FF2B5EF4-FFF2-40B4-BE49-F238E27FC236}">
                  <a16:creationId xmlns:a16="http://schemas.microsoft.com/office/drawing/2014/main" id="{A4B07C36-4A8F-8F47-BB52-740D29ACA34E}"/>
                </a:ext>
              </a:extLst>
            </xdr:cNvPr>
            <xdr:cNvSpPr txBox="1"/>
          </xdr:nvSpPr>
          <xdr:spPr>
            <a:xfrm>
              <a:off x="7988516" y="61103307"/>
              <a:ext cx="1450440" cy="683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 𝑙𝑛(𝑉 ̃/𝑁_𝑎𝑣𝑜  𝑒^(5/2)  𝐴)</a:t>
              </a:r>
              <a:endParaRPr lang="en-US" sz="1400"/>
            </a:p>
          </xdr:txBody>
        </xdr:sp>
      </mc:Fallback>
    </mc:AlternateContent>
    <xdr:clientData/>
  </xdr:oneCellAnchor>
  <xdr:oneCellAnchor>
    <xdr:from>
      <xdr:col>6</xdr:col>
      <xdr:colOff>970337</xdr:colOff>
      <xdr:row>244</xdr:row>
      <xdr:rowOff>214150</xdr:rowOff>
    </xdr:from>
    <xdr:ext cx="3071931" cy="829907"/>
    <mc:AlternateContent xmlns:mc="http://schemas.openxmlformats.org/markup-compatibility/2006" xmlns:a14="http://schemas.microsoft.com/office/drawing/2010/main">
      <mc:Choice Requires="a14">
        <xdr:sp macro="" textlink="">
          <xdr:nvSpPr>
            <xdr:cNvPr id="51" name="TextBox 50">
              <a:extLst>
                <a:ext uri="{FF2B5EF4-FFF2-40B4-BE49-F238E27FC236}">
                  <a16:creationId xmlns:a16="http://schemas.microsoft.com/office/drawing/2014/main" id="{6C99EE4A-2235-9740-8148-E200FE8DF858}"/>
                </a:ext>
              </a:extLst>
            </xdr:cNvPr>
            <xdr:cNvSpPr txBox="1"/>
          </xdr:nvSpPr>
          <xdr:spPr>
            <a:xfrm>
              <a:off x="8984037" y="61669450"/>
              <a:ext cx="3071931" cy="8299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nary>
                      <m:naryPr>
                        <m:chr m:val="∑"/>
                        <m:supHide m:val="on"/>
                        <m:ctrlPr>
                          <a:rPr lang="it-IT" sz="1400" b="0" i="1">
                            <a:latin typeface="Cambria Math" panose="02040503050406030204" pitchFamily="18" charset="0"/>
                          </a:rPr>
                        </m:ctrlPr>
                      </m:naryPr>
                      <m:sub>
                        <m:r>
                          <m:rPr>
                            <m:brk m:alnAt="7"/>
                          </m:rPr>
                          <a:rPr lang="it-IT" sz="1400" b="0" i="1">
                            <a:latin typeface="Cambria Math" panose="02040503050406030204" pitchFamily="18" charset="0"/>
                          </a:rPr>
                          <m:t>𝑖</m:t>
                        </m:r>
                      </m:sub>
                      <m:sup/>
                      <m:e>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num>
                              <m:den>
                                <m:d>
                                  <m:dPr>
                                    <m:ctrlPr>
                                      <a:rPr lang="it-IT" sz="1400" b="0" i="1">
                                        <a:latin typeface="Cambria Math" panose="02040503050406030204" pitchFamily="18" charset="0"/>
                                      </a:rPr>
                                    </m:ctrlPr>
                                  </m:dPr>
                                  <m:e>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r>
                                      <a:rPr lang="it-IT" sz="1400" b="0" i="1">
                                        <a:latin typeface="Cambria Math" panose="02040503050406030204" pitchFamily="18" charset="0"/>
                                      </a:rPr>
                                      <m:t>−1</m:t>
                                    </m:r>
                                  </m:e>
                                </m:d>
                              </m:den>
                            </m:f>
                            <m:r>
                              <a:rPr lang="it-IT" sz="1400" b="0" i="1">
                                <a:latin typeface="Cambria Math" panose="02040503050406030204" pitchFamily="18" charset="0"/>
                              </a:rPr>
                              <m:t>−</m:t>
                            </m:r>
                            <m:r>
                              <a:rPr lang="it-IT" sz="1400" b="0" i="1">
                                <a:latin typeface="Cambria Math" panose="02040503050406030204" pitchFamily="18" charset="0"/>
                              </a:rPr>
                              <m:t>𝑙𝑛</m:t>
                            </m:r>
                            <m:d>
                              <m:dPr>
                                <m:ctrlPr>
                                  <a:rPr lang="it-IT" sz="1400" b="0" i="1">
                                    <a:latin typeface="Cambria Math" panose="02040503050406030204" pitchFamily="18" charset="0"/>
                                  </a:rPr>
                                </m:ctrlPr>
                              </m:dPr>
                              <m:e>
                                <m:r>
                                  <a:rPr lang="it-IT" sz="1400" b="0" i="1">
                                    <a:latin typeface="Cambria Math" panose="02040503050406030204" pitchFamily="18" charset="0"/>
                                  </a:rPr>
                                  <m:t>1−</m:t>
                                </m:r>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r>
                                      <a:rPr lang="it-IT" sz="1400" b="0" i="1">
                                        <a:latin typeface="Cambria Math" panose="02040503050406030204" pitchFamily="18" charset="0"/>
                                      </a:rPr>
                                      <m:t>−</m:t>
                                    </m:r>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e>
                            </m:d>
                          </m:e>
                        </m:d>
                      </m:e>
                    </m:nary>
                  </m:oMath>
                </m:oMathPara>
              </a14:m>
              <a:endParaRPr lang="en-US" sz="1400"/>
            </a:p>
          </xdr:txBody>
        </xdr:sp>
      </mc:Choice>
      <mc:Fallback xmlns="">
        <xdr:sp macro="" textlink="">
          <xdr:nvSpPr>
            <xdr:cNvPr id="51" name="TextBox 50">
              <a:extLst>
                <a:ext uri="{FF2B5EF4-FFF2-40B4-BE49-F238E27FC236}">
                  <a16:creationId xmlns:a16="http://schemas.microsoft.com/office/drawing/2014/main" id="{6C99EE4A-2235-9740-8148-E200FE8DF858}"/>
                </a:ext>
              </a:extLst>
            </xdr:cNvPr>
            <xdr:cNvSpPr txBox="1"/>
          </xdr:nvSpPr>
          <xdr:spPr>
            <a:xfrm>
              <a:off x="8984037" y="61669450"/>
              <a:ext cx="3071931" cy="8299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0" i="0">
                  <a:latin typeface="Cambria Math" panose="02040503050406030204" pitchFamily="18" charset="0"/>
                </a:rPr>
                <a:t>𝑅∑_𝑖▒((</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𝑣𝑖𝑏,𝑖)/𝑇)−1) )−𝑙𝑛(1−𝑒^(−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 )) </a:t>
              </a:r>
              <a:endParaRPr lang="en-US" sz="1400"/>
            </a:p>
          </xdr:txBody>
        </xdr:sp>
      </mc:Fallback>
    </mc:AlternateContent>
    <xdr:clientData/>
  </xdr:oneCellAnchor>
  <xdr:oneCellAnchor>
    <xdr:from>
      <xdr:col>10</xdr:col>
      <xdr:colOff>65895</xdr:colOff>
      <xdr:row>243</xdr:row>
      <xdr:rowOff>195140</xdr:rowOff>
    </xdr:from>
    <xdr:ext cx="1219133" cy="556340"/>
    <mc:AlternateContent xmlns:mc="http://schemas.openxmlformats.org/markup-compatibility/2006" xmlns:a14="http://schemas.microsoft.com/office/drawing/2010/main">
      <mc:Choice Requires="a14">
        <xdr:sp macro="" textlink="">
          <xdr:nvSpPr>
            <xdr:cNvPr id="52" name="TextBox 51">
              <a:extLst>
                <a:ext uri="{FF2B5EF4-FFF2-40B4-BE49-F238E27FC236}">
                  <a16:creationId xmlns:a16="http://schemas.microsoft.com/office/drawing/2014/main" id="{FB9DDB63-7C41-AF47-B899-ADC79374F2FB}"/>
                </a:ext>
              </a:extLst>
            </xdr:cNvPr>
            <xdr:cNvSpPr txBox="1"/>
          </xdr:nvSpPr>
          <xdr:spPr>
            <a:xfrm>
              <a:off x="12168995" y="61396440"/>
              <a:ext cx="1219133" cy="556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𝑅𝑙𝑛</m:t>
                    </m:r>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r>
                              <a:rPr lang="it-IT" sz="1400" b="0" i="1">
                                <a:latin typeface="Cambria Math" panose="02040503050406030204" pitchFamily="18" charset="0"/>
                              </a:rPr>
                              <m:t>𝑒𝑇</m:t>
                            </m:r>
                          </m:num>
                          <m:den>
                            <m:r>
                              <a:rPr lang="it-IT" sz="1400" b="0" i="1">
                                <a:latin typeface="Cambria Math" panose="02040503050406030204" pitchFamily="18" charset="0"/>
                                <a:ea typeface="Cambria Math" panose="02040503050406030204" pitchFamily="18" charset="0"/>
                              </a:rPr>
                              <m:t>𝜎</m:t>
                            </m:r>
                            <m:r>
                              <a:rPr lang="it-IT" sz="1400" b="0" i="1">
                                <a:latin typeface="Cambria Math" panose="02040503050406030204" pitchFamily="18" charset="0"/>
                                <a:ea typeface="Cambria Math" panose="02040503050406030204" pitchFamily="18" charset="0"/>
                              </a:rPr>
                              <m:t> </m:t>
                            </m:r>
                            <m:sSub>
                              <m:sSubPr>
                                <m:ctrlPr>
                                  <a:rPr lang="it-IT" sz="1400" b="0" i="1">
                                    <a:latin typeface="Cambria Math" panose="02040503050406030204" pitchFamily="18" charset="0"/>
                                    <a:ea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ea typeface="Cambria Math" panose="02040503050406030204" pitchFamily="18" charset="0"/>
                                  </a:rPr>
                                  <m:t>𝑟𝑜𝑡</m:t>
                                </m:r>
                              </m:sub>
                            </m:sSub>
                          </m:den>
                        </m:f>
                      </m:e>
                    </m:d>
                  </m:oMath>
                </m:oMathPara>
              </a14:m>
              <a:endParaRPr lang="en-US" sz="1400"/>
            </a:p>
          </xdr:txBody>
        </xdr:sp>
      </mc:Choice>
      <mc:Fallback xmlns="">
        <xdr:sp macro="" textlink="">
          <xdr:nvSpPr>
            <xdr:cNvPr id="52" name="TextBox 51">
              <a:extLst>
                <a:ext uri="{FF2B5EF4-FFF2-40B4-BE49-F238E27FC236}">
                  <a16:creationId xmlns:a16="http://schemas.microsoft.com/office/drawing/2014/main" id="{FB9DDB63-7C41-AF47-B899-ADC79374F2FB}"/>
                </a:ext>
              </a:extLst>
            </xdr:cNvPr>
            <xdr:cNvSpPr txBox="1"/>
          </xdr:nvSpPr>
          <xdr:spPr>
            <a:xfrm>
              <a:off x="12168995" y="61396440"/>
              <a:ext cx="1219133" cy="556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𝑅𝑙𝑛(𝑒𝑇/(</a:t>
              </a:r>
              <a:r>
                <a:rPr lang="it-IT" sz="1400" b="0" i="0">
                  <a:latin typeface="Cambria Math" panose="02040503050406030204" pitchFamily="18" charset="0"/>
                  <a:ea typeface="Cambria Math" panose="02040503050406030204" pitchFamily="18" charset="0"/>
                </a:rPr>
                <a:t>𝜎 𝜗_𝑟𝑜𝑡 ))</a:t>
              </a:r>
              <a:endParaRPr lang="en-US" sz="1400"/>
            </a:p>
          </xdr:txBody>
        </xdr:sp>
      </mc:Fallback>
    </mc:AlternateContent>
    <xdr:clientData/>
  </xdr:oneCellAnchor>
  <xdr:oneCellAnchor>
    <xdr:from>
      <xdr:col>11</xdr:col>
      <xdr:colOff>218296</xdr:colOff>
      <xdr:row>241</xdr:row>
      <xdr:rowOff>146049</xdr:rowOff>
    </xdr:from>
    <xdr:ext cx="1645372" cy="411278"/>
    <mc:AlternateContent xmlns:mc="http://schemas.openxmlformats.org/markup-compatibility/2006" xmlns:a14="http://schemas.microsoft.com/office/drawing/2010/main">
      <mc:Choice Requires="a14">
        <xdr:sp macro="" textlink="">
          <xdr:nvSpPr>
            <xdr:cNvPr id="53" name="TextBox 52">
              <a:extLst>
                <a:ext uri="{FF2B5EF4-FFF2-40B4-BE49-F238E27FC236}">
                  <a16:creationId xmlns:a16="http://schemas.microsoft.com/office/drawing/2014/main" id="{4C85A520-D4E1-2548-8D4E-705CA4951C18}"/>
                </a:ext>
              </a:extLst>
            </xdr:cNvPr>
            <xdr:cNvSpPr txBox="1"/>
          </xdr:nvSpPr>
          <xdr:spPr>
            <a:xfrm>
              <a:off x="13413596" y="60940949"/>
              <a:ext cx="1645372"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r>
                      <a:rPr lang="it-IT" sz="1400" b="0" i="1">
                        <a:latin typeface="Cambria Math" panose="02040503050406030204" pitchFamily="18" charset="0"/>
                      </a:rPr>
                      <m:t> </m:t>
                    </m:r>
                    <m:r>
                      <m:rPr>
                        <m:sty m:val="p"/>
                      </m:rPr>
                      <a:rPr lang="it-IT" sz="1400" b="0" i="0">
                        <a:latin typeface="Cambria Math" panose="02040503050406030204" pitchFamily="18" charset="0"/>
                      </a:rPr>
                      <m:t>ln</m:t>
                    </m:r>
                    <m:r>
                      <a:rPr lang="it-IT" sz="1400" b="0" i="0">
                        <a:latin typeface="Cambria Math" panose="02040503050406030204" pitchFamily="18" charset="0"/>
                      </a:rPr>
                      <m:t>⁡(</m:t>
                    </m:r>
                    <m:sSub>
                      <m:sSubPr>
                        <m:ctrlPr>
                          <a:rPr lang="it-IT" sz="1400" b="0" i="1">
                            <a:latin typeface="Cambria Math" panose="02040503050406030204" pitchFamily="18" charset="0"/>
                          </a:rPr>
                        </m:ctrlPr>
                      </m:sSubPr>
                      <m:e>
                        <m:r>
                          <a:rPr lang="it-IT" sz="1400" b="0" i="1">
                            <a:latin typeface="Cambria Math" panose="02040503050406030204" pitchFamily="18" charset="0"/>
                          </a:rPr>
                          <m:t>𝑄</m:t>
                        </m:r>
                      </m:e>
                      <m:sub>
                        <m:r>
                          <a:rPr lang="it-IT" sz="1400" b="0" i="1">
                            <a:latin typeface="Cambria Math" panose="02040503050406030204" pitchFamily="18" charset="0"/>
                          </a:rPr>
                          <m:t>𝑒𝑙</m:t>
                        </m:r>
                      </m:sub>
                    </m:sSub>
                    <m:r>
                      <a:rPr lang="it-IT" sz="1400" b="0" i="0">
                        <a:latin typeface="Cambria Math" panose="02040503050406030204" pitchFamily="18" charset="0"/>
                      </a:rPr>
                      <m:t>)</m:t>
                    </m:r>
                  </m:oMath>
                </m:oMathPara>
              </a14:m>
              <a:endParaRPr lang="en-US" sz="1400"/>
            </a:p>
          </xdr:txBody>
        </xdr:sp>
      </mc:Choice>
      <mc:Fallback xmlns="">
        <xdr:sp macro="" textlink="">
          <xdr:nvSpPr>
            <xdr:cNvPr id="53" name="TextBox 52">
              <a:extLst>
                <a:ext uri="{FF2B5EF4-FFF2-40B4-BE49-F238E27FC236}">
                  <a16:creationId xmlns:a16="http://schemas.microsoft.com/office/drawing/2014/main" id="{4C85A520-D4E1-2548-8D4E-705CA4951C18}"/>
                </a:ext>
              </a:extLst>
            </xdr:cNvPr>
            <xdr:cNvSpPr txBox="1"/>
          </xdr:nvSpPr>
          <xdr:spPr>
            <a:xfrm>
              <a:off x="13413596" y="60940949"/>
              <a:ext cx="1645372"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 ln⁡(𝑄_𝑒𝑙)</a:t>
              </a:r>
              <a:endParaRPr lang="en-US" sz="1400"/>
            </a:p>
          </xdr:txBody>
        </xdr:sp>
      </mc:Fallback>
    </mc:AlternateContent>
    <xdr:clientData/>
  </xdr:oneCellAnchor>
  <xdr:twoCellAnchor>
    <xdr:from>
      <xdr:col>6</xdr:col>
      <xdr:colOff>1025769</xdr:colOff>
      <xdr:row>240</xdr:row>
      <xdr:rowOff>61058</xdr:rowOff>
    </xdr:from>
    <xdr:to>
      <xdr:col>7</xdr:col>
      <xdr:colOff>378558</xdr:colOff>
      <xdr:row>242</xdr:row>
      <xdr:rowOff>67164</xdr:rowOff>
    </xdr:to>
    <xdr:cxnSp macro="">
      <xdr:nvCxnSpPr>
        <xdr:cNvPr id="54" name="Straight Arrow Connector 53">
          <a:extLst>
            <a:ext uri="{FF2B5EF4-FFF2-40B4-BE49-F238E27FC236}">
              <a16:creationId xmlns:a16="http://schemas.microsoft.com/office/drawing/2014/main" id="{4F97BC8B-9A0C-BB4C-9703-171DA0F5F5CF}"/>
            </a:ext>
          </a:extLst>
        </xdr:cNvPr>
        <xdr:cNvCxnSpPr/>
      </xdr:nvCxnSpPr>
      <xdr:spPr>
        <a:xfrm flipH="1">
          <a:off x="9039469" y="60652758"/>
          <a:ext cx="635489" cy="412506"/>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105207</xdr:colOff>
      <xdr:row>240</xdr:row>
      <xdr:rowOff>42496</xdr:rowOff>
    </xdr:from>
    <xdr:to>
      <xdr:col>8</xdr:col>
      <xdr:colOff>390525</xdr:colOff>
      <xdr:row>244</xdr:row>
      <xdr:rowOff>195385</xdr:rowOff>
    </xdr:to>
    <xdr:cxnSp macro="">
      <xdr:nvCxnSpPr>
        <xdr:cNvPr id="55" name="Straight Arrow Connector 54">
          <a:extLst>
            <a:ext uri="{FF2B5EF4-FFF2-40B4-BE49-F238E27FC236}">
              <a16:creationId xmlns:a16="http://schemas.microsoft.com/office/drawing/2014/main" id="{BDBFA606-6767-F441-A3B3-5D0066C1203D}"/>
            </a:ext>
          </a:extLst>
        </xdr:cNvPr>
        <xdr:cNvCxnSpPr/>
      </xdr:nvCxnSpPr>
      <xdr:spPr>
        <a:xfrm flipH="1">
          <a:off x="10265207" y="60634196"/>
          <a:ext cx="285318" cy="1016489"/>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427403</xdr:colOff>
      <xdr:row>240</xdr:row>
      <xdr:rowOff>48846</xdr:rowOff>
    </xdr:from>
    <xdr:to>
      <xdr:col>10</xdr:col>
      <xdr:colOff>172840</xdr:colOff>
      <xdr:row>243</xdr:row>
      <xdr:rowOff>157811</xdr:rowOff>
    </xdr:to>
    <xdr:cxnSp macro="">
      <xdr:nvCxnSpPr>
        <xdr:cNvPr id="56" name="Straight Arrow Connector 55">
          <a:extLst>
            <a:ext uri="{FF2B5EF4-FFF2-40B4-BE49-F238E27FC236}">
              <a16:creationId xmlns:a16="http://schemas.microsoft.com/office/drawing/2014/main" id="{4C594368-CC2C-AC42-B122-27759F09B666}"/>
            </a:ext>
          </a:extLst>
        </xdr:cNvPr>
        <xdr:cNvCxnSpPr/>
      </xdr:nvCxnSpPr>
      <xdr:spPr>
        <a:xfrm>
          <a:off x="11412903" y="60640546"/>
          <a:ext cx="863037" cy="71856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500674</xdr:colOff>
      <xdr:row>240</xdr:row>
      <xdr:rowOff>42741</xdr:rowOff>
    </xdr:from>
    <xdr:to>
      <xdr:col>11</xdr:col>
      <xdr:colOff>548580</xdr:colOff>
      <xdr:row>241</xdr:row>
      <xdr:rowOff>187869</xdr:rowOff>
    </xdr:to>
    <xdr:cxnSp macro="">
      <xdr:nvCxnSpPr>
        <xdr:cNvPr id="57" name="Straight Arrow Connector 56">
          <a:extLst>
            <a:ext uri="{FF2B5EF4-FFF2-40B4-BE49-F238E27FC236}">
              <a16:creationId xmlns:a16="http://schemas.microsoft.com/office/drawing/2014/main" id="{C42B4071-E940-0C4E-9CF2-A7D279BF8EC4}"/>
            </a:ext>
          </a:extLst>
        </xdr:cNvPr>
        <xdr:cNvCxnSpPr/>
      </xdr:nvCxnSpPr>
      <xdr:spPr>
        <a:xfrm>
          <a:off x="12603774" y="60634441"/>
          <a:ext cx="1140106" cy="348328"/>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oneCellAnchor>
    <xdr:from>
      <xdr:col>5</xdr:col>
      <xdr:colOff>372532</xdr:colOff>
      <xdr:row>240</xdr:row>
      <xdr:rowOff>101601</xdr:rowOff>
    </xdr:from>
    <xdr:ext cx="1303867" cy="305725"/>
    <mc:AlternateContent xmlns:mc="http://schemas.openxmlformats.org/markup-compatibility/2006" xmlns:a14="http://schemas.microsoft.com/office/drawing/2010/main">
      <mc:Choice Requires="a14">
        <xdr:sp macro="" textlink="">
          <xdr:nvSpPr>
            <xdr:cNvPr id="58" name="CasellaDiTesto 25">
              <a:extLst>
                <a:ext uri="{FF2B5EF4-FFF2-40B4-BE49-F238E27FC236}">
                  <a16:creationId xmlns:a16="http://schemas.microsoft.com/office/drawing/2014/main" id="{E5ADBE5A-9650-8E42-A67B-6A50C018C561}"/>
                </a:ext>
              </a:extLst>
            </xdr:cNvPr>
            <xdr:cNvSpPr txBox="1"/>
          </xdr:nvSpPr>
          <xdr:spPr>
            <a:xfrm>
              <a:off x="7294032" y="60693301"/>
              <a:ext cx="1303867" cy="3057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acc>
                      <m:accPr>
                        <m:chr m:val="̃"/>
                        <m:ctrlPr>
                          <a:rPr lang="it-IT" sz="1050" b="1" i="1">
                            <a:latin typeface="Cambria Math" panose="02040503050406030204" pitchFamily="18" charset="0"/>
                          </a:rPr>
                        </m:ctrlPr>
                      </m:accPr>
                      <m:e>
                        <m:r>
                          <a:rPr lang="it-IT" sz="1050" b="1" i="1">
                            <a:latin typeface="Cambria Math" panose="02040503050406030204" pitchFamily="18" charset="0"/>
                          </a:rPr>
                          <m:t>𝑽</m:t>
                        </m:r>
                      </m:e>
                    </m:acc>
                    <m:r>
                      <a:rPr lang="it-IT" sz="1050" b="1" i="1">
                        <a:latin typeface="Cambria Math" panose="02040503050406030204" pitchFamily="18" charset="0"/>
                      </a:rPr>
                      <m:t>=</m:t>
                    </m:r>
                    <m:f>
                      <m:fPr>
                        <m:ctrlPr>
                          <a:rPr lang="it-IT" sz="1050" b="1" i="1">
                            <a:latin typeface="Cambria Math" panose="02040503050406030204" pitchFamily="18" charset="0"/>
                          </a:rPr>
                        </m:ctrlPr>
                      </m:fPr>
                      <m:num>
                        <m:r>
                          <a:rPr lang="it-IT" sz="1050" b="1" i="1">
                            <a:latin typeface="Cambria Math" panose="02040503050406030204" pitchFamily="18" charset="0"/>
                          </a:rPr>
                          <m:t>𝑹</m:t>
                        </m:r>
                        <m:r>
                          <a:rPr lang="it-IT" sz="1050" b="1" i="1">
                            <a:latin typeface="Cambria Math" panose="02040503050406030204" pitchFamily="18" charset="0"/>
                          </a:rPr>
                          <m:t> </m:t>
                        </m:r>
                        <m:r>
                          <a:rPr lang="it-IT" sz="1050" b="1" i="1">
                            <a:latin typeface="Cambria Math" panose="02040503050406030204" pitchFamily="18" charset="0"/>
                          </a:rPr>
                          <m:t>𝑻</m:t>
                        </m:r>
                      </m:num>
                      <m:den>
                        <m:r>
                          <a:rPr lang="it-IT" sz="1050" b="1" i="1">
                            <a:latin typeface="Cambria Math" panose="02040503050406030204" pitchFamily="18" charset="0"/>
                          </a:rPr>
                          <m:t>𝑷</m:t>
                        </m:r>
                      </m:den>
                    </m:f>
                  </m:oMath>
                </m:oMathPara>
              </a14:m>
              <a:endParaRPr lang="it-IT" sz="1050" b="1"/>
            </a:p>
          </xdr:txBody>
        </xdr:sp>
      </mc:Choice>
      <mc:Fallback xmlns="">
        <xdr:sp macro="" textlink="">
          <xdr:nvSpPr>
            <xdr:cNvPr id="58" name="CasellaDiTesto 25">
              <a:extLst>
                <a:ext uri="{FF2B5EF4-FFF2-40B4-BE49-F238E27FC236}">
                  <a16:creationId xmlns:a16="http://schemas.microsoft.com/office/drawing/2014/main" id="{E5ADBE5A-9650-8E42-A67B-6A50C018C561}"/>
                </a:ext>
              </a:extLst>
            </xdr:cNvPr>
            <xdr:cNvSpPr txBox="1"/>
          </xdr:nvSpPr>
          <xdr:spPr>
            <a:xfrm>
              <a:off x="7294032" y="60693301"/>
              <a:ext cx="1303867" cy="3057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050" b="1" i="0">
                  <a:latin typeface="Cambria Math" panose="02040503050406030204" pitchFamily="18" charset="0"/>
                </a:rPr>
                <a:t>𝑽 ̃=(𝑹 𝑻)/𝑷</a:t>
              </a:r>
              <a:endParaRPr lang="it-IT" sz="1050" b="1"/>
            </a:p>
          </xdr:txBody>
        </xdr:sp>
      </mc:Fallback>
    </mc:AlternateContent>
    <xdr:clientData/>
  </xdr:oneCellAnchor>
  <xdr:twoCellAnchor>
    <xdr:from>
      <xdr:col>6</xdr:col>
      <xdr:colOff>287867</xdr:colOff>
      <xdr:row>240</xdr:row>
      <xdr:rowOff>194733</xdr:rowOff>
    </xdr:from>
    <xdr:to>
      <xdr:col>6</xdr:col>
      <xdr:colOff>700036</xdr:colOff>
      <xdr:row>242</xdr:row>
      <xdr:rowOff>105207</xdr:rowOff>
    </xdr:to>
    <xdr:cxnSp macro="">
      <xdr:nvCxnSpPr>
        <xdr:cNvPr id="59" name="Curved Connector 58">
          <a:extLst>
            <a:ext uri="{FF2B5EF4-FFF2-40B4-BE49-F238E27FC236}">
              <a16:creationId xmlns:a16="http://schemas.microsoft.com/office/drawing/2014/main" id="{DB11653E-CEEC-0540-8E90-852891D4F4D3}"/>
            </a:ext>
          </a:extLst>
        </xdr:cNvPr>
        <xdr:cNvCxnSpPr>
          <a:endCxn id="50" idx="0"/>
        </xdr:cNvCxnSpPr>
      </xdr:nvCxnSpPr>
      <xdr:spPr>
        <a:xfrm>
          <a:off x="8301567" y="60786433"/>
          <a:ext cx="412169" cy="316874"/>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1000646</xdr:colOff>
      <xdr:row>267</xdr:row>
      <xdr:rowOff>177520</xdr:rowOff>
    </xdr:from>
    <xdr:to>
      <xdr:col>17</xdr:col>
      <xdr:colOff>1244599</xdr:colOff>
      <xdr:row>285</xdr:row>
      <xdr:rowOff>41868</xdr:rowOff>
    </xdr:to>
    <xdr:graphicFrame macro="">
      <xdr:nvGraphicFramePr>
        <xdr:cNvPr id="60" name="Chart 59">
          <a:extLst>
            <a:ext uri="{FF2B5EF4-FFF2-40B4-BE49-F238E27FC236}">
              <a16:creationId xmlns:a16="http://schemas.microsoft.com/office/drawing/2014/main" id="{32F48EF1-0A73-7B4E-A13B-0EC4E33152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oneCellAnchor>
    <xdr:from>
      <xdr:col>10</xdr:col>
      <xdr:colOff>642750</xdr:colOff>
      <xdr:row>244</xdr:row>
      <xdr:rowOff>77922</xdr:rowOff>
    </xdr:from>
    <xdr:ext cx="5057090" cy="1166345"/>
    <mc:AlternateContent xmlns:mc="http://schemas.openxmlformats.org/markup-compatibility/2006" xmlns:a14="http://schemas.microsoft.com/office/drawing/2010/main">
      <mc:Choice Requires="a14">
        <xdr:sp macro="" textlink="">
          <xdr:nvSpPr>
            <xdr:cNvPr id="61" name="TextBox 60">
              <a:extLst>
                <a:ext uri="{FF2B5EF4-FFF2-40B4-BE49-F238E27FC236}">
                  <a16:creationId xmlns:a16="http://schemas.microsoft.com/office/drawing/2014/main" id="{8E065606-3DE1-5743-A947-47ABAE4F8682}"/>
                </a:ext>
              </a:extLst>
            </xdr:cNvPr>
            <xdr:cNvSpPr txBox="1"/>
          </xdr:nvSpPr>
          <xdr:spPr>
            <a:xfrm>
              <a:off x="12745850" y="61533222"/>
              <a:ext cx="5057090" cy="11663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solidFill>
                          <a:srgbClr val="FF0000"/>
                        </a:solidFill>
                        <a:latin typeface="Cambria Math" panose="02040503050406030204" pitchFamily="18" charset="0"/>
                      </a:rPr>
                      <m:t>𝑏𝑢𝑡</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𝐺𝑎𝑢𝑠𝑠𝑖𝑎𝑛</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𝑢𝑠𝑒𝑠</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𝑓𝑜𝑟</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𝑝𝑜𝑙𝑦𝑎𝑡𝑜𝑚𝑖𝑐</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𝑚𝑜𝑙𝑒𝑐𝑢𝑙𝑒𝑠</m:t>
                    </m:r>
                    <m:r>
                      <a:rPr lang="it-IT" sz="1400" b="0" i="1">
                        <a:solidFill>
                          <a:srgbClr val="FF0000"/>
                        </a:solidFill>
                        <a:latin typeface="Cambria Math" panose="02040503050406030204" pitchFamily="18" charset="0"/>
                      </a:rPr>
                      <m:t>):</m:t>
                    </m:r>
                  </m:oMath>
                </m:oMathPara>
              </a14:m>
              <a:endParaRPr lang="it-IT" sz="1400" b="0">
                <a:solidFill>
                  <a:srgbClr val="FF0000"/>
                </a:solidFill>
              </a:endParaRPr>
            </a:p>
            <a:p>
              <a:endParaRPr lang="en-US" sz="1400">
                <a:solidFill>
                  <a:srgbClr val="FF0000"/>
                </a:solidFill>
              </a:endParaRPr>
            </a:p>
            <a:p>
              <a14:m>
                <m:oMath xmlns:m="http://schemas.openxmlformats.org/officeDocument/2006/math">
                  <m:func>
                    <m:funcPr>
                      <m:ctrlPr>
                        <a:rPr lang="it-IT" sz="1400" b="0" i="1">
                          <a:solidFill>
                            <a:srgbClr val="FF0000"/>
                          </a:solidFill>
                          <a:latin typeface="Cambria Math" panose="02040503050406030204" pitchFamily="18" charset="0"/>
                        </a:rPr>
                      </m:ctrlPr>
                    </m:funcPr>
                    <m:fName>
                      <m:r>
                        <a:rPr lang="it-IT" sz="1400" b="0" i="1">
                          <a:solidFill>
                            <a:srgbClr val="FF0000"/>
                          </a:solidFill>
                          <a:latin typeface="Cambria Math" panose="02040503050406030204" pitchFamily="18" charset="0"/>
                        </a:rPr>
                        <m:t>𝑅</m:t>
                      </m:r>
                    </m:fName>
                    <m:e>
                      <m:d>
                        <m:dPr>
                          <m:ctrlPr>
                            <a:rPr lang="it-IT" sz="1400" b="0" i="1">
                              <a:solidFill>
                                <a:srgbClr val="FF0000"/>
                              </a:solidFill>
                              <a:latin typeface="Cambria Math" panose="02040503050406030204" pitchFamily="18" charset="0"/>
                            </a:rPr>
                          </m:ctrlPr>
                        </m:dPr>
                        <m:e>
                          <m:r>
                            <m:rPr>
                              <m:sty m:val="p"/>
                            </m:rPr>
                            <a:rPr lang="it-IT" sz="1400" b="0" i="0">
                              <a:solidFill>
                                <a:srgbClr val="FF0000"/>
                              </a:solidFill>
                              <a:latin typeface="Cambria Math" panose="02040503050406030204" pitchFamily="18" charset="0"/>
                            </a:rPr>
                            <m:t>ln</m:t>
                          </m:r>
                          <m:d>
                            <m:dPr>
                              <m:ctrlPr>
                                <a:rPr lang="it-IT" sz="1400" b="0" i="1">
                                  <a:solidFill>
                                    <a:srgbClr val="FF0000"/>
                                  </a:solidFill>
                                  <a:latin typeface="Cambria Math" panose="02040503050406030204" pitchFamily="18" charset="0"/>
                                </a:rPr>
                              </m:ctrlPr>
                            </m:dPr>
                            <m:e>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rPr>
                                    <m:t>𝑞</m:t>
                                  </m:r>
                                </m:e>
                                <m:sub>
                                  <m:r>
                                    <a:rPr lang="it-IT" sz="1400" b="0" i="1">
                                      <a:solidFill>
                                        <a:srgbClr val="FF0000"/>
                                      </a:solidFill>
                                      <a:latin typeface="Cambria Math" panose="02040503050406030204" pitchFamily="18" charset="0"/>
                                    </a:rPr>
                                    <m:t>𝑟</m:t>
                                  </m:r>
                                </m:sub>
                              </m:sSub>
                            </m:e>
                          </m:d>
                          <m:r>
                            <a:rPr lang="it-IT" sz="1400" b="0" i="1">
                              <a:solidFill>
                                <a:srgbClr val="FF0000"/>
                              </a:solidFill>
                              <a:latin typeface="Cambria Math" panose="02040503050406030204" pitchFamily="18" charset="0"/>
                            </a:rPr>
                            <m:t>+</m:t>
                          </m:r>
                          <m:f>
                            <m:fPr>
                              <m:ctrlPr>
                                <a:rPr lang="it-IT" sz="1400" b="0" i="1">
                                  <a:solidFill>
                                    <a:srgbClr val="FF0000"/>
                                  </a:solidFill>
                                  <a:latin typeface="Cambria Math" panose="02040503050406030204" pitchFamily="18" charset="0"/>
                                </a:rPr>
                              </m:ctrlPr>
                            </m:fPr>
                            <m:num>
                              <m:r>
                                <a:rPr lang="it-IT" sz="1400" b="0" i="1">
                                  <a:solidFill>
                                    <a:srgbClr val="FF0000"/>
                                  </a:solidFill>
                                  <a:latin typeface="Cambria Math" panose="02040503050406030204" pitchFamily="18" charset="0"/>
                                </a:rPr>
                                <m:t>3</m:t>
                              </m:r>
                            </m:num>
                            <m:den>
                              <m:r>
                                <a:rPr lang="it-IT" sz="1400" b="0" i="1">
                                  <a:solidFill>
                                    <a:srgbClr val="FF0000"/>
                                  </a:solidFill>
                                  <a:latin typeface="Cambria Math" panose="02040503050406030204" pitchFamily="18" charset="0"/>
                                </a:rPr>
                                <m:t>2</m:t>
                              </m:r>
                            </m:den>
                          </m:f>
                        </m:e>
                      </m:d>
                    </m:e>
                  </m:func>
                </m:oMath>
              </a14:m>
              <a:r>
                <a:rPr lang="en-US" sz="1400">
                  <a:solidFill>
                    <a:srgbClr val="FF0000"/>
                  </a:solidFill>
                </a:rPr>
                <a:t> where </a:t>
              </a:r>
              <a14:m>
                <m:oMath xmlns:m="http://schemas.openxmlformats.org/officeDocument/2006/math">
                  <m:sSub>
                    <m:sSubPr>
                      <m:ctrlPr>
                        <a:rPr lang="en-US" sz="140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rPr>
                        <m:t>𝑞</m:t>
                      </m:r>
                    </m:e>
                    <m:sub>
                      <m:r>
                        <a:rPr lang="it-IT" sz="1400" b="0" i="1">
                          <a:solidFill>
                            <a:srgbClr val="FF0000"/>
                          </a:solidFill>
                          <a:latin typeface="Cambria Math" panose="02040503050406030204" pitchFamily="18" charset="0"/>
                        </a:rPr>
                        <m:t>𝑟</m:t>
                      </m:r>
                    </m:sub>
                  </m:sSub>
                  <m:r>
                    <a:rPr lang="it-IT" sz="1400" b="0" i="1">
                      <a:solidFill>
                        <a:srgbClr val="FF0000"/>
                      </a:solidFill>
                      <a:latin typeface="Cambria Math" panose="02040503050406030204" pitchFamily="18" charset="0"/>
                    </a:rPr>
                    <m:t>=</m:t>
                  </m:r>
                  <m:f>
                    <m:fPr>
                      <m:ctrlPr>
                        <a:rPr lang="it-IT" sz="1400" b="0" i="1">
                          <a:solidFill>
                            <a:srgbClr val="FF0000"/>
                          </a:solidFill>
                          <a:latin typeface="Cambria Math" panose="02040503050406030204" pitchFamily="18" charset="0"/>
                        </a:rPr>
                      </m:ctrlPr>
                    </m:fPr>
                    <m:num>
                      <m:rad>
                        <m:radPr>
                          <m:degHide m:val="on"/>
                          <m:ctrlPr>
                            <a:rPr lang="it-IT" sz="1400" b="0" i="1">
                              <a:solidFill>
                                <a:srgbClr val="FF0000"/>
                              </a:solidFill>
                              <a:latin typeface="Cambria Math" panose="02040503050406030204" pitchFamily="18" charset="0"/>
                            </a:rPr>
                          </m:ctrlPr>
                        </m:radPr>
                        <m:deg/>
                        <m:e>
                          <m:r>
                            <a:rPr lang="it-IT" sz="1400" b="0" i="1">
                              <a:solidFill>
                                <a:srgbClr val="FF0000"/>
                              </a:solidFill>
                              <a:latin typeface="Cambria Math" panose="02040503050406030204" pitchFamily="18" charset="0"/>
                              <a:ea typeface="Cambria Math" panose="02040503050406030204" pitchFamily="18" charset="0"/>
                            </a:rPr>
                            <m:t>𝜋</m:t>
                          </m:r>
                        </m:e>
                      </m:rad>
                    </m:num>
                    <m:den>
                      <m:r>
                        <a:rPr lang="it-IT" sz="1400" b="0" i="1">
                          <a:solidFill>
                            <a:srgbClr val="FF0000"/>
                          </a:solidFill>
                          <a:latin typeface="Cambria Math" panose="02040503050406030204" pitchFamily="18" charset="0"/>
                          <a:ea typeface="Cambria Math" panose="02040503050406030204" pitchFamily="18" charset="0"/>
                        </a:rPr>
                        <m:t>𝜎</m:t>
                      </m:r>
                    </m:den>
                  </m:f>
                  <m:d>
                    <m:dPr>
                      <m:ctrlPr>
                        <a:rPr lang="it-IT" sz="1400" b="0" i="1">
                          <a:solidFill>
                            <a:srgbClr val="FF0000"/>
                          </a:solidFill>
                          <a:latin typeface="Cambria Math" panose="02040503050406030204" pitchFamily="18" charset="0"/>
                        </a:rPr>
                      </m:ctrlPr>
                    </m:dPr>
                    <m:e>
                      <m:f>
                        <m:fPr>
                          <m:ctrlPr>
                            <a:rPr lang="it-IT" sz="1400" b="0" i="1">
                              <a:solidFill>
                                <a:srgbClr val="FF0000"/>
                              </a:solidFill>
                              <a:latin typeface="Cambria Math" panose="02040503050406030204" pitchFamily="18" charset="0"/>
                            </a:rPr>
                          </m:ctrlPr>
                        </m:fPr>
                        <m:num>
                          <m:sSup>
                            <m:sSupPr>
                              <m:ctrlPr>
                                <a:rPr lang="it-IT" sz="1400" b="0" i="1">
                                  <a:solidFill>
                                    <a:srgbClr val="FF0000"/>
                                  </a:solidFill>
                                  <a:latin typeface="Cambria Math" panose="02040503050406030204" pitchFamily="18" charset="0"/>
                                </a:rPr>
                              </m:ctrlPr>
                            </m:sSupPr>
                            <m:e>
                              <m:r>
                                <a:rPr lang="it-IT" sz="1400" b="0" i="1">
                                  <a:solidFill>
                                    <a:srgbClr val="FF0000"/>
                                  </a:solidFill>
                                  <a:latin typeface="Cambria Math" panose="02040503050406030204" pitchFamily="18" charset="0"/>
                                </a:rPr>
                                <m:t>𝑇</m:t>
                              </m:r>
                            </m:e>
                            <m:sup>
                              <m:f>
                                <m:fPr>
                                  <m:ctrlPr>
                                    <a:rPr lang="it-IT" sz="1400" b="0" i="1">
                                      <a:solidFill>
                                        <a:srgbClr val="FF0000"/>
                                      </a:solidFill>
                                      <a:latin typeface="Cambria Math" panose="02040503050406030204" pitchFamily="18" charset="0"/>
                                    </a:rPr>
                                  </m:ctrlPr>
                                </m:fPr>
                                <m:num>
                                  <m:r>
                                    <a:rPr lang="it-IT" sz="1400" b="0" i="1">
                                      <a:solidFill>
                                        <a:srgbClr val="FF0000"/>
                                      </a:solidFill>
                                      <a:latin typeface="Cambria Math" panose="02040503050406030204" pitchFamily="18" charset="0"/>
                                    </a:rPr>
                                    <m:t>3</m:t>
                                  </m:r>
                                </m:num>
                                <m:den>
                                  <m:r>
                                    <a:rPr lang="it-IT" sz="1400" b="0" i="1">
                                      <a:solidFill>
                                        <a:srgbClr val="FF0000"/>
                                      </a:solidFill>
                                      <a:latin typeface="Cambria Math" panose="02040503050406030204" pitchFamily="18" charset="0"/>
                                    </a:rPr>
                                    <m:t>2</m:t>
                                  </m:r>
                                </m:den>
                              </m:f>
                            </m:sup>
                          </m:sSup>
                        </m:num>
                        <m:den>
                          <m:rad>
                            <m:radPr>
                              <m:degHide m:val="on"/>
                              <m:ctrlPr>
                                <a:rPr lang="it-IT" sz="1400" b="0" i="1">
                                  <a:solidFill>
                                    <a:srgbClr val="FF0000"/>
                                  </a:solidFill>
                                  <a:latin typeface="Cambria Math" panose="02040503050406030204" pitchFamily="18" charset="0"/>
                                </a:rPr>
                              </m:ctrlPr>
                            </m:radPr>
                            <m:deg/>
                            <m:e>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ea typeface="Cambria Math" panose="02040503050406030204" pitchFamily="18" charset="0"/>
                                    </a:rPr>
                                    <m:t>𝜗</m:t>
                                  </m:r>
                                </m:e>
                                <m:sub>
                                  <m:r>
                                    <a:rPr lang="it-IT" sz="1400" b="0" i="1">
                                      <a:solidFill>
                                        <a:srgbClr val="FF0000"/>
                                      </a:solidFill>
                                      <a:latin typeface="Cambria Math" panose="02040503050406030204" pitchFamily="18" charset="0"/>
                                    </a:rPr>
                                    <m:t>𝑥</m:t>
                                  </m:r>
                                </m:sub>
                              </m:sSub>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ea typeface="Cambria Math" panose="02040503050406030204" pitchFamily="18" charset="0"/>
                                    </a:rPr>
                                    <m:t>𝜗</m:t>
                                  </m:r>
                                </m:e>
                                <m:sub>
                                  <m:r>
                                    <a:rPr lang="it-IT" sz="1400" b="0" i="1">
                                      <a:solidFill>
                                        <a:srgbClr val="FF0000"/>
                                      </a:solidFill>
                                      <a:latin typeface="Cambria Math" panose="02040503050406030204" pitchFamily="18" charset="0"/>
                                      <a:ea typeface="Cambria Math" panose="02040503050406030204" pitchFamily="18" charset="0"/>
                                    </a:rPr>
                                    <m:t>𝑦</m:t>
                                  </m:r>
                                </m:sub>
                              </m:sSub>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ea typeface="Cambria Math" panose="02040503050406030204" pitchFamily="18" charset="0"/>
                                    </a:rPr>
                                    <m:t>𝜗</m:t>
                                  </m:r>
                                </m:e>
                                <m:sub>
                                  <m:r>
                                    <a:rPr lang="it-IT" sz="1400" b="0" i="1">
                                      <a:solidFill>
                                        <a:srgbClr val="FF0000"/>
                                      </a:solidFill>
                                      <a:latin typeface="Cambria Math" panose="02040503050406030204" pitchFamily="18" charset="0"/>
                                      <a:ea typeface="Cambria Math" panose="02040503050406030204" pitchFamily="18" charset="0"/>
                                    </a:rPr>
                                    <m:t>𝑧</m:t>
                                  </m:r>
                                </m:sub>
                              </m:sSub>
                            </m:e>
                          </m:rad>
                        </m:den>
                      </m:f>
                    </m:e>
                  </m:d>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𝑖𝑠</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𝑡h𝑒</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𝑝𝑎𝑟𝑡𝑖𝑡𝑖𝑜𝑛</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𝑓𝑢𝑛𝑐𝑡𝑖𝑜𝑛</m:t>
                  </m:r>
                </m:oMath>
              </a14:m>
              <a:r>
                <a:rPr lang="en-US" sz="1400">
                  <a:solidFill>
                    <a:srgbClr val="FF0000"/>
                  </a:solidFill>
                </a:rPr>
                <a:t> </a:t>
              </a:r>
            </a:p>
            <a:p>
              <a:r>
                <a:rPr lang="en-US" sz="1400">
                  <a:solidFill>
                    <a:srgbClr val="FF0000"/>
                  </a:solidFill>
                </a:rPr>
                <a:t>(this is the one</a:t>
              </a:r>
              <a:r>
                <a:rPr lang="en-US" sz="1400" baseline="0">
                  <a:solidFill>
                    <a:srgbClr val="FF0000"/>
                  </a:solidFill>
                </a:rPr>
                <a:t> we will use</a:t>
              </a:r>
              <a:r>
                <a:rPr lang="en-US" sz="1400">
                  <a:solidFill>
                    <a:srgbClr val="FF0000"/>
                  </a:solidFill>
                </a:rPr>
                <a:t>)</a:t>
              </a:r>
            </a:p>
          </xdr:txBody>
        </xdr:sp>
      </mc:Choice>
      <mc:Fallback xmlns="">
        <xdr:sp macro="" textlink="">
          <xdr:nvSpPr>
            <xdr:cNvPr id="61" name="TextBox 60">
              <a:extLst>
                <a:ext uri="{FF2B5EF4-FFF2-40B4-BE49-F238E27FC236}">
                  <a16:creationId xmlns:a16="http://schemas.microsoft.com/office/drawing/2014/main" id="{8E065606-3DE1-5743-A947-47ABAE4F8682}"/>
                </a:ext>
              </a:extLst>
            </xdr:cNvPr>
            <xdr:cNvSpPr txBox="1"/>
          </xdr:nvSpPr>
          <xdr:spPr>
            <a:xfrm>
              <a:off x="12745850" y="61533222"/>
              <a:ext cx="5057090" cy="11663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0" i="0">
                  <a:solidFill>
                    <a:srgbClr val="FF0000"/>
                  </a:solidFill>
                  <a:latin typeface="Cambria Math" panose="02040503050406030204" pitchFamily="18" charset="0"/>
                </a:rPr>
                <a:t>𝑏𝑢𝑡 𝐺𝑎𝑢𝑠𝑠𝑖𝑎𝑛 𝑢𝑠𝑒𝑠 (𝑓𝑜𝑟 𝑝𝑜𝑙𝑦𝑎𝑡𝑜𝑚𝑖𝑐 𝑚𝑜𝑙𝑒𝑐𝑢𝑙𝑒𝑠):</a:t>
              </a:r>
              <a:endParaRPr lang="it-IT" sz="1400" b="0">
                <a:solidFill>
                  <a:srgbClr val="FF0000"/>
                </a:solidFill>
              </a:endParaRPr>
            </a:p>
            <a:p>
              <a:endParaRPr lang="en-US" sz="1400">
                <a:solidFill>
                  <a:srgbClr val="FF0000"/>
                </a:solidFill>
              </a:endParaRPr>
            </a:p>
            <a:p>
              <a:r>
                <a:rPr lang="it-IT" sz="1400" b="0" i="0">
                  <a:solidFill>
                    <a:srgbClr val="FF0000"/>
                  </a:solidFill>
                  <a:latin typeface="Cambria Math" panose="02040503050406030204" pitchFamily="18" charset="0"/>
                </a:rPr>
                <a:t>𝑅⁡(ln(𝑞_𝑟 )+3/2)</a:t>
              </a:r>
              <a:r>
                <a:rPr lang="en-US" sz="1400">
                  <a:solidFill>
                    <a:srgbClr val="FF0000"/>
                  </a:solidFill>
                </a:rPr>
                <a:t> where </a:t>
              </a:r>
              <a:r>
                <a:rPr lang="it-IT" sz="1400" b="0" i="0">
                  <a:solidFill>
                    <a:srgbClr val="FF0000"/>
                  </a:solidFill>
                  <a:latin typeface="Cambria Math" panose="02040503050406030204" pitchFamily="18" charset="0"/>
                </a:rPr>
                <a:t>𝑞</a:t>
              </a:r>
              <a:r>
                <a:rPr lang="en-US" sz="1400" b="0" i="0">
                  <a:solidFill>
                    <a:srgbClr val="FF0000"/>
                  </a:solidFill>
                  <a:latin typeface="Cambria Math" panose="02040503050406030204" pitchFamily="18" charset="0"/>
                </a:rPr>
                <a:t>_</a:t>
              </a:r>
              <a:r>
                <a:rPr lang="it-IT" sz="1400" b="0" i="0">
                  <a:solidFill>
                    <a:srgbClr val="FF0000"/>
                  </a:solidFill>
                  <a:latin typeface="Cambria Math" panose="02040503050406030204" pitchFamily="18" charset="0"/>
                </a:rPr>
                <a:t>𝑟=√</a:t>
              </a:r>
              <a:r>
                <a:rPr lang="it-IT" sz="1400" b="0" i="0">
                  <a:solidFill>
                    <a:srgbClr val="FF0000"/>
                  </a:solidFill>
                  <a:latin typeface="Cambria Math" panose="02040503050406030204" pitchFamily="18" charset="0"/>
                  <a:ea typeface="Cambria Math" panose="02040503050406030204" pitchFamily="18" charset="0"/>
                </a:rPr>
                <a:t>𝜋/𝜎 </a:t>
              </a:r>
              <a:r>
                <a:rPr lang="it-IT" sz="1400" b="0" i="0">
                  <a:solidFill>
                    <a:srgbClr val="FF0000"/>
                  </a:solidFill>
                  <a:latin typeface="Cambria Math" panose="02040503050406030204" pitchFamily="18" charset="0"/>
                </a:rPr>
                <a:t>(𝑇^(3/2)/√(</a:t>
              </a:r>
              <a:r>
                <a:rPr lang="it-IT" sz="1400" b="0" i="0">
                  <a:solidFill>
                    <a:srgbClr val="FF0000"/>
                  </a:solidFill>
                  <a:latin typeface="Cambria Math" panose="02040503050406030204" pitchFamily="18" charset="0"/>
                  <a:ea typeface="Cambria Math" panose="02040503050406030204" pitchFamily="18" charset="0"/>
                </a:rPr>
                <a:t>𝜗_</a:t>
              </a:r>
              <a:r>
                <a:rPr lang="it-IT" sz="1400" b="0" i="0">
                  <a:solidFill>
                    <a:srgbClr val="FF0000"/>
                  </a:solidFill>
                  <a:latin typeface="Cambria Math" panose="02040503050406030204" pitchFamily="18" charset="0"/>
                </a:rPr>
                <a:t>𝑥 </a:t>
              </a:r>
              <a:r>
                <a:rPr lang="it-IT" sz="1400" b="0" i="0">
                  <a:solidFill>
                    <a:srgbClr val="FF0000"/>
                  </a:solidFill>
                  <a:latin typeface="Cambria Math" panose="02040503050406030204" pitchFamily="18" charset="0"/>
                  <a:ea typeface="Cambria Math" panose="02040503050406030204" pitchFamily="18" charset="0"/>
                </a:rPr>
                <a:t>𝜗_𝑦 𝜗_𝑧 )) </a:t>
              </a:r>
              <a:r>
                <a:rPr lang="it-IT" sz="1400" b="0" i="0">
                  <a:solidFill>
                    <a:srgbClr val="FF0000"/>
                  </a:solidFill>
                  <a:latin typeface="Cambria Math" panose="02040503050406030204" pitchFamily="18" charset="0"/>
                </a:rPr>
                <a:t> 𝑖𝑠 𝑡ℎ𝑒 𝑝𝑎𝑟𝑡𝑖𝑡𝑖𝑜𝑛 𝑓𝑢𝑛𝑐𝑡𝑖𝑜𝑛</a:t>
              </a:r>
              <a:r>
                <a:rPr lang="en-US" sz="1400">
                  <a:solidFill>
                    <a:srgbClr val="FF0000"/>
                  </a:solidFill>
                </a:rPr>
                <a:t> </a:t>
              </a:r>
            </a:p>
            <a:p>
              <a:r>
                <a:rPr lang="en-US" sz="1400">
                  <a:solidFill>
                    <a:srgbClr val="FF0000"/>
                  </a:solidFill>
                </a:rPr>
                <a:t>(this is the one</a:t>
              </a:r>
              <a:r>
                <a:rPr lang="en-US" sz="1400" baseline="0">
                  <a:solidFill>
                    <a:srgbClr val="FF0000"/>
                  </a:solidFill>
                </a:rPr>
                <a:t> we will use</a:t>
              </a:r>
              <a:r>
                <a:rPr lang="en-US" sz="1400">
                  <a:solidFill>
                    <a:srgbClr val="FF0000"/>
                  </a:solidFill>
                </a:rPr>
                <a:t>)</a:t>
              </a:r>
            </a:p>
          </xdr:txBody>
        </xdr:sp>
      </mc:Fallback>
    </mc:AlternateContent>
    <xdr:clientData/>
  </xdr:oneCellAnchor>
  <xdr:twoCellAnchor>
    <xdr:from>
      <xdr:col>21</xdr:col>
      <xdr:colOff>1577878</xdr:colOff>
      <xdr:row>55</xdr:row>
      <xdr:rowOff>0</xdr:rowOff>
    </xdr:from>
    <xdr:to>
      <xdr:col>22</xdr:col>
      <xdr:colOff>1039091</xdr:colOff>
      <xdr:row>195</xdr:row>
      <xdr:rowOff>153939</xdr:rowOff>
    </xdr:to>
    <xdr:sp macro="" textlink="">
      <xdr:nvSpPr>
        <xdr:cNvPr id="62" name="Right Brace 61">
          <a:extLst>
            <a:ext uri="{FF2B5EF4-FFF2-40B4-BE49-F238E27FC236}">
              <a16:creationId xmlns:a16="http://schemas.microsoft.com/office/drawing/2014/main" id="{87A26EAE-0832-6247-9CC5-DED3841E6080}"/>
            </a:ext>
          </a:extLst>
        </xdr:cNvPr>
        <xdr:cNvSpPr/>
      </xdr:nvSpPr>
      <xdr:spPr>
        <a:xfrm>
          <a:off x="20996178" y="14897100"/>
          <a:ext cx="1061413" cy="34888439"/>
        </a:xfrm>
        <a:prstGeom prst="rightBrace">
          <a:avLst/>
        </a:prstGeom>
        <a:ln w="57150"/>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28</xdr:col>
      <xdr:colOff>359975</xdr:colOff>
      <xdr:row>92</xdr:row>
      <xdr:rowOff>168476</xdr:rowOff>
    </xdr:from>
    <xdr:to>
      <xdr:col>30</xdr:col>
      <xdr:colOff>520551</xdr:colOff>
      <xdr:row>92</xdr:row>
      <xdr:rowOff>183073</xdr:rowOff>
    </xdr:to>
    <xdr:cxnSp macro="">
      <xdr:nvCxnSpPr>
        <xdr:cNvPr id="63" name="Straight Arrow Connector 62">
          <a:extLst>
            <a:ext uri="{FF2B5EF4-FFF2-40B4-BE49-F238E27FC236}">
              <a16:creationId xmlns:a16="http://schemas.microsoft.com/office/drawing/2014/main" id="{EF1F06FF-86CF-DE4E-948D-C7C3D4BCECC2}"/>
            </a:ext>
          </a:extLst>
        </xdr:cNvPr>
        <xdr:cNvCxnSpPr/>
      </xdr:nvCxnSpPr>
      <xdr:spPr>
        <a:xfrm>
          <a:off x="28084075" y="24069876"/>
          <a:ext cx="22814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30</xdr:col>
      <xdr:colOff>708890</xdr:colOff>
      <xdr:row>91</xdr:row>
      <xdr:rowOff>229753</xdr:rowOff>
    </xdr:from>
    <xdr:ext cx="3999878" cy="315856"/>
    <mc:AlternateContent xmlns:mc="http://schemas.openxmlformats.org/markup-compatibility/2006" xmlns:a14="http://schemas.microsoft.com/office/drawing/2010/main">
      <mc:Choice Requires="a14">
        <xdr:sp macro="" textlink="">
          <xdr:nvSpPr>
            <xdr:cNvPr id="64" name="TextBox 63">
              <a:extLst>
                <a:ext uri="{FF2B5EF4-FFF2-40B4-BE49-F238E27FC236}">
                  <a16:creationId xmlns:a16="http://schemas.microsoft.com/office/drawing/2014/main" id="{8ECAF2FD-A28B-2D41-8304-41FF462F6A97}"/>
                </a:ext>
              </a:extLst>
            </xdr:cNvPr>
            <xdr:cNvSpPr txBox="1"/>
          </xdr:nvSpPr>
          <xdr:spPr>
            <a:xfrm>
              <a:off x="30553890" y="23851753"/>
              <a:ext cx="3999878" cy="31585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𝑇𝑂𝑇</m:t>
                      </m:r>
                    </m:sub>
                  </m:sSub>
                  <m:r>
                    <a:rPr lang="it-IT" sz="2000" b="0" i="1">
                      <a:latin typeface="Cambria Math" panose="02040503050406030204" pitchFamily="18" charset="0"/>
                    </a:rPr>
                    <m:t>= </m:t>
                  </m:r>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𝑇𝑅𝐴𝑁𝑆𝐿</m:t>
                      </m:r>
                    </m:sub>
                  </m:sSub>
                  <m:r>
                    <a:rPr lang="it-IT" sz="2000" b="0" i="1">
                      <a:latin typeface="Cambria Math" panose="02040503050406030204" pitchFamily="18" charset="0"/>
                      <a:ea typeface="Cambria Math" panose="02040503050406030204" pitchFamily="18" charset="0"/>
                    </a:rPr>
                    <m:t>× </m:t>
                  </m:r>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𝑉𝐼𝐵</m:t>
                      </m:r>
                    </m:sub>
                  </m:sSub>
                  <m:r>
                    <a:rPr lang="it-IT" sz="2000" b="0" i="1">
                      <a:latin typeface="Cambria Math" panose="02040503050406030204" pitchFamily="18" charset="0"/>
                      <a:ea typeface="Cambria Math" panose="02040503050406030204" pitchFamily="18" charset="0"/>
                    </a:rPr>
                    <m:t>×</m:t>
                  </m:r>
                </m:oMath>
              </a14:m>
              <a:r>
                <a:rPr lang="en-US" sz="2000"/>
                <a:t> </a:t>
              </a:r>
              <a14:m>
                <m:oMath xmlns:m="http://schemas.openxmlformats.org/officeDocument/2006/math">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𝑅𝑂𝑇</m:t>
                      </m:r>
                    </m:sub>
                  </m:sSub>
                  <m:r>
                    <a:rPr lang="it-IT" sz="2000" b="0" i="1">
                      <a:latin typeface="Cambria Math" panose="02040503050406030204" pitchFamily="18" charset="0"/>
                      <a:ea typeface="Cambria Math" panose="02040503050406030204" pitchFamily="18" charset="0"/>
                    </a:rPr>
                    <m:t>×</m:t>
                  </m:r>
                </m:oMath>
              </a14:m>
              <a:r>
                <a:rPr lang="en-US" sz="2000"/>
                <a:t> </a:t>
              </a:r>
              <a14:m>
                <m:oMath xmlns:m="http://schemas.openxmlformats.org/officeDocument/2006/math">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𝐸𝐿</m:t>
                      </m:r>
                    </m:sub>
                  </m:sSub>
                </m:oMath>
              </a14:m>
              <a:endParaRPr lang="en-US" sz="2000"/>
            </a:p>
          </xdr:txBody>
        </xdr:sp>
      </mc:Choice>
      <mc:Fallback xmlns="">
        <xdr:sp macro="" textlink="">
          <xdr:nvSpPr>
            <xdr:cNvPr id="64" name="TextBox 63">
              <a:extLst>
                <a:ext uri="{FF2B5EF4-FFF2-40B4-BE49-F238E27FC236}">
                  <a16:creationId xmlns:a16="http://schemas.microsoft.com/office/drawing/2014/main" id="{8ECAF2FD-A28B-2D41-8304-41FF462F6A97}"/>
                </a:ext>
              </a:extLst>
            </xdr:cNvPr>
            <xdr:cNvSpPr txBox="1"/>
          </xdr:nvSpPr>
          <xdr:spPr>
            <a:xfrm>
              <a:off x="30553890" y="23851753"/>
              <a:ext cx="3999878" cy="31585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2000" b="0" i="0">
                  <a:latin typeface="Cambria Math" panose="02040503050406030204" pitchFamily="18" charset="0"/>
                </a:rPr>
                <a:t>𝑄_𝑇𝑂𝑇= 𝑄_𝑇𝑅𝐴𝑁𝑆𝐿</a:t>
              </a:r>
              <a:r>
                <a:rPr lang="it-IT" sz="2000" b="0" i="0">
                  <a:latin typeface="Cambria Math" panose="02040503050406030204" pitchFamily="18" charset="0"/>
                  <a:ea typeface="Cambria Math" panose="02040503050406030204" pitchFamily="18" charset="0"/>
                </a:rPr>
                <a:t>× </a:t>
              </a:r>
              <a:r>
                <a:rPr lang="it-IT" sz="2000" b="0" i="0">
                  <a:latin typeface="Cambria Math" panose="02040503050406030204" pitchFamily="18" charset="0"/>
                </a:rPr>
                <a:t>𝑄_𝑉𝐼𝐵</a:t>
              </a:r>
              <a:r>
                <a:rPr lang="it-IT" sz="2000" b="0" i="0">
                  <a:latin typeface="Cambria Math" panose="02040503050406030204" pitchFamily="18" charset="0"/>
                  <a:ea typeface="Cambria Math" panose="02040503050406030204" pitchFamily="18" charset="0"/>
                </a:rPr>
                <a:t>×</a:t>
              </a:r>
              <a:r>
                <a:rPr lang="en-US" sz="2000"/>
                <a:t> </a:t>
              </a:r>
              <a:r>
                <a:rPr lang="it-IT" sz="2000" b="0" i="0">
                  <a:latin typeface="Cambria Math" panose="02040503050406030204" pitchFamily="18" charset="0"/>
                </a:rPr>
                <a:t>𝑄_𝑅𝑂𝑇</a:t>
              </a:r>
              <a:r>
                <a:rPr lang="it-IT" sz="2000" b="0" i="0">
                  <a:latin typeface="Cambria Math" panose="02040503050406030204" pitchFamily="18" charset="0"/>
                  <a:ea typeface="Cambria Math" panose="02040503050406030204" pitchFamily="18" charset="0"/>
                </a:rPr>
                <a:t>×</a:t>
              </a:r>
              <a:r>
                <a:rPr lang="en-US" sz="2000"/>
                <a:t> </a:t>
              </a:r>
              <a:r>
                <a:rPr lang="it-IT" sz="2000" b="0" i="0">
                  <a:latin typeface="Cambria Math" panose="02040503050406030204" pitchFamily="18" charset="0"/>
                </a:rPr>
                <a:t>𝑄_𝐸𝐿</a:t>
              </a:r>
              <a:endParaRPr lang="en-US" sz="2000"/>
            </a:p>
          </xdr:txBody>
        </xdr:sp>
      </mc:Fallback>
    </mc:AlternateContent>
    <xdr:clientData/>
  </xdr:oneCellAnchor>
  <xdr:twoCellAnchor>
    <xdr:from>
      <xdr:col>25</xdr:col>
      <xdr:colOff>856511</xdr:colOff>
      <xdr:row>96</xdr:row>
      <xdr:rowOff>14766</xdr:rowOff>
    </xdr:from>
    <xdr:to>
      <xdr:col>30</xdr:col>
      <xdr:colOff>782674</xdr:colOff>
      <xdr:row>99</xdr:row>
      <xdr:rowOff>132906</xdr:rowOff>
    </xdr:to>
    <xdr:sp macro="" textlink="">
      <xdr:nvSpPr>
        <xdr:cNvPr id="65" name="TextBox 64">
          <a:extLst>
            <a:ext uri="{FF2B5EF4-FFF2-40B4-BE49-F238E27FC236}">
              <a16:creationId xmlns:a16="http://schemas.microsoft.com/office/drawing/2014/main" id="{184A8EEF-B257-5D4F-84DE-5543687AC8CF}"/>
            </a:ext>
          </a:extLst>
        </xdr:cNvPr>
        <xdr:cNvSpPr txBox="1"/>
      </xdr:nvSpPr>
      <xdr:spPr>
        <a:xfrm>
          <a:off x="25050011" y="25008366"/>
          <a:ext cx="5577663" cy="8674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baseline="0">
              <a:solidFill>
                <a:srgbClr val="FF0000"/>
              </a:solidFill>
            </a:rPr>
            <a:t>NOTE:To compute Q</a:t>
          </a:r>
          <a:r>
            <a:rPr lang="en-US" sz="1600" b="1" baseline="-25000">
              <a:solidFill>
                <a:srgbClr val="FF0000"/>
              </a:solidFill>
            </a:rPr>
            <a:t>tot</a:t>
          </a:r>
          <a:r>
            <a:rPr lang="en-US" sz="1600" b="1" baseline="0">
              <a:solidFill>
                <a:srgbClr val="FF0000"/>
              </a:solidFill>
            </a:rPr>
            <a:t>, the formula used to get Q</a:t>
          </a:r>
          <a:r>
            <a:rPr lang="en-US" sz="1600" b="1" baseline="-25000">
              <a:solidFill>
                <a:srgbClr val="FF0000"/>
              </a:solidFill>
            </a:rPr>
            <a:t>rot</a:t>
          </a:r>
          <a:r>
            <a:rPr lang="en-US" sz="1600" b="1" baseline="0">
              <a:solidFill>
                <a:srgbClr val="FF0000"/>
              </a:solidFill>
            </a:rPr>
            <a:t> is the one taken form the gaussian manual</a:t>
          </a:r>
          <a:endParaRPr lang="en-US" sz="1600" b="1">
            <a:solidFill>
              <a:srgbClr val="FF0000"/>
            </a:solidFill>
          </a:endParaRPr>
        </a:p>
      </xdr:txBody>
    </xdr:sp>
    <xdr:clientData/>
  </xdr:twoCellAnchor>
  <xdr:twoCellAnchor>
    <xdr:from>
      <xdr:col>32</xdr:col>
      <xdr:colOff>831850</xdr:colOff>
      <xdr:row>110</xdr:row>
      <xdr:rowOff>133349</xdr:rowOff>
    </xdr:from>
    <xdr:to>
      <xdr:col>38</xdr:col>
      <xdr:colOff>756596</xdr:colOff>
      <xdr:row>125</xdr:row>
      <xdr:rowOff>189148</xdr:rowOff>
    </xdr:to>
    <xdr:graphicFrame macro="">
      <xdr:nvGraphicFramePr>
        <xdr:cNvPr id="66" name="Chart 65">
          <a:extLst>
            <a:ext uri="{FF2B5EF4-FFF2-40B4-BE49-F238E27FC236}">
              <a16:creationId xmlns:a16="http://schemas.microsoft.com/office/drawing/2014/main" id="{791564D4-52F4-B446-8523-C1C4F0B751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334945</xdr:colOff>
      <xdr:row>26</xdr:row>
      <xdr:rowOff>139561</xdr:rowOff>
    </xdr:from>
    <xdr:to>
      <xdr:col>5</xdr:col>
      <xdr:colOff>181429</xdr:colOff>
      <xdr:row>26</xdr:row>
      <xdr:rowOff>139561</xdr:rowOff>
    </xdr:to>
    <xdr:cxnSp macro="">
      <xdr:nvCxnSpPr>
        <xdr:cNvPr id="2" name="Straight Arrow Connector 1">
          <a:extLst>
            <a:ext uri="{FF2B5EF4-FFF2-40B4-BE49-F238E27FC236}">
              <a16:creationId xmlns:a16="http://schemas.microsoft.com/office/drawing/2014/main" id="{759622EE-BAB8-BA40-BC87-29CF0C91CE9F}"/>
            </a:ext>
          </a:extLst>
        </xdr:cNvPr>
        <xdr:cNvCxnSpPr/>
      </xdr:nvCxnSpPr>
      <xdr:spPr>
        <a:xfrm>
          <a:off x="5884845" y="7073761"/>
          <a:ext cx="1218084"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4</xdr:col>
      <xdr:colOff>291961</xdr:colOff>
      <xdr:row>30</xdr:row>
      <xdr:rowOff>138445</xdr:rowOff>
    </xdr:from>
    <xdr:to>
      <xdr:col>5</xdr:col>
      <xdr:colOff>138445</xdr:colOff>
      <xdr:row>30</xdr:row>
      <xdr:rowOff>138445</xdr:rowOff>
    </xdr:to>
    <xdr:cxnSp macro="">
      <xdr:nvCxnSpPr>
        <xdr:cNvPr id="3" name="Straight Arrow Connector 2">
          <a:extLst>
            <a:ext uri="{FF2B5EF4-FFF2-40B4-BE49-F238E27FC236}">
              <a16:creationId xmlns:a16="http://schemas.microsoft.com/office/drawing/2014/main" id="{B78D5697-6993-3444-8708-5B5EEB6A9CED}"/>
            </a:ext>
          </a:extLst>
        </xdr:cNvPr>
        <xdr:cNvCxnSpPr/>
      </xdr:nvCxnSpPr>
      <xdr:spPr>
        <a:xfrm>
          <a:off x="5841861" y="8088645"/>
          <a:ext cx="1218084"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5</xdr:col>
      <xdr:colOff>63430</xdr:colOff>
      <xdr:row>29</xdr:row>
      <xdr:rowOff>165101</xdr:rowOff>
    </xdr:from>
    <xdr:ext cx="1638370" cy="401457"/>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83B28D39-0640-7B45-81A1-C28C06E85EDC}"/>
                </a:ext>
              </a:extLst>
            </xdr:cNvPr>
            <xdr:cNvSpPr txBox="1"/>
          </xdr:nvSpPr>
          <xdr:spPr>
            <a:xfrm>
              <a:off x="6984930" y="7861301"/>
              <a:ext cx="1638370" cy="4014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300" b="0" i="1">
                            <a:latin typeface="Cambria Math" panose="02040503050406030204" pitchFamily="18" charset="0"/>
                          </a:rPr>
                        </m:ctrlPr>
                      </m:sSubPr>
                      <m:e>
                        <m:r>
                          <a:rPr lang="it-IT" sz="1300" b="0" i="1">
                            <a:latin typeface="Cambria Math" panose="02040503050406030204" pitchFamily="18" charset="0"/>
                          </a:rPr>
                          <m:t>𝐵</m:t>
                        </m:r>
                      </m:e>
                      <m:sub>
                        <m:r>
                          <a:rPr lang="it-IT" sz="1300" b="0" i="1">
                            <a:latin typeface="Cambria Math" panose="02040503050406030204" pitchFamily="18" charset="0"/>
                          </a:rPr>
                          <m:t>𝑟𝑜𝑡</m:t>
                        </m:r>
                      </m:sub>
                    </m:sSub>
                    <m:r>
                      <a:rPr lang="it-IT" sz="1300" b="0" i="1">
                        <a:latin typeface="Cambria Math" panose="02040503050406030204" pitchFamily="18" charset="0"/>
                      </a:rPr>
                      <m:t>= </m:t>
                    </m:r>
                    <m:f>
                      <m:fPr>
                        <m:ctrlPr>
                          <a:rPr lang="it-IT" sz="1300" b="0" i="1">
                            <a:latin typeface="Cambria Math" panose="02040503050406030204" pitchFamily="18" charset="0"/>
                          </a:rPr>
                        </m:ctrlPr>
                      </m:fPr>
                      <m:num>
                        <m:sSup>
                          <m:sSupPr>
                            <m:ctrlPr>
                              <a:rPr lang="it-IT" sz="1300" b="0" i="1">
                                <a:latin typeface="Cambria Math" panose="02040503050406030204" pitchFamily="18" charset="0"/>
                              </a:rPr>
                            </m:ctrlPr>
                          </m:sSupPr>
                          <m:e>
                            <m:r>
                              <a:rPr lang="it-IT" sz="1300" b="0" i="1">
                                <a:latin typeface="Cambria Math" panose="02040503050406030204" pitchFamily="18" charset="0"/>
                              </a:rPr>
                              <m:t>h</m:t>
                            </m:r>
                          </m:e>
                          <m:sup>
                            <m:r>
                              <a:rPr lang="it-IT" sz="1300" b="0" i="1">
                                <a:latin typeface="Cambria Math" panose="02040503050406030204" pitchFamily="18" charset="0"/>
                              </a:rPr>
                              <m:t>2</m:t>
                            </m:r>
                          </m:sup>
                        </m:sSup>
                      </m:num>
                      <m:den>
                        <m:r>
                          <a:rPr lang="it-IT" sz="1300" b="0" i="1">
                            <a:latin typeface="Cambria Math" panose="02040503050406030204" pitchFamily="18" charset="0"/>
                          </a:rPr>
                          <m:t>8</m:t>
                        </m:r>
                        <m:sSup>
                          <m:sSupPr>
                            <m:ctrlPr>
                              <a:rPr lang="it-IT" sz="1300" b="0" i="1">
                                <a:latin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𝜋</m:t>
                            </m:r>
                          </m:e>
                          <m:sup>
                            <m:r>
                              <a:rPr lang="it-IT" sz="1300" b="0" i="1">
                                <a:latin typeface="Cambria Math" panose="02040503050406030204" pitchFamily="18" charset="0"/>
                              </a:rPr>
                              <m:t>2</m:t>
                            </m:r>
                          </m:sup>
                        </m:sSup>
                        <m:r>
                          <a:rPr lang="it-IT" sz="1300" b="0" i="1">
                            <a:latin typeface="Cambria Math" panose="02040503050406030204" pitchFamily="18" charset="0"/>
                            <a:ea typeface="Cambria Math" panose="02040503050406030204" pitchFamily="18" charset="0"/>
                          </a:rPr>
                          <m:t>𝐼</m:t>
                        </m:r>
                      </m:den>
                    </m:f>
                    <m:r>
                      <a:rPr lang="it-IT" sz="1300" b="0" i="1">
                        <a:latin typeface="Cambria Math" panose="02040503050406030204" pitchFamily="18" charset="0"/>
                      </a:rPr>
                      <m:t>=</m:t>
                    </m:r>
                    <m:f>
                      <m:fPr>
                        <m:ctrlPr>
                          <a:rPr lang="it-IT" sz="1300" b="0" i="1">
                            <a:latin typeface="Cambria Math" panose="02040503050406030204" pitchFamily="18" charset="0"/>
                          </a:rPr>
                        </m:ctrlPr>
                      </m:fPr>
                      <m:num>
                        <m:sSup>
                          <m:sSupPr>
                            <m:ctrlPr>
                              <a:rPr lang="it-IT" sz="1300" b="0" i="1">
                                <a:latin typeface="Cambria Math" panose="02040503050406030204" pitchFamily="18" charset="0"/>
                                <a:ea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ℏ</m:t>
                            </m:r>
                          </m:e>
                          <m:sup>
                            <m:r>
                              <a:rPr lang="it-IT" sz="1300" b="0" i="1">
                                <a:latin typeface="Cambria Math" panose="02040503050406030204" pitchFamily="18" charset="0"/>
                                <a:ea typeface="Cambria Math" panose="02040503050406030204" pitchFamily="18" charset="0"/>
                              </a:rPr>
                              <m:t>2</m:t>
                            </m:r>
                          </m:sup>
                        </m:sSup>
                      </m:num>
                      <m:den>
                        <m:r>
                          <a:rPr lang="it-IT" sz="1300" b="0" i="1">
                            <a:latin typeface="Cambria Math" panose="02040503050406030204" pitchFamily="18" charset="0"/>
                          </a:rPr>
                          <m:t>2</m:t>
                        </m:r>
                        <m:r>
                          <a:rPr lang="it-IT" sz="1300" b="0" i="1">
                            <a:latin typeface="Cambria Math" panose="02040503050406030204" pitchFamily="18" charset="0"/>
                          </a:rPr>
                          <m:t>𝐼</m:t>
                        </m:r>
                      </m:den>
                    </m:f>
                  </m:oMath>
                </m:oMathPara>
              </a14:m>
              <a:endParaRPr lang="en-US" sz="1300"/>
            </a:p>
          </xdr:txBody>
        </xdr:sp>
      </mc:Choice>
      <mc:Fallback xmlns="">
        <xdr:sp macro="" textlink="">
          <xdr:nvSpPr>
            <xdr:cNvPr id="4" name="TextBox 3">
              <a:extLst>
                <a:ext uri="{FF2B5EF4-FFF2-40B4-BE49-F238E27FC236}">
                  <a16:creationId xmlns:a16="http://schemas.microsoft.com/office/drawing/2014/main" id="{83B28D39-0640-7B45-81A1-C28C06E85EDC}"/>
                </a:ext>
              </a:extLst>
            </xdr:cNvPr>
            <xdr:cNvSpPr txBox="1"/>
          </xdr:nvSpPr>
          <xdr:spPr>
            <a:xfrm>
              <a:off x="6984930" y="7861301"/>
              <a:ext cx="1638370" cy="4014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300" b="0" i="0">
                  <a:latin typeface="Cambria Math" panose="02040503050406030204" pitchFamily="18" charset="0"/>
                </a:rPr>
                <a:t>𝐵_𝑟𝑜𝑡=  ℎ^2/(8</a:t>
              </a:r>
              <a:r>
                <a:rPr lang="it-IT" sz="1300" b="0" i="0">
                  <a:latin typeface="Cambria Math" panose="02040503050406030204" pitchFamily="18" charset="0"/>
                  <a:ea typeface="Cambria Math" panose="02040503050406030204" pitchFamily="18" charset="0"/>
                </a:rPr>
                <a:t>𝜋^</a:t>
              </a:r>
              <a:r>
                <a:rPr lang="it-IT" sz="1300" b="0" i="0">
                  <a:latin typeface="Cambria Math" panose="02040503050406030204" pitchFamily="18" charset="0"/>
                </a:rPr>
                <a:t>2</a:t>
              </a:r>
              <a:r>
                <a:rPr lang="it-IT" sz="1300" b="0" i="0">
                  <a:latin typeface="Cambria Math" panose="02040503050406030204" pitchFamily="18" charset="0"/>
                  <a:ea typeface="Cambria Math" panose="02040503050406030204" pitchFamily="18" charset="0"/>
                </a:rPr>
                <a:t> 𝐼)</a:t>
              </a:r>
              <a:r>
                <a:rPr lang="it-IT" sz="1300" b="0" i="0">
                  <a:latin typeface="Cambria Math" panose="02040503050406030204" pitchFamily="18" charset="0"/>
                </a:rPr>
                <a:t>=</a:t>
              </a:r>
              <a:r>
                <a:rPr lang="it-IT" sz="1300" b="0" i="0">
                  <a:latin typeface="Cambria Math" panose="02040503050406030204" pitchFamily="18" charset="0"/>
                  <a:ea typeface="Cambria Math" panose="02040503050406030204" pitchFamily="18" charset="0"/>
                </a:rPr>
                <a:t>ℏ^2/</a:t>
              </a:r>
              <a:r>
                <a:rPr lang="it-IT" sz="1300" b="0" i="0">
                  <a:latin typeface="Cambria Math" panose="02040503050406030204" pitchFamily="18" charset="0"/>
                </a:rPr>
                <a:t>2𝐼</a:t>
              </a:r>
              <a:endParaRPr lang="en-US" sz="1300"/>
            </a:p>
          </xdr:txBody>
        </xdr:sp>
      </mc:Fallback>
    </mc:AlternateContent>
    <xdr:clientData/>
  </xdr:oneCellAnchor>
  <xdr:oneCellAnchor>
    <xdr:from>
      <xdr:col>5</xdr:col>
      <xdr:colOff>102893</xdr:colOff>
      <xdr:row>25</xdr:row>
      <xdr:rowOff>141854</xdr:rowOff>
    </xdr:from>
    <xdr:ext cx="1638370" cy="434158"/>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4704108D-C5DD-624E-A2A8-FDF5CA022449}"/>
                </a:ext>
              </a:extLst>
            </xdr:cNvPr>
            <xdr:cNvSpPr txBox="1"/>
          </xdr:nvSpPr>
          <xdr:spPr>
            <a:xfrm>
              <a:off x="7024393" y="6822054"/>
              <a:ext cx="1638370" cy="4341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300" b="0" i="1">
                            <a:latin typeface="Cambria Math" panose="02040503050406030204" pitchFamily="18" charset="0"/>
                          </a:rPr>
                        </m:ctrlPr>
                      </m:sSubPr>
                      <m:e>
                        <m:r>
                          <a:rPr lang="it-IT" sz="1300" b="0" i="1">
                            <a:latin typeface="Cambria Math" panose="02040503050406030204" pitchFamily="18" charset="0"/>
                            <a:ea typeface="Cambria Math" panose="02040503050406030204" pitchFamily="18" charset="0"/>
                          </a:rPr>
                          <m:t>𝜃</m:t>
                        </m:r>
                      </m:e>
                      <m:sub>
                        <m:r>
                          <a:rPr lang="it-IT" sz="1300" b="0" i="1">
                            <a:latin typeface="Cambria Math" panose="02040503050406030204" pitchFamily="18" charset="0"/>
                          </a:rPr>
                          <m:t>𝑟𝑜𝑡</m:t>
                        </m:r>
                      </m:sub>
                    </m:sSub>
                    <m:r>
                      <a:rPr lang="it-IT" sz="1300" b="0" i="1">
                        <a:latin typeface="Cambria Math" panose="02040503050406030204" pitchFamily="18" charset="0"/>
                      </a:rPr>
                      <m:t>= </m:t>
                    </m:r>
                    <m:f>
                      <m:fPr>
                        <m:ctrlPr>
                          <a:rPr lang="it-IT" sz="1300" b="0" i="1">
                            <a:latin typeface="Cambria Math" panose="02040503050406030204" pitchFamily="18" charset="0"/>
                          </a:rPr>
                        </m:ctrlPr>
                      </m:fPr>
                      <m:num>
                        <m:sSup>
                          <m:sSupPr>
                            <m:ctrlPr>
                              <a:rPr lang="it-IT" sz="1300" b="0" i="1">
                                <a:latin typeface="Cambria Math" panose="02040503050406030204" pitchFamily="18" charset="0"/>
                              </a:rPr>
                            </m:ctrlPr>
                          </m:sSupPr>
                          <m:e>
                            <m:r>
                              <a:rPr lang="it-IT" sz="1300" b="0" i="1">
                                <a:latin typeface="Cambria Math" panose="02040503050406030204" pitchFamily="18" charset="0"/>
                              </a:rPr>
                              <m:t>h</m:t>
                            </m:r>
                          </m:e>
                          <m:sup>
                            <m:r>
                              <a:rPr lang="it-IT" sz="1300" b="0" i="1">
                                <a:latin typeface="Cambria Math" panose="02040503050406030204" pitchFamily="18" charset="0"/>
                              </a:rPr>
                              <m:t>2</m:t>
                            </m:r>
                          </m:sup>
                        </m:sSup>
                      </m:num>
                      <m:den>
                        <m:r>
                          <a:rPr lang="it-IT" sz="1300" b="0" i="1">
                            <a:latin typeface="Cambria Math" panose="02040503050406030204" pitchFamily="18" charset="0"/>
                          </a:rPr>
                          <m:t>8</m:t>
                        </m:r>
                        <m:sSup>
                          <m:sSupPr>
                            <m:ctrlPr>
                              <a:rPr lang="it-IT" sz="1300" b="0" i="1">
                                <a:latin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𝜋</m:t>
                            </m:r>
                          </m:e>
                          <m:sup>
                            <m:r>
                              <a:rPr lang="it-IT" sz="1300" b="0" i="1">
                                <a:latin typeface="Cambria Math" panose="02040503050406030204" pitchFamily="18" charset="0"/>
                              </a:rPr>
                              <m:t>2</m:t>
                            </m:r>
                          </m:sup>
                        </m:sSup>
                        <m:r>
                          <a:rPr lang="it-IT" sz="1300" b="0" i="1">
                            <a:latin typeface="Cambria Math" panose="02040503050406030204" pitchFamily="18" charset="0"/>
                            <a:ea typeface="Cambria Math" panose="02040503050406030204" pitchFamily="18" charset="0"/>
                          </a:rPr>
                          <m:t>𝐼</m:t>
                        </m:r>
                        <m:r>
                          <a:rPr lang="it-IT" sz="1300" b="0" i="1">
                            <a:latin typeface="Cambria Math" panose="02040503050406030204" pitchFamily="18" charset="0"/>
                            <a:ea typeface="Cambria Math" panose="02040503050406030204" pitchFamily="18" charset="0"/>
                          </a:rPr>
                          <m:t> </m:t>
                        </m:r>
                        <m:sSub>
                          <m:sSubPr>
                            <m:ctrlPr>
                              <a:rPr lang="it-IT" sz="1300" b="0" i="1">
                                <a:latin typeface="Cambria Math" panose="02040503050406030204" pitchFamily="18" charset="0"/>
                                <a:ea typeface="Cambria Math" panose="02040503050406030204" pitchFamily="18" charset="0"/>
                              </a:rPr>
                            </m:ctrlPr>
                          </m:sSubPr>
                          <m:e>
                            <m:r>
                              <a:rPr lang="it-IT" sz="1300" b="0" i="1">
                                <a:latin typeface="Cambria Math" panose="02040503050406030204" pitchFamily="18" charset="0"/>
                                <a:ea typeface="Cambria Math" panose="02040503050406030204" pitchFamily="18" charset="0"/>
                              </a:rPr>
                              <m:t>𝑘</m:t>
                            </m:r>
                          </m:e>
                          <m:sub>
                            <m:r>
                              <a:rPr lang="it-IT" sz="1300" b="0" i="1">
                                <a:latin typeface="Cambria Math" panose="02040503050406030204" pitchFamily="18" charset="0"/>
                                <a:ea typeface="Cambria Math" panose="02040503050406030204" pitchFamily="18" charset="0"/>
                              </a:rPr>
                              <m:t>𝑏</m:t>
                            </m:r>
                          </m:sub>
                        </m:sSub>
                      </m:den>
                    </m:f>
                  </m:oMath>
                </m:oMathPara>
              </a14:m>
              <a:endParaRPr lang="en-US" sz="1300"/>
            </a:p>
          </xdr:txBody>
        </xdr:sp>
      </mc:Choice>
      <mc:Fallback xmlns="">
        <xdr:sp macro="" textlink="">
          <xdr:nvSpPr>
            <xdr:cNvPr id="5" name="TextBox 4">
              <a:extLst>
                <a:ext uri="{FF2B5EF4-FFF2-40B4-BE49-F238E27FC236}">
                  <a16:creationId xmlns:a16="http://schemas.microsoft.com/office/drawing/2014/main" id="{4704108D-C5DD-624E-A2A8-FDF5CA022449}"/>
                </a:ext>
              </a:extLst>
            </xdr:cNvPr>
            <xdr:cNvSpPr txBox="1"/>
          </xdr:nvSpPr>
          <xdr:spPr>
            <a:xfrm>
              <a:off x="7024393" y="6822054"/>
              <a:ext cx="1638370" cy="4341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300" b="0" i="0">
                  <a:latin typeface="Cambria Math" panose="02040503050406030204" pitchFamily="18" charset="0"/>
                  <a:ea typeface="Cambria Math" panose="02040503050406030204" pitchFamily="18" charset="0"/>
                </a:rPr>
                <a:t>𝜃_</a:t>
              </a:r>
              <a:r>
                <a:rPr lang="it-IT" sz="1300" b="0" i="0">
                  <a:latin typeface="Cambria Math" panose="02040503050406030204" pitchFamily="18" charset="0"/>
                </a:rPr>
                <a:t>𝑟𝑜𝑡=  ℎ^2/(8</a:t>
              </a:r>
              <a:r>
                <a:rPr lang="it-IT" sz="1300" b="0" i="0">
                  <a:latin typeface="Cambria Math" panose="02040503050406030204" pitchFamily="18" charset="0"/>
                  <a:ea typeface="Cambria Math" panose="02040503050406030204" pitchFamily="18" charset="0"/>
                </a:rPr>
                <a:t>𝜋^</a:t>
              </a:r>
              <a:r>
                <a:rPr lang="it-IT" sz="1300" b="0" i="0">
                  <a:latin typeface="Cambria Math" panose="02040503050406030204" pitchFamily="18" charset="0"/>
                </a:rPr>
                <a:t>2</a:t>
              </a:r>
              <a:r>
                <a:rPr lang="it-IT" sz="1300" b="0" i="0">
                  <a:latin typeface="Cambria Math" panose="02040503050406030204" pitchFamily="18" charset="0"/>
                  <a:ea typeface="Cambria Math" panose="02040503050406030204" pitchFamily="18" charset="0"/>
                </a:rPr>
                <a:t> 𝐼 𝑘_𝑏 )</a:t>
              </a:r>
              <a:endParaRPr lang="en-US" sz="1300"/>
            </a:p>
          </xdr:txBody>
        </xdr:sp>
      </mc:Fallback>
    </mc:AlternateContent>
    <xdr:clientData/>
  </xdr:oneCellAnchor>
  <xdr:twoCellAnchor>
    <xdr:from>
      <xdr:col>4</xdr:col>
      <xdr:colOff>452528</xdr:colOff>
      <xdr:row>55</xdr:row>
      <xdr:rowOff>131380</xdr:rowOff>
    </xdr:from>
    <xdr:to>
      <xdr:col>6</xdr:col>
      <xdr:colOff>613104</xdr:colOff>
      <xdr:row>55</xdr:row>
      <xdr:rowOff>145977</xdr:rowOff>
    </xdr:to>
    <xdr:cxnSp macro="">
      <xdr:nvCxnSpPr>
        <xdr:cNvPr id="6" name="Straight Arrow Connector 5">
          <a:extLst>
            <a:ext uri="{FF2B5EF4-FFF2-40B4-BE49-F238E27FC236}">
              <a16:creationId xmlns:a16="http://schemas.microsoft.com/office/drawing/2014/main" id="{9F90C311-72E3-064A-8781-E0336FCCF1BE}"/>
            </a:ext>
          </a:extLst>
        </xdr:cNvPr>
        <xdr:cNvCxnSpPr/>
      </xdr:nvCxnSpPr>
      <xdr:spPr>
        <a:xfrm>
          <a:off x="6002428" y="150284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125030</xdr:colOff>
      <xdr:row>53</xdr:row>
      <xdr:rowOff>179868</xdr:rowOff>
    </xdr:from>
    <xdr:ext cx="2143857" cy="608821"/>
    <mc:AlternateContent xmlns:mc="http://schemas.openxmlformats.org/markup-compatibility/2006" xmlns:a14="http://schemas.microsoft.com/office/drawing/2010/main">
      <mc:Choice Requires="a14">
        <xdr:sp macro="" textlink="">
          <xdr:nvSpPr>
            <xdr:cNvPr id="7" name="TextBox 6">
              <a:extLst>
                <a:ext uri="{FF2B5EF4-FFF2-40B4-BE49-F238E27FC236}">
                  <a16:creationId xmlns:a16="http://schemas.microsoft.com/office/drawing/2014/main" id="{30228D56-DACB-C841-93E4-3823604151BC}"/>
                </a:ext>
              </a:extLst>
            </xdr:cNvPr>
            <xdr:cNvSpPr txBox="1"/>
          </xdr:nvSpPr>
          <xdr:spPr>
            <a:xfrm>
              <a:off x="9421430" y="14581668"/>
              <a:ext cx="2143857"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sSup>
                      <m:sSupPr>
                        <m:ctrlPr>
                          <a:rPr lang="it-IT" sz="1600" b="0" i="1">
                            <a:latin typeface="Cambria Math" panose="02040503050406030204" pitchFamily="18" charset="0"/>
                          </a:rPr>
                        </m:ctrlPr>
                      </m:sSupPr>
                      <m:e>
                        <m:r>
                          <a:rPr lang="it-IT" sz="1600" b="0" i="1">
                            <a:latin typeface="Cambria Math" panose="02040503050406030204" pitchFamily="18" charset="0"/>
                          </a:rPr>
                          <m:t> </m:t>
                        </m:r>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r>
                                  <a:rPr lang="it-IT" sz="1600" b="0" i="1">
                                    <a:latin typeface="Cambria Math" panose="02040503050406030204" pitchFamily="18" charset="0"/>
                                    <a:ea typeface="Cambria Math" panose="02040503050406030204" pitchFamily="18" charset="0"/>
                                  </a:rPr>
                                  <m:t>𝑚</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num>
                              <m:den>
                                <m:sSup>
                                  <m:sSupPr>
                                    <m:ctrlPr>
                                      <a:rPr lang="it-IT" sz="1600" b="0" i="1">
                                        <a:latin typeface="Cambria Math" panose="02040503050406030204" pitchFamily="18" charset="0"/>
                                      </a:rPr>
                                    </m:ctrlPr>
                                  </m:sSupPr>
                                  <m:e>
                                    <m:r>
                                      <a:rPr lang="it-IT" sz="1600" b="0" i="1">
                                        <a:latin typeface="Cambria Math" panose="02040503050406030204" pitchFamily="18" charset="0"/>
                                      </a:rPr>
                                      <m:t>h</m:t>
                                    </m:r>
                                  </m:e>
                                  <m:sup>
                                    <m:r>
                                      <a:rPr lang="it-IT" sz="1600" b="0" i="1">
                                        <a:latin typeface="Cambria Math" panose="02040503050406030204" pitchFamily="18" charset="0"/>
                                      </a:rPr>
                                      <m:t>2</m:t>
                                    </m:r>
                                  </m:sup>
                                </m:sSup>
                              </m:den>
                            </m:f>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r>
                      <a:rPr lang="it-IT" sz="1600" b="0" i="1">
                        <a:latin typeface="Cambria Math" panose="02040503050406030204" pitchFamily="18" charset="0"/>
                      </a:rPr>
                      <m:t>𝑉</m:t>
                    </m:r>
                  </m:oMath>
                </m:oMathPara>
              </a14:m>
              <a:endParaRPr lang="en-US" sz="1600"/>
            </a:p>
          </xdr:txBody>
        </xdr:sp>
      </mc:Choice>
      <mc:Fallback xmlns="">
        <xdr:sp macro="" textlink="">
          <xdr:nvSpPr>
            <xdr:cNvPr id="7" name="TextBox 6">
              <a:extLst>
                <a:ext uri="{FF2B5EF4-FFF2-40B4-BE49-F238E27FC236}">
                  <a16:creationId xmlns:a16="http://schemas.microsoft.com/office/drawing/2014/main" id="{30228D56-DACB-C841-93E4-3823604151BC}"/>
                </a:ext>
              </a:extLst>
            </xdr:cNvPr>
            <xdr:cNvSpPr txBox="1"/>
          </xdr:nvSpPr>
          <xdr:spPr>
            <a:xfrm>
              <a:off x="9421430" y="14581668"/>
              <a:ext cx="2143857"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 ((2</a:t>
              </a:r>
              <a:r>
                <a:rPr lang="it-IT" sz="1600" b="0" i="0">
                  <a:latin typeface="Cambria Math" panose="02040503050406030204" pitchFamily="18" charset="0"/>
                  <a:ea typeface="Cambria Math" panose="02040503050406030204" pitchFamily="18" charset="0"/>
                </a:rPr>
                <a:t>𝜋𝑚𝑘_𝑏 𝑇)/</a:t>
              </a:r>
              <a:r>
                <a:rPr lang="it-IT" sz="1600" b="0" i="0">
                  <a:latin typeface="Cambria Math" panose="02040503050406030204" pitchFamily="18" charset="0"/>
                </a:rPr>
                <a:t>ℎ^2 )〗^(3/2) 𝑉</a:t>
              </a:r>
              <a:endParaRPr lang="en-US" sz="1600"/>
            </a:p>
          </xdr:txBody>
        </xdr:sp>
      </mc:Fallback>
    </mc:AlternateContent>
    <xdr:clientData/>
  </xdr:oneCellAnchor>
  <xdr:oneCellAnchor>
    <xdr:from>
      <xdr:col>7</xdr:col>
      <xdr:colOff>104790</xdr:colOff>
      <xdr:row>56</xdr:row>
      <xdr:rowOff>61497</xdr:rowOff>
    </xdr:from>
    <xdr:ext cx="2729209" cy="608821"/>
    <mc:AlternateContent xmlns:mc="http://schemas.openxmlformats.org/markup-compatibility/2006" xmlns:a14="http://schemas.microsoft.com/office/drawing/2010/main">
      <mc:Choice Requires="a14">
        <xdr:sp macro="" textlink="">
          <xdr:nvSpPr>
            <xdr:cNvPr id="8" name="TextBox 7">
              <a:extLst>
                <a:ext uri="{FF2B5EF4-FFF2-40B4-BE49-F238E27FC236}">
                  <a16:creationId xmlns:a16="http://schemas.microsoft.com/office/drawing/2014/main" id="{CF333162-4E05-0C49-8A15-CB7D5B01946D}"/>
                </a:ext>
              </a:extLst>
            </xdr:cNvPr>
            <xdr:cNvSpPr txBox="1"/>
          </xdr:nvSpPr>
          <xdr:spPr>
            <a:xfrm>
              <a:off x="9401190" y="15301497"/>
              <a:ext cx="2729209"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n-US" sz="160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up>
                        <m:r>
                          <a:rPr lang="it-IT" sz="1600" b="0" i="1">
                            <a:latin typeface="Cambria Math" panose="02040503050406030204" pitchFamily="18" charset="0"/>
                          </a:rPr>
                          <m:t>𝑢𝑑𝑣</m:t>
                        </m:r>
                      </m:sup>
                    </m:sSubSup>
                    <m:r>
                      <a:rPr lang="it-IT" sz="1600" b="0" i="1">
                        <a:latin typeface="Cambria Math" panose="02040503050406030204" pitchFamily="18" charset="0"/>
                      </a:rPr>
                      <m:t>=</m:t>
                    </m:r>
                    <m:f>
                      <m:fPr>
                        <m:ctrlPr>
                          <a:rPr lang="it-IT" sz="1600" b="0" i="1">
                            <a:latin typeface="Cambria Math" panose="02040503050406030204" pitchFamily="18" charset="0"/>
                          </a:rPr>
                        </m:ctrlPr>
                      </m:fPr>
                      <m:num>
                        <m:sSub>
                          <m:sSubPr>
                            <m:ctrlPr>
                              <a:rPr lang="it-IT" sz="1600" b="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𝑡𝑟𝑎𝑠𝑙</m:t>
                            </m:r>
                          </m:sub>
                        </m:sSub>
                      </m:num>
                      <m:den>
                        <m:r>
                          <a:rPr lang="it-IT" sz="1600" b="0" i="1">
                            <a:latin typeface="Cambria Math" panose="02040503050406030204" pitchFamily="18" charset="0"/>
                          </a:rPr>
                          <m:t>𝑉</m:t>
                        </m:r>
                      </m:den>
                    </m:f>
                    <m:r>
                      <a:rPr lang="it-IT" sz="1600" b="0" i="1">
                        <a:latin typeface="Cambria Math" panose="02040503050406030204" pitchFamily="18" charset="0"/>
                      </a:rPr>
                      <m:t>=</m:t>
                    </m:r>
                    <m:sSup>
                      <m:sSupPr>
                        <m:ctrlPr>
                          <a:rPr lang="it-IT" sz="1600" b="0" i="1">
                            <a:latin typeface="Cambria Math" panose="02040503050406030204" pitchFamily="18" charset="0"/>
                          </a:rPr>
                        </m:ctrlPr>
                      </m:sSupPr>
                      <m:e>
                        <m:r>
                          <a:rPr lang="it-IT" sz="1600" b="0" i="1">
                            <a:latin typeface="Cambria Math" panose="02040503050406030204" pitchFamily="18" charset="0"/>
                          </a:rPr>
                          <m:t> </m:t>
                        </m:r>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r>
                                  <a:rPr lang="it-IT" sz="1600" b="0" i="1">
                                    <a:latin typeface="Cambria Math" panose="02040503050406030204" pitchFamily="18" charset="0"/>
                                    <a:ea typeface="Cambria Math" panose="02040503050406030204" pitchFamily="18" charset="0"/>
                                  </a:rPr>
                                  <m:t>𝑚</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num>
                              <m:den>
                                <m:sSup>
                                  <m:sSupPr>
                                    <m:ctrlPr>
                                      <a:rPr lang="it-IT" sz="1600" b="0" i="1">
                                        <a:latin typeface="Cambria Math" panose="02040503050406030204" pitchFamily="18" charset="0"/>
                                      </a:rPr>
                                    </m:ctrlPr>
                                  </m:sSupPr>
                                  <m:e>
                                    <m:r>
                                      <a:rPr lang="it-IT" sz="1600" b="0" i="1">
                                        <a:latin typeface="Cambria Math" panose="02040503050406030204" pitchFamily="18" charset="0"/>
                                      </a:rPr>
                                      <m:t>h</m:t>
                                    </m:r>
                                  </m:e>
                                  <m:sup>
                                    <m:r>
                                      <a:rPr lang="it-IT" sz="1600" b="0" i="1">
                                        <a:latin typeface="Cambria Math" panose="02040503050406030204" pitchFamily="18" charset="0"/>
                                      </a:rPr>
                                      <m:t>2</m:t>
                                    </m:r>
                                  </m:sup>
                                </m:sSup>
                              </m:den>
                            </m:f>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oMath>
                </m:oMathPara>
              </a14:m>
              <a:endParaRPr lang="en-US" sz="1600"/>
            </a:p>
          </xdr:txBody>
        </xdr:sp>
      </mc:Choice>
      <mc:Fallback xmlns="">
        <xdr:sp macro="" textlink="">
          <xdr:nvSpPr>
            <xdr:cNvPr id="8" name="TextBox 7">
              <a:extLst>
                <a:ext uri="{FF2B5EF4-FFF2-40B4-BE49-F238E27FC236}">
                  <a16:creationId xmlns:a16="http://schemas.microsoft.com/office/drawing/2014/main" id="{CF333162-4E05-0C49-8A15-CB7D5B01946D}"/>
                </a:ext>
              </a:extLst>
            </xdr:cNvPr>
            <xdr:cNvSpPr txBox="1"/>
          </xdr:nvSpPr>
          <xdr:spPr>
            <a:xfrm>
              <a:off x="9401190" y="15301497"/>
              <a:ext cx="2729209"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𝑡𝑟𝑎𝑛𝑠𝑙^𝑢𝑑𝑣=𝑄_𝑡𝑟𝑎𝑠𝑙/𝑉=〖 ((2</a:t>
              </a:r>
              <a:r>
                <a:rPr lang="it-IT" sz="1600" b="0" i="0">
                  <a:latin typeface="Cambria Math" panose="02040503050406030204" pitchFamily="18" charset="0"/>
                  <a:ea typeface="Cambria Math" panose="02040503050406030204" pitchFamily="18" charset="0"/>
                </a:rPr>
                <a:t>𝜋𝑚𝑘_𝑏 𝑇)/</a:t>
              </a:r>
              <a:r>
                <a:rPr lang="it-IT" sz="1600" b="0" i="0">
                  <a:latin typeface="Cambria Math" panose="02040503050406030204" pitchFamily="18" charset="0"/>
                </a:rPr>
                <a:t>ℎ^2 )〗^(3/2)</a:t>
              </a:r>
              <a:endParaRPr lang="en-US" sz="1600"/>
            </a:p>
          </xdr:txBody>
        </xdr:sp>
      </mc:Fallback>
    </mc:AlternateContent>
    <xdr:clientData/>
  </xdr:oneCellAnchor>
  <xdr:twoCellAnchor>
    <xdr:from>
      <xdr:col>6</xdr:col>
      <xdr:colOff>750454</xdr:colOff>
      <xdr:row>54</xdr:row>
      <xdr:rowOff>72159</xdr:rowOff>
    </xdr:from>
    <xdr:to>
      <xdr:col>7</xdr:col>
      <xdr:colOff>137102</xdr:colOff>
      <xdr:row>58</xdr:row>
      <xdr:rowOff>202046</xdr:rowOff>
    </xdr:to>
    <xdr:sp macro="" textlink="">
      <xdr:nvSpPr>
        <xdr:cNvPr id="9" name="Left Brace 8">
          <a:extLst>
            <a:ext uri="{FF2B5EF4-FFF2-40B4-BE49-F238E27FC236}">
              <a16:creationId xmlns:a16="http://schemas.microsoft.com/office/drawing/2014/main" id="{4A14A2ED-ECE2-0549-869F-571B9AC2438C}"/>
            </a:ext>
          </a:extLst>
        </xdr:cNvPr>
        <xdr:cNvSpPr/>
      </xdr:nvSpPr>
      <xdr:spPr>
        <a:xfrm>
          <a:off x="8764154" y="14727959"/>
          <a:ext cx="669348" cy="1196687"/>
        </a:xfrm>
        <a:prstGeom prst="leftBrace">
          <a:avLst>
            <a:gd name="adj1" fmla="val 8333"/>
            <a:gd name="adj2" fmla="val 26786"/>
          </a:avLst>
        </a:prstGeom>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10</xdr:col>
      <xdr:colOff>760147</xdr:colOff>
      <xdr:row>54</xdr:row>
      <xdr:rowOff>185401</xdr:rowOff>
    </xdr:from>
    <xdr:to>
      <xdr:col>14</xdr:col>
      <xdr:colOff>1079500</xdr:colOff>
      <xdr:row>59</xdr:row>
      <xdr:rowOff>83431</xdr:rowOff>
    </xdr:to>
    <mc:AlternateContent xmlns:mc="http://schemas.openxmlformats.org/markup-compatibility/2006" xmlns:a14="http://schemas.microsoft.com/office/drawing/2010/main">
      <mc:Choice Requires="a14">
        <xdr:sp macro="" textlink="">
          <xdr:nvSpPr>
            <xdr:cNvPr id="10" name="Rectangle 9">
              <a:extLst>
                <a:ext uri="{FF2B5EF4-FFF2-40B4-BE49-F238E27FC236}">
                  <a16:creationId xmlns:a16="http://schemas.microsoft.com/office/drawing/2014/main" id="{960994AD-AA04-AB4D-86A2-7BFC37153ABC}"/>
                </a:ext>
              </a:extLst>
            </xdr:cNvPr>
            <xdr:cNvSpPr/>
          </xdr:nvSpPr>
          <xdr:spPr>
            <a:xfrm>
              <a:off x="12863247" y="14841201"/>
              <a:ext cx="4726253" cy="120613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here</a:t>
              </a:r>
              <a:r>
                <a:rPr lang="en-US" sz="1100" baseline="0"/>
                <a:t> V is volume of the system considered (abc for a cubic volume).</a:t>
              </a:r>
            </a:p>
            <a:p>
              <a:pPr algn="l"/>
              <a:endParaRPr lang="en-US" sz="1100" baseline="0"/>
            </a:p>
            <a:p>
              <a:pPr algn="l"/>
              <a:r>
                <a:rPr lang="en-US" sz="1100" b="0" baseline="0"/>
                <a:t>In gaussian, since no volume is specified, the ideal gasses equation is used: </a:t>
              </a:r>
              <a14:m>
                <m:oMath xmlns:m="http://schemas.openxmlformats.org/officeDocument/2006/math">
                  <m:r>
                    <a:rPr lang="it-IT" sz="1100" b="0" i="1" baseline="0">
                      <a:latin typeface="Cambria Math" panose="02040503050406030204" pitchFamily="18" charset="0"/>
                    </a:rPr>
                    <m:t>𝑃𝑉</m:t>
                  </m:r>
                  <m:r>
                    <a:rPr lang="it-IT" sz="1100" b="0" i="1" baseline="0">
                      <a:latin typeface="Cambria Math" panose="02040503050406030204" pitchFamily="18" charset="0"/>
                    </a:rPr>
                    <m:t>=</m:t>
                  </m:r>
                  <m:r>
                    <a:rPr lang="it-IT" sz="1100" b="0" i="1" baseline="0">
                      <a:latin typeface="Cambria Math" panose="02040503050406030204" pitchFamily="18" charset="0"/>
                    </a:rPr>
                    <m:t>𝑁𝑅𝑇</m:t>
                  </m:r>
                  <m:r>
                    <a:rPr lang="it-IT" sz="1100" b="0" i="1" baseline="0">
                      <a:latin typeface="Cambria Math" panose="02040503050406030204" pitchFamily="18" charset="0"/>
                    </a:rPr>
                    <m:t>=</m:t>
                  </m:r>
                  <m:d>
                    <m:dPr>
                      <m:ctrlPr>
                        <a:rPr lang="it-IT" sz="1100" b="0" i="1" baseline="0">
                          <a:latin typeface="Cambria Math" panose="02040503050406030204" pitchFamily="18" charset="0"/>
                        </a:rPr>
                      </m:ctrlPr>
                    </m:dPr>
                    <m:e>
                      <m:f>
                        <m:fPr>
                          <m:ctrlPr>
                            <a:rPr lang="it-IT" sz="1100" b="0" i="1" baseline="0">
                              <a:latin typeface="Cambria Math" panose="02040503050406030204" pitchFamily="18" charset="0"/>
                            </a:rPr>
                          </m:ctrlPr>
                        </m:fPr>
                        <m:num>
                          <m:r>
                            <a:rPr lang="it-IT" sz="1100" b="0" i="1" baseline="0">
                              <a:latin typeface="Cambria Math" panose="02040503050406030204" pitchFamily="18" charset="0"/>
                            </a:rPr>
                            <m:t>𝑛</m:t>
                          </m:r>
                        </m:num>
                        <m:den>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𝑁</m:t>
                              </m:r>
                            </m:e>
                            <m:sub>
                              <m:r>
                                <a:rPr lang="it-IT" sz="1100" b="0" i="1" baseline="0">
                                  <a:latin typeface="Cambria Math" panose="02040503050406030204" pitchFamily="18" charset="0"/>
                                </a:rPr>
                                <m:t>𝐴</m:t>
                              </m:r>
                            </m:sub>
                          </m:sSub>
                        </m:den>
                      </m:f>
                    </m:e>
                  </m:d>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𝑁</m:t>
                      </m:r>
                    </m:e>
                    <m:sub>
                      <m:r>
                        <a:rPr lang="it-IT" sz="1100" b="0" i="1" baseline="0">
                          <a:latin typeface="Cambria Math" panose="02040503050406030204" pitchFamily="18" charset="0"/>
                        </a:rPr>
                        <m:t>𝐴</m:t>
                      </m:r>
                    </m:sub>
                  </m:sSub>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𝑘</m:t>
                      </m:r>
                    </m:e>
                    <m:sub>
                      <m:r>
                        <a:rPr lang="it-IT" sz="1100" b="0" i="1" baseline="0">
                          <a:latin typeface="Cambria Math" panose="02040503050406030204" pitchFamily="18" charset="0"/>
                        </a:rPr>
                        <m:t>𝑏</m:t>
                      </m:r>
                    </m:sub>
                  </m:sSub>
                  <m:r>
                    <a:rPr lang="it-IT" sz="1100" b="0" i="1" baseline="0">
                      <a:latin typeface="Cambria Math" panose="02040503050406030204" pitchFamily="18" charset="0"/>
                    </a:rPr>
                    <m:t>𝑇</m:t>
                  </m:r>
                  <m:r>
                    <a:rPr lang="it-IT" sz="1100" b="0" i="1" baseline="0">
                      <a:latin typeface="Cambria Math" panose="02040503050406030204" pitchFamily="18" charset="0"/>
                    </a:rPr>
                    <m:t> →</m:t>
                  </m:r>
                  <m:r>
                    <a:rPr lang="it-IT" sz="1100" b="0" i="1" baseline="0">
                      <a:latin typeface="Cambria Math" panose="02040503050406030204" pitchFamily="18" charset="0"/>
                      <a:ea typeface="Cambria Math" panose="02040503050406030204" pitchFamily="18" charset="0"/>
                    </a:rPr>
                    <m:t>𝑉</m:t>
                  </m:r>
                  <m:r>
                    <a:rPr lang="it-IT" sz="1100" b="0" i="1" baseline="0">
                      <a:latin typeface="Cambria Math" panose="02040503050406030204" pitchFamily="18" charset="0"/>
                      <a:ea typeface="Cambria Math" panose="02040503050406030204" pitchFamily="18" charset="0"/>
                    </a:rPr>
                    <m:t>=</m:t>
                  </m:r>
                  <m:f>
                    <m:fPr>
                      <m:ctrlPr>
                        <a:rPr lang="it-IT" sz="1100" b="0" i="1" baseline="0">
                          <a:latin typeface="Cambria Math" panose="02040503050406030204" pitchFamily="18" charset="0"/>
                          <a:ea typeface="Cambria Math" panose="02040503050406030204" pitchFamily="18" charset="0"/>
                        </a:rPr>
                      </m:ctrlPr>
                    </m:fPr>
                    <m:num>
                      <m:sSub>
                        <m:sSubPr>
                          <m:ctrlPr>
                            <a:rPr lang="it-IT" sz="1100" b="0" i="1" baseline="0">
                              <a:latin typeface="Cambria Math" panose="02040503050406030204" pitchFamily="18" charset="0"/>
                              <a:ea typeface="Cambria Math" panose="02040503050406030204" pitchFamily="18" charset="0"/>
                            </a:rPr>
                          </m:ctrlPr>
                        </m:sSubPr>
                        <m:e>
                          <m:r>
                            <a:rPr lang="it-IT" sz="1100" b="0" i="1" baseline="0">
                              <a:latin typeface="Cambria Math" panose="02040503050406030204" pitchFamily="18" charset="0"/>
                              <a:ea typeface="Cambria Math" panose="02040503050406030204" pitchFamily="18" charset="0"/>
                            </a:rPr>
                            <m:t>𝑘</m:t>
                          </m:r>
                        </m:e>
                        <m:sub>
                          <m:r>
                            <a:rPr lang="it-IT" sz="1100" b="0" i="1" baseline="0">
                              <a:latin typeface="Cambria Math" panose="02040503050406030204" pitchFamily="18" charset="0"/>
                              <a:ea typeface="Cambria Math" panose="02040503050406030204" pitchFamily="18" charset="0"/>
                            </a:rPr>
                            <m:t>𝑏</m:t>
                          </m:r>
                        </m:sub>
                      </m:sSub>
                      <m:r>
                        <a:rPr lang="it-IT" sz="1100" b="0" i="1" baseline="0">
                          <a:latin typeface="Cambria Math" panose="02040503050406030204" pitchFamily="18" charset="0"/>
                          <a:ea typeface="Cambria Math" panose="02040503050406030204" pitchFamily="18" charset="0"/>
                        </a:rPr>
                        <m:t>𝑇</m:t>
                      </m:r>
                    </m:num>
                    <m:den>
                      <m:r>
                        <a:rPr lang="it-IT" sz="1100" b="0" i="1" baseline="0">
                          <a:latin typeface="Cambria Math" panose="02040503050406030204" pitchFamily="18" charset="0"/>
                          <a:ea typeface="Cambria Math" panose="02040503050406030204" pitchFamily="18" charset="0"/>
                        </a:rPr>
                        <m:t>𝑃</m:t>
                      </m:r>
                    </m:den>
                  </m:f>
                </m:oMath>
              </a14:m>
              <a:r>
                <a:rPr lang="en-US" sz="1100" b="1" baseline="0"/>
                <a:t>  </a:t>
              </a:r>
              <a:endParaRPr lang="en-US" sz="1100" b="1"/>
            </a:p>
          </xdr:txBody>
        </xdr:sp>
      </mc:Choice>
      <mc:Fallback xmlns="">
        <xdr:sp macro="" textlink="">
          <xdr:nvSpPr>
            <xdr:cNvPr id="10" name="Rectangle 9">
              <a:extLst>
                <a:ext uri="{FF2B5EF4-FFF2-40B4-BE49-F238E27FC236}">
                  <a16:creationId xmlns:a16="http://schemas.microsoft.com/office/drawing/2014/main" id="{960994AD-AA04-AB4D-86A2-7BFC37153ABC}"/>
                </a:ext>
              </a:extLst>
            </xdr:cNvPr>
            <xdr:cNvSpPr/>
          </xdr:nvSpPr>
          <xdr:spPr>
            <a:xfrm>
              <a:off x="12863247" y="14841201"/>
              <a:ext cx="4726253" cy="120613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here</a:t>
              </a:r>
              <a:r>
                <a:rPr lang="en-US" sz="1100" baseline="0"/>
                <a:t> V is volume of the system considered (abc for a cubic volume).</a:t>
              </a:r>
            </a:p>
            <a:p>
              <a:pPr algn="l"/>
              <a:endParaRPr lang="en-US" sz="1100" baseline="0"/>
            </a:p>
            <a:p>
              <a:pPr algn="l"/>
              <a:r>
                <a:rPr lang="en-US" sz="1100" b="0" baseline="0"/>
                <a:t>In gaussian, since no volume is specified, the ideal gasses equation is used: </a:t>
              </a:r>
              <a:r>
                <a:rPr lang="it-IT" sz="1100" b="0" i="0" baseline="0">
                  <a:latin typeface="Cambria Math" panose="02040503050406030204" pitchFamily="18" charset="0"/>
                </a:rPr>
                <a:t>𝑃𝑉=𝑁𝑅𝑇=(𝑛/𝑁_𝐴 ) 𝑁_𝐴 𝑘_𝑏 𝑇 →</a:t>
              </a:r>
              <a:r>
                <a:rPr lang="it-IT" sz="1100" b="0" i="0" baseline="0">
                  <a:latin typeface="Cambria Math" panose="02040503050406030204" pitchFamily="18" charset="0"/>
                  <a:ea typeface="Cambria Math" panose="02040503050406030204" pitchFamily="18" charset="0"/>
                </a:rPr>
                <a:t>𝑉=(𝑘_𝑏 𝑇)/𝑃</a:t>
              </a:r>
              <a:r>
                <a:rPr lang="en-US" sz="1100" b="1" baseline="0"/>
                <a:t>  </a:t>
              </a:r>
              <a:endParaRPr lang="en-US" sz="1100" b="1"/>
            </a:p>
          </xdr:txBody>
        </xdr:sp>
      </mc:Fallback>
    </mc:AlternateContent>
    <xdr:clientData/>
  </xdr:twoCellAnchor>
  <xdr:twoCellAnchor>
    <xdr:from>
      <xdr:col>5</xdr:col>
      <xdr:colOff>540926</xdr:colOff>
      <xdr:row>38</xdr:row>
      <xdr:rowOff>35278</xdr:rowOff>
    </xdr:from>
    <xdr:to>
      <xdr:col>5</xdr:col>
      <xdr:colOff>623241</xdr:colOff>
      <xdr:row>39</xdr:row>
      <xdr:rowOff>211666</xdr:rowOff>
    </xdr:to>
    <xdr:cxnSp macro="">
      <xdr:nvCxnSpPr>
        <xdr:cNvPr id="11" name="Straight Arrow Connector 10">
          <a:extLst>
            <a:ext uri="{FF2B5EF4-FFF2-40B4-BE49-F238E27FC236}">
              <a16:creationId xmlns:a16="http://schemas.microsoft.com/office/drawing/2014/main" id="{24012136-E718-094E-9546-8F6F9BFF63C2}"/>
            </a:ext>
          </a:extLst>
        </xdr:cNvPr>
        <xdr:cNvCxnSpPr/>
      </xdr:nvCxnSpPr>
      <xdr:spPr>
        <a:xfrm flipV="1">
          <a:off x="7462426" y="9992078"/>
          <a:ext cx="82315" cy="417688"/>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4</xdr:col>
      <xdr:colOff>933615</xdr:colOff>
      <xdr:row>35</xdr:row>
      <xdr:rowOff>212608</xdr:rowOff>
    </xdr:from>
    <xdr:ext cx="1638370" cy="591059"/>
    <mc:AlternateContent xmlns:mc="http://schemas.openxmlformats.org/markup-compatibility/2006" xmlns:a14="http://schemas.microsoft.com/office/drawing/2010/main">
      <mc:Choice Requires="a14">
        <xdr:sp macro="" textlink="">
          <xdr:nvSpPr>
            <xdr:cNvPr id="12" name="TextBox 11">
              <a:extLst>
                <a:ext uri="{FF2B5EF4-FFF2-40B4-BE49-F238E27FC236}">
                  <a16:creationId xmlns:a16="http://schemas.microsoft.com/office/drawing/2014/main" id="{AD0FC14B-BAD5-934F-B112-5FED70353750}"/>
                </a:ext>
              </a:extLst>
            </xdr:cNvPr>
            <xdr:cNvSpPr txBox="1"/>
          </xdr:nvSpPr>
          <xdr:spPr>
            <a:xfrm>
              <a:off x="6483515" y="9407408"/>
              <a:ext cx="1638370" cy="5910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300" i="1">
                        <a:latin typeface="Cambria Math" panose="02040503050406030204" pitchFamily="18" charset="0"/>
                        <a:ea typeface="Cambria Math" panose="02040503050406030204" pitchFamily="18" charset="0"/>
                      </a:rPr>
                      <m:t>𝜈</m:t>
                    </m:r>
                    <m:r>
                      <a:rPr lang="it-IT" sz="1300" b="0" i="1">
                        <a:latin typeface="Cambria Math" panose="02040503050406030204" pitchFamily="18" charset="0"/>
                        <a:ea typeface="Cambria Math" panose="02040503050406030204" pitchFamily="18" charset="0"/>
                      </a:rPr>
                      <m:t>=</m:t>
                    </m:r>
                    <m:f>
                      <m:fPr>
                        <m:ctrlPr>
                          <a:rPr lang="it-IT" sz="1300" b="0" i="1">
                            <a:latin typeface="Cambria Math" panose="02040503050406030204" pitchFamily="18" charset="0"/>
                            <a:ea typeface="Cambria Math" panose="02040503050406030204" pitchFamily="18" charset="0"/>
                          </a:rPr>
                        </m:ctrlPr>
                      </m:fPr>
                      <m:num>
                        <m:r>
                          <a:rPr lang="it-IT" sz="1300" b="0" i="1">
                            <a:latin typeface="Cambria Math" panose="02040503050406030204" pitchFamily="18" charset="0"/>
                            <a:ea typeface="Cambria Math" panose="02040503050406030204" pitchFamily="18" charset="0"/>
                          </a:rPr>
                          <m:t>1</m:t>
                        </m:r>
                      </m:num>
                      <m:den>
                        <m:r>
                          <a:rPr lang="it-IT" sz="1300" b="0" i="1">
                            <a:latin typeface="Cambria Math" panose="02040503050406030204" pitchFamily="18" charset="0"/>
                            <a:ea typeface="Cambria Math" panose="02040503050406030204" pitchFamily="18" charset="0"/>
                          </a:rPr>
                          <m:t>2</m:t>
                        </m:r>
                        <m:r>
                          <a:rPr lang="it-IT" sz="1300" b="0" i="1">
                            <a:latin typeface="Cambria Math" panose="02040503050406030204" pitchFamily="18" charset="0"/>
                            <a:ea typeface="Cambria Math" panose="02040503050406030204" pitchFamily="18" charset="0"/>
                          </a:rPr>
                          <m:t>𝜋</m:t>
                        </m:r>
                        <m:r>
                          <a:rPr lang="it-IT" sz="1300" b="0" i="1">
                            <a:latin typeface="Cambria Math" panose="02040503050406030204" pitchFamily="18" charset="0"/>
                            <a:ea typeface="Cambria Math" panose="02040503050406030204" pitchFamily="18" charset="0"/>
                          </a:rPr>
                          <m:t>𝑐</m:t>
                        </m:r>
                      </m:den>
                    </m:f>
                    <m:rad>
                      <m:radPr>
                        <m:degHide m:val="on"/>
                        <m:ctrlPr>
                          <a:rPr lang="it-IT" sz="1300" b="0" i="1">
                            <a:latin typeface="Cambria Math" panose="02040503050406030204" pitchFamily="18" charset="0"/>
                            <a:ea typeface="Cambria Math" panose="02040503050406030204" pitchFamily="18" charset="0"/>
                          </a:rPr>
                        </m:ctrlPr>
                      </m:radPr>
                      <m:deg/>
                      <m:e>
                        <m:f>
                          <m:fPr>
                            <m:ctrlPr>
                              <a:rPr lang="it-IT" sz="1300" b="0" i="1">
                                <a:latin typeface="Cambria Math" panose="02040503050406030204" pitchFamily="18" charset="0"/>
                                <a:ea typeface="Cambria Math" panose="02040503050406030204" pitchFamily="18" charset="0"/>
                              </a:rPr>
                            </m:ctrlPr>
                          </m:fPr>
                          <m:num>
                            <m:r>
                              <a:rPr lang="it-IT" sz="1300" b="0" i="1">
                                <a:latin typeface="Cambria Math" panose="02040503050406030204" pitchFamily="18" charset="0"/>
                                <a:ea typeface="Cambria Math" panose="02040503050406030204" pitchFamily="18" charset="0"/>
                              </a:rPr>
                              <m:t>𝑘</m:t>
                            </m:r>
                          </m:num>
                          <m:den>
                            <m:r>
                              <a:rPr lang="it-IT" sz="1300" b="0" i="1">
                                <a:solidFill>
                                  <a:srgbClr val="FF0000"/>
                                </a:solidFill>
                                <a:latin typeface="Cambria Math" panose="02040503050406030204" pitchFamily="18" charset="0"/>
                                <a:ea typeface="Cambria Math" panose="02040503050406030204" pitchFamily="18" charset="0"/>
                              </a:rPr>
                              <m:t>𝜇</m:t>
                            </m:r>
                          </m:den>
                        </m:f>
                      </m:e>
                    </m:rad>
                  </m:oMath>
                </m:oMathPara>
              </a14:m>
              <a:endParaRPr lang="en-US" sz="1300"/>
            </a:p>
          </xdr:txBody>
        </xdr:sp>
      </mc:Choice>
      <mc:Fallback xmlns="">
        <xdr:sp macro="" textlink="">
          <xdr:nvSpPr>
            <xdr:cNvPr id="12" name="TextBox 11">
              <a:extLst>
                <a:ext uri="{FF2B5EF4-FFF2-40B4-BE49-F238E27FC236}">
                  <a16:creationId xmlns:a16="http://schemas.microsoft.com/office/drawing/2014/main" id="{AD0FC14B-BAD5-934F-B112-5FED70353750}"/>
                </a:ext>
              </a:extLst>
            </xdr:cNvPr>
            <xdr:cNvSpPr txBox="1"/>
          </xdr:nvSpPr>
          <xdr:spPr>
            <a:xfrm>
              <a:off x="6483515" y="9407408"/>
              <a:ext cx="1638370" cy="5910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300" i="0">
                  <a:latin typeface="Cambria Math" panose="02040503050406030204" pitchFamily="18" charset="0"/>
                  <a:ea typeface="Cambria Math" panose="02040503050406030204" pitchFamily="18" charset="0"/>
                </a:rPr>
                <a:t>𝜈</a:t>
              </a:r>
              <a:r>
                <a:rPr lang="it-IT" sz="1300" b="0" i="0">
                  <a:latin typeface="Cambria Math" panose="02040503050406030204" pitchFamily="18" charset="0"/>
                  <a:ea typeface="Cambria Math" panose="02040503050406030204" pitchFamily="18" charset="0"/>
                </a:rPr>
                <a:t>=1/2𝜋𝑐 √(𝑘/</a:t>
              </a:r>
              <a:r>
                <a:rPr lang="it-IT" sz="1300" b="0" i="0">
                  <a:solidFill>
                    <a:srgbClr val="FF0000"/>
                  </a:solidFill>
                  <a:latin typeface="Cambria Math" panose="02040503050406030204" pitchFamily="18" charset="0"/>
                  <a:ea typeface="Cambria Math" panose="02040503050406030204" pitchFamily="18" charset="0"/>
                </a:rPr>
                <a:t>𝜇)</a:t>
              </a:r>
              <a:endParaRPr lang="en-US" sz="1300"/>
            </a:p>
          </xdr:txBody>
        </xdr:sp>
      </mc:Fallback>
    </mc:AlternateContent>
    <xdr:clientData/>
  </xdr:oneCellAnchor>
  <xdr:twoCellAnchor>
    <xdr:from>
      <xdr:col>5</xdr:col>
      <xdr:colOff>1023055</xdr:colOff>
      <xdr:row>37</xdr:row>
      <xdr:rowOff>223426</xdr:rowOff>
    </xdr:from>
    <xdr:to>
      <xdr:col>6</xdr:col>
      <xdr:colOff>576204</xdr:colOff>
      <xdr:row>39</xdr:row>
      <xdr:rowOff>199907</xdr:rowOff>
    </xdr:to>
    <xdr:cxnSp macro="">
      <xdr:nvCxnSpPr>
        <xdr:cNvPr id="13" name="Straight Arrow Connector 12">
          <a:extLst>
            <a:ext uri="{FF2B5EF4-FFF2-40B4-BE49-F238E27FC236}">
              <a16:creationId xmlns:a16="http://schemas.microsoft.com/office/drawing/2014/main" id="{B44D7964-4934-6B4F-854A-3A2E90215BC5}"/>
            </a:ext>
          </a:extLst>
        </xdr:cNvPr>
        <xdr:cNvCxnSpPr/>
      </xdr:nvCxnSpPr>
      <xdr:spPr>
        <a:xfrm flipH="1" flipV="1">
          <a:off x="7944555" y="9926226"/>
          <a:ext cx="645349" cy="471781"/>
        </a:xfrm>
        <a:prstGeom prst="straightConnector1">
          <a:avLst/>
        </a:prstGeom>
        <a:ln>
          <a:solidFill>
            <a:srgbClr val="FF0000"/>
          </a:solidFill>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7</xdr:col>
      <xdr:colOff>728134</xdr:colOff>
      <xdr:row>70</xdr:row>
      <xdr:rowOff>222790</xdr:rowOff>
    </xdr:from>
    <xdr:to>
      <xdr:col>14</xdr:col>
      <xdr:colOff>351463</xdr:colOff>
      <xdr:row>85</xdr:row>
      <xdr:rowOff>135466</xdr:rowOff>
    </xdr:to>
    <xdr:graphicFrame macro="">
      <xdr:nvGraphicFramePr>
        <xdr:cNvPr id="14" name="Chart 13">
          <a:extLst>
            <a:ext uri="{FF2B5EF4-FFF2-40B4-BE49-F238E27FC236}">
              <a16:creationId xmlns:a16="http://schemas.microsoft.com/office/drawing/2014/main" id="{363DCAB4-5376-2544-B65E-74A8FD33B2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359975</xdr:colOff>
      <xdr:row>92</xdr:row>
      <xdr:rowOff>168476</xdr:rowOff>
    </xdr:from>
    <xdr:to>
      <xdr:col>6</xdr:col>
      <xdr:colOff>520551</xdr:colOff>
      <xdr:row>92</xdr:row>
      <xdr:rowOff>183073</xdr:rowOff>
    </xdr:to>
    <xdr:cxnSp macro="">
      <xdr:nvCxnSpPr>
        <xdr:cNvPr id="15" name="Straight Arrow Connector 14">
          <a:extLst>
            <a:ext uri="{FF2B5EF4-FFF2-40B4-BE49-F238E27FC236}">
              <a16:creationId xmlns:a16="http://schemas.microsoft.com/office/drawing/2014/main" id="{C5CD1031-3C5A-0E4D-BBFA-5D06646FF77D}"/>
            </a:ext>
          </a:extLst>
        </xdr:cNvPr>
        <xdr:cNvCxnSpPr/>
      </xdr:nvCxnSpPr>
      <xdr:spPr>
        <a:xfrm>
          <a:off x="5909875" y="24031776"/>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6</xdr:col>
      <xdr:colOff>887238</xdr:colOff>
      <xdr:row>90</xdr:row>
      <xdr:rowOff>194410</xdr:rowOff>
    </xdr:from>
    <xdr:ext cx="2036135" cy="805477"/>
    <mc:AlternateContent xmlns:mc="http://schemas.openxmlformats.org/markup-compatibility/2006" xmlns:a14="http://schemas.microsoft.com/office/drawing/2010/main">
      <mc:Choice Requires="a14">
        <xdr:sp macro="" textlink="">
          <xdr:nvSpPr>
            <xdr:cNvPr id="16" name="TextBox 15">
              <a:extLst>
                <a:ext uri="{FF2B5EF4-FFF2-40B4-BE49-F238E27FC236}">
                  <a16:creationId xmlns:a16="http://schemas.microsoft.com/office/drawing/2014/main" id="{2B4AA6C4-3307-5B42-BACE-9E67446F695F}"/>
                </a:ext>
              </a:extLst>
            </xdr:cNvPr>
            <xdr:cNvSpPr txBox="1"/>
          </xdr:nvSpPr>
          <xdr:spPr>
            <a:xfrm>
              <a:off x="8900938" y="23575110"/>
              <a:ext cx="2036135" cy="8054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𝑣𝑖𝑏</m:t>
                        </m:r>
                      </m:sub>
                    </m:sSub>
                    <m:r>
                      <a:rPr lang="it-IT" sz="1600" b="0" i="1">
                        <a:latin typeface="Cambria Math" panose="02040503050406030204" pitchFamily="18" charset="0"/>
                      </a:rPr>
                      <m:t>=</m:t>
                    </m:r>
                    <m:nary>
                      <m:naryPr>
                        <m:chr m:val="∏"/>
                        <m:ctrlPr>
                          <a:rPr lang="it-IT" sz="1600" b="0" i="1">
                            <a:latin typeface="Cambria Math" panose="02040503050406030204" pitchFamily="18" charset="0"/>
                          </a:rPr>
                        </m:ctrlPr>
                      </m:naryPr>
                      <m:sub>
                        <m:r>
                          <m:rPr>
                            <m:brk m:alnAt="23"/>
                          </m:rPr>
                          <a:rPr lang="it-IT" sz="1600" b="0" i="1">
                            <a:latin typeface="Cambria Math" panose="02040503050406030204" pitchFamily="18" charset="0"/>
                          </a:rPr>
                          <m:t>𝑖</m:t>
                        </m:r>
                        <m:r>
                          <a:rPr lang="it-IT" sz="1600" b="0" i="1">
                            <a:latin typeface="Cambria Math" panose="02040503050406030204" pitchFamily="18" charset="0"/>
                          </a:rPr>
                          <m:t>=1</m:t>
                        </m:r>
                      </m:sub>
                      <m:sup>
                        <m:sSub>
                          <m:sSubPr>
                            <m:ctrlPr>
                              <a:rPr lang="it-IT" sz="1600" b="0" i="1">
                                <a:latin typeface="Cambria Math" panose="02040503050406030204" pitchFamily="18" charset="0"/>
                              </a:rPr>
                            </m:ctrlPr>
                          </m:sSubPr>
                          <m:e>
                            <m:r>
                              <a:rPr lang="it-IT" sz="1600" b="0" i="1">
                                <a:latin typeface="Cambria Math" panose="02040503050406030204" pitchFamily="18" charset="0"/>
                              </a:rPr>
                              <m:t>𝑁</m:t>
                            </m:r>
                          </m:e>
                          <m:sub>
                            <m:r>
                              <a:rPr lang="it-IT" sz="1600" b="0" i="1">
                                <a:latin typeface="Cambria Math" panose="02040503050406030204" pitchFamily="18" charset="0"/>
                              </a:rPr>
                              <m:t>𝑣𝑖𝑏</m:t>
                            </m:r>
                          </m:sub>
                        </m:sSub>
                      </m:sup>
                      <m:e>
                        <m:f>
                          <m:fPr>
                            <m:ctrlPr>
                              <a:rPr lang="it-IT" sz="1600" b="0" i="1">
                                <a:latin typeface="Cambria Math" panose="02040503050406030204" pitchFamily="18" charset="0"/>
                              </a:rPr>
                            </m:ctrlPr>
                          </m:fPr>
                          <m:num>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d>
                                  <m:dPr>
                                    <m:ctrlPr>
                                      <a:rPr lang="it-IT" sz="1600" b="0" i="1">
                                        <a:latin typeface="Cambria Math" panose="02040503050406030204" pitchFamily="18" charset="0"/>
                                      </a:rPr>
                                    </m:ctrlPr>
                                  </m:dPr>
                                  <m:e>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h</m:t>
                                        </m:r>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𝜐</m:t>
                                            </m:r>
                                          </m:e>
                                          <m:sub>
                                            <m:r>
                                              <a:rPr lang="it-IT" sz="1600" b="0" i="1">
                                                <a:latin typeface="Cambria Math" panose="02040503050406030204" pitchFamily="18" charset="0"/>
                                              </a:rPr>
                                              <m:t>𝑖</m:t>
                                            </m:r>
                                          </m:sub>
                                        </m:sSub>
                                      </m:num>
                                      <m:den>
                                        <m:r>
                                          <a:rPr lang="it-IT" sz="1600" b="0" i="1">
                                            <a:latin typeface="Cambria Math" panose="02040503050406030204" pitchFamily="18" charset="0"/>
                                          </a:rPr>
                                          <m:t>2</m:t>
                                        </m:r>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e>
                                </m:d>
                              </m:sup>
                            </m:sSup>
                          </m:num>
                          <m:den>
                            <m:r>
                              <a:rPr lang="it-IT" sz="1600" b="0" i="1">
                                <a:latin typeface="Cambria Math" panose="02040503050406030204" pitchFamily="18" charset="0"/>
                              </a:rPr>
                              <m:t>1−</m:t>
                            </m:r>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d>
                                  <m:dPr>
                                    <m:ctrlPr>
                                      <a:rPr lang="it-IT" sz="1600" b="0" i="1">
                                        <a:latin typeface="Cambria Math" panose="02040503050406030204" pitchFamily="18" charset="0"/>
                                      </a:rPr>
                                    </m:ctrlPr>
                                  </m:dPr>
                                  <m:e>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h</m:t>
                                        </m:r>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𝜐</m:t>
                                            </m:r>
                                          </m:e>
                                          <m:sub>
                                            <m:r>
                                              <a:rPr lang="it-IT" sz="1600" b="0" i="1">
                                                <a:latin typeface="Cambria Math" panose="02040503050406030204" pitchFamily="18" charset="0"/>
                                              </a:rPr>
                                              <m:t>𝑖</m:t>
                                            </m:r>
                                          </m:sub>
                                        </m:sSub>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e>
                                </m:d>
                              </m:sup>
                            </m:sSup>
                          </m:den>
                        </m:f>
                      </m:e>
                    </m:nary>
                  </m:oMath>
                </m:oMathPara>
              </a14:m>
              <a:endParaRPr lang="en-US" sz="1600"/>
            </a:p>
          </xdr:txBody>
        </xdr:sp>
      </mc:Choice>
      <mc:Fallback xmlns="">
        <xdr:sp macro="" textlink="">
          <xdr:nvSpPr>
            <xdr:cNvPr id="16" name="TextBox 15">
              <a:extLst>
                <a:ext uri="{FF2B5EF4-FFF2-40B4-BE49-F238E27FC236}">
                  <a16:creationId xmlns:a16="http://schemas.microsoft.com/office/drawing/2014/main" id="{2B4AA6C4-3307-5B42-BACE-9E67446F695F}"/>
                </a:ext>
              </a:extLst>
            </xdr:cNvPr>
            <xdr:cNvSpPr txBox="1"/>
          </xdr:nvSpPr>
          <xdr:spPr>
            <a:xfrm>
              <a:off x="8900938" y="23575110"/>
              <a:ext cx="2036135" cy="8054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𝑣𝑖𝑏=∏_(𝑖=1)^(𝑁_𝑣𝑖𝑏)▒𝑒^((−(ℎ</a:t>
              </a:r>
              <a:r>
                <a:rPr lang="it-IT" sz="1600" b="0" i="0">
                  <a:latin typeface="Cambria Math" panose="02040503050406030204" pitchFamily="18" charset="0"/>
                  <a:ea typeface="Cambria Math" panose="02040503050406030204" pitchFamily="18" charset="0"/>
                </a:rPr>
                <a:t>𝜐_</a:t>
              </a:r>
              <a:r>
                <a:rPr lang="it-IT" sz="1600" b="0" i="0">
                  <a:latin typeface="Cambria Math" panose="02040503050406030204" pitchFamily="18" charset="0"/>
                </a:rPr>
                <a:t>𝑖)/(2𝑘_𝑏 𝑇)) )/(1−𝑒^((−(ℎ</a:t>
              </a:r>
              <a:r>
                <a:rPr lang="it-IT" sz="1600" b="0" i="0">
                  <a:latin typeface="Cambria Math" panose="02040503050406030204" pitchFamily="18" charset="0"/>
                  <a:ea typeface="Cambria Math" panose="02040503050406030204" pitchFamily="18" charset="0"/>
                </a:rPr>
                <a:t>𝜐_</a:t>
              </a:r>
              <a:r>
                <a:rPr lang="it-IT" sz="1600" b="0" i="0">
                  <a:latin typeface="Cambria Math" panose="02040503050406030204" pitchFamily="18" charset="0"/>
                </a:rPr>
                <a:t>𝑖)/(𝑘_𝑏 𝑇)) ) )</a:t>
              </a:r>
              <a:endParaRPr lang="en-US" sz="1600"/>
            </a:p>
          </xdr:txBody>
        </xdr:sp>
      </mc:Fallback>
    </mc:AlternateContent>
    <xdr:clientData/>
  </xdr:oneCellAnchor>
  <xdr:twoCellAnchor>
    <xdr:from>
      <xdr:col>9</xdr:col>
      <xdr:colOff>445581</xdr:colOff>
      <xdr:row>90</xdr:row>
      <xdr:rowOff>63114</xdr:rowOff>
    </xdr:from>
    <xdr:to>
      <xdr:col>12</xdr:col>
      <xdr:colOff>766140</xdr:colOff>
      <xdr:row>94</xdr:row>
      <xdr:rowOff>220870</xdr:rowOff>
    </xdr:to>
    <xdr:sp macro="" textlink="">
      <xdr:nvSpPr>
        <xdr:cNvPr id="17" name="Rectangle 16">
          <a:extLst>
            <a:ext uri="{FF2B5EF4-FFF2-40B4-BE49-F238E27FC236}">
              <a16:creationId xmlns:a16="http://schemas.microsoft.com/office/drawing/2014/main" id="{3361777A-ABB2-E249-BD6A-B243D2CDFD95}"/>
            </a:ext>
          </a:extLst>
        </xdr:cNvPr>
        <xdr:cNvSpPr/>
      </xdr:nvSpPr>
      <xdr:spPr>
        <a:xfrm>
          <a:off x="11431081" y="23443814"/>
          <a:ext cx="3609859" cy="122455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N</a:t>
          </a:r>
          <a:r>
            <a:rPr lang="en-US" sz="1100" b="1" baseline="-25000"/>
            <a:t>vib</a:t>
          </a:r>
          <a:r>
            <a:rPr lang="en-US" sz="1100" b="1" baseline="0"/>
            <a:t> represents the number of vibrational modes of a molecule. Since those only depend from the mass of the atoms in the molecule and are not dependent on the temperature considered, we will use directly the experimental data for the theoretical results calculation</a:t>
          </a:r>
          <a:endParaRPr lang="en-US" sz="1100" b="1" baseline="-25000"/>
        </a:p>
      </xdr:txBody>
    </xdr:sp>
    <xdr:clientData/>
  </xdr:twoCellAnchor>
  <xdr:twoCellAnchor>
    <xdr:from>
      <xdr:col>10</xdr:col>
      <xdr:colOff>558800</xdr:colOff>
      <xdr:row>107</xdr:row>
      <xdr:rowOff>228599</xdr:rowOff>
    </xdr:from>
    <xdr:to>
      <xdr:col>14</xdr:col>
      <xdr:colOff>968375</xdr:colOff>
      <xdr:row>124</xdr:row>
      <xdr:rowOff>50800</xdr:rowOff>
    </xdr:to>
    <xdr:graphicFrame macro="">
      <xdr:nvGraphicFramePr>
        <xdr:cNvPr id="18" name="Chart 17">
          <a:extLst>
            <a:ext uri="{FF2B5EF4-FFF2-40B4-BE49-F238E27FC236}">
              <a16:creationId xmlns:a16="http://schemas.microsoft.com/office/drawing/2014/main" id="{61D143A3-3C52-3749-8B87-0F7035E8C5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452528</xdr:colOff>
      <xdr:row>127</xdr:row>
      <xdr:rowOff>131380</xdr:rowOff>
    </xdr:from>
    <xdr:to>
      <xdr:col>6</xdr:col>
      <xdr:colOff>613104</xdr:colOff>
      <xdr:row>127</xdr:row>
      <xdr:rowOff>145977</xdr:rowOff>
    </xdr:to>
    <xdr:cxnSp macro="">
      <xdr:nvCxnSpPr>
        <xdr:cNvPr id="19" name="Straight Arrow Connector 18">
          <a:extLst>
            <a:ext uri="{FF2B5EF4-FFF2-40B4-BE49-F238E27FC236}">
              <a16:creationId xmlns:a16="http://schemas.microsoft.com/office/drawing/2014/main" id="{F646FF76-30B3-D94C-BDCB-E037B17C7AE1}"/>
            </a:ext>
          </a:extLst>
        </xdr:cNvPr>
        <xdr:cNvCxnSpPr/>
      </xdr:nvCxnSpPr>
      <xdr:spPr>
        <a:xfrm>
          <a:off x="6002428" y="328338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125030</xdr:colOff>
      <xdr:row>125</xdr:row>
      <xdr:rowOff>179868</xdr:rowOff>
    </xdr:from>
    <xdr:ext cx="1504001" cy="494110"/>
    <mc:AlternateContent xmlns:mc="http://schemas.openxmlformats.org/markup-compatibility/2006" xmlns:a14="http://schemas.microsoft.com/office/drawing/2010/main">
      <mc:Choice Requires="a14">
        <xdr:sp macro="" textlink="">
          <xdr:nvSpPr>
            <xdr:cNvPr id="20" name="TextBox 19">
              <a:extLst>
                <a:ext uri="{FF2B5EF4-FFF2-40B4-BE49-F238E27FC236}">
                  <a16:creationId xmlns:a16="http://schemas.microsoft.com/office/drawing/2014/main" id="{29B567DB-B2B3-2643-B1F1-927AF6871965}"/>
                </a:ext>
              </a:extLst>
            </xdr:cNvPr>
            <xdr:cNvSpPr txBox="1"/>
          </xdr:nvSpPr>
          <xdr:spPr>
            <a:xfrm>
              <a:off x="9421430" y="32437868"/>
              <a:ext cx="1504001" cy="494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2</m:t>
                        </m:r>
                        <m:r>
                          <a:rPr lang="it-IT" sz="1600" b="0" i="1">
                            <a:latin typeface="Cambria Math" panose="02040503050406030204" pitchFamily="18" charset="0"/>
                          </a:rPr>
                          <m:t>𝐷</m:t>
                        </m:r>
                      </m:sup>
                    </m:sSubSup>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8</m:t>
                        </m:r>
                        <m:sSup>
                          <m:sSupPr>
                            <m:ctrlPr>
                              <a:rPr lang="it-IT" sz="1600" b="0" i="1">
                                <a:latin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𝜋</m:t>
                            </m:r>
                          </m:e>
                          <m:sup>
                            <m:r>
                              <a:rPr lang="it-IT" sz="1600" b="0" i="1">
                                <a:latin typeface="Cambria Math" panose="02040503050406030204" pitchFamily="18" charset="0"/>
                              </a:rPr>
                              <m:t>2</m:t>
                            </m:r>
                          </m:sup>
                        </m:sSup>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𝑇𝐼</m:t>
                        </m:r>
                      </m:num>
                      <m:den>
                        <m:r>
                          <a:rPr lang="it-IT" sz="1600" b="0" i="1">
                            <a:latin typeface="Cambria Math" panose="02040503050406030204" pitchFamily="18" charset="0"/>
                            <a:ea typeface="Cambria Math" panose="02040503050406030204" pitchFamily="18" charset="0"/>
                          </a:rPr>
                          <m:t>𝜎</m:t>
                        </m:r>
                        <m:sSup>
                          <m:sSupPr>
                            <m:ctrlPr>
                              <a:rPr lang="it-IT" sz="1600" b="0" i="1">
                                <a:latin typeface="Cambria Math" panose="02040503050406030204" pitchFamily="18" charset="0"/>
                                <a:ea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h</m:t>
                            </m:r>
                          </m:e>
                          <m:sup>
                            <m:r>
                              <a:rPr lang="it-IT" sz="1600" b="0" i="1">
                                <a:latin typeface="Cambria Math" panose="02040503050406030204" pitchFamily="18" charset="0"/>
                                <a:ea typeface="Cambria Math" panose="02040503050406030204" pitchFamily="18" charset="0"/>
                              </a:rPr>
                              <m:t>2</m:t>
                            </m:r>
                          </m:sup>
                        </m:sSup>
                      </m:den>
                    </m:f>
                  </m:oMath>
                </m:oMathPara>
              </a14:m>
              <a:endParaRPr lang="en-US" sz="1600"/>
            </a:p>
          </xdr:txBody>
        </xdr:sp>
      </mc:Choice>
      <mc:Fallback xmlns="">
        <xdr:sp macro="" textlink="">
          <xdr:nvSpPr>
            <xdr:cNvPr id="20" name="TextBox 19">
              <a:extLst>
                <a:ext uri="{FF2B5EF4-FFF2-40B4-BE49-F238E27FC236}">
                  <a16:creationId xmlns:a16="http://schemas.microsoft.com/office/drawing/2014/main" id="{29B567DB-B2B3-2643-B1F1-927AF6871965}"/>
                </a:ext>
              </a:extLst>
            </xdr:cNvPr>
            <xdr:cNvSpPr txBox="1"/>
          </xdr:nvSpPr>
          <xdr:spPr>
            <a:xfrm>
              <a:off x="9421430" y="32437868"/>
              <a:ext cx="1504001" cy="494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𝑄_𝑟𝑜𝑡^2𝐷=(8</a:t>
              </a:r>
              <a:r>
                <a:rPr lang="it-IT" sz="1600" b="0" i="0">
                  <a:latin typeface="Cambria Math" panose="02040503050406030204" pitchFamily="18" charset="0"/>
                  <a:ea typeface="Cambria Math" panose="02040503050406030204" pitchFamily="18" charset="0"/>
                </a:rPr>
                <a:t>𝜋^</a:t>
              </a:r>
              <a:r>
                <a:rPr lang="it-IT" sz="1600" b="0" i="0">
                  <a:latin typeface="Cambria Math" panose="02040503050406030204" pitchFamily="18" charset="0"/>
                </a:rPr>
                <a:t>2 𝑘_𝑏 𝑇𝐼)/(</a:t>
              </a:r>
              <a:r>
                <a:rPr lang="it-IT" sz="1600" b="0" i="0">
                  <a:latin typeface="Cambria Math" panose="02040503050406030204" pitchFamily="18" charset="0"/>
                  <a:ea typeface="Cambria Math" panose="02040503050406030204" pitchFamily="18" charset="0"/>
                </a:rPr>
                <a:t>𝜎ℎ^2 )</a:t>
              </a:r>
              <a:endParaRPr lang="en-US" sz="1600"/>
            </a:p>
          </xdr:txBody>
        </xdr:sp>
      </mc:Fallback>
    </mc:AlternateContent>
    <xdr:clientData/>
  </xdr:oneCellAnchor>
  <xdr:twoCellAnchor>
    <xdr:from>
      <xdr:col>6</xdr:col>
      <xdr:colOff>750454</xdr:colOff>
      <xdr:row>126</xdr:row>
      <xdr:rowOff>72159</xdr:rowOff>
    </xdr:from>
    <xdr:to>
      <xdr:col>7</xdr:col>
      <xdr:colOff>137102</xdr:colOff>
      <xdr:row>130</xdr:row>
      <xdr:rowOff>202046</xdr:rowOff>
    </xdr:to>
    <xdr:sp macro="" textlink="">
      <xdr:nvSpPr>
        <xdr:cNvPr id="21" name="Left Brace 20">
          <a:extLst>
            <a:ext uri="{FF2B5EF4-FFF2-40B4-BE49-F238E27FC236}">
              <a16:creationId xmlns:a16="http://schemas.microsoft.com/office/drawing/2014/main" id="{564E2F3F-74B4-BD40-B792-D9FB49CDE845}"/>
            </a:ext>
          </a:extLst>
        </xdr:cNvPr>
        <xdr:cNvSpPr/>
      </xdr:nvSpPr>
      <xdr:spPr>
        <a:xfrm>
          <a:off x="8764154" y="32533359"/>
          <a:ext cx="669348" cy="1222087"/>
        </a:xfrm>
        <a:prstGeom prst="leftBrace">
          <a:avLst>
            <a:gd name="adj1" fmla="val 8333"/>
            <a:gd name="adj2" fmla="val 26786"/>
          </a:avLst>
        </a:prstGeom>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10</xdr:col>
      <xdr:colOff>418580</xdr:colOff>
      <xdr:row>125</xdr:row>
      <xdr:rowOff>183035</xdr:rowOff>
    </xdr:from>
    <xdr:to>
      <xdr:col>14</xdr:col>
      <xdr:colOff>737933</xdr:colOff>
      <xdr:row>130</xdr:row>
      <xdr:rowOff>238851</xdr:rowOff>
    </xdr:to>
    <mc:AlternateContent xmlns:mc="http://schemas.openxmlformats.org/markup-compatibility/2006" xmlns:a14="http://schemas.microsoft.com/office/drawing/2010/main">
      <mc:Choice Requires="a14">
        <xdr:sp macro="" textlink="">
          <xdr:nvSpPr>
            <xdr:cNvPr id="22" name="Rectangle 21">
              <a:extLst>
                <a:ext uri="{FF2B5EF4-FFF2-40B4-BE49-F238E27FC236}">
                  <a16:creationId xmlns:a16="http://schemas.microsoft.com/office/drawing/2014/main" id="{5C53E722-55FA-B948-88EC-13F32B6F6CD3}"/>
                </a:ext>
              </a:extLst>
            </xdr:cNvPr>
            <xdr:cNvSpPr/>
          </xdr:nvSpPr>
          <xdr:spPr>
            <a:xfrm>
              <a:off x="12521680" y="32441035"/>
              <a:ext cx="4726253" cy="135121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I</a:t>
              </a:r>
              <a:r>
                <a:rPr lang="en-US" sz="1100" b="1" baseline="-25000"/>
                <a:t>x</a:t>
              </a:r>
              <a:r>
                <a:rPr lang="en-US" sz="1100" b="0"/>
                <a:t>,</a:t>
              </a:r>
              <a:r>
                <a:rPr lang="en-US" sz="1100" b="1" baseline="0"/>
                <a:t> I</a:t>
              </a:r>
              <a:r>
                <a:rPr lang="en-US" sz="1100" b="1" baseline="-25000"/>
                <a:t>y</a:t>
              </a:r>
              <a:r>
                <a:rPr lang="en-US" sz="1100" b="0" baseline="0"/>
                <a:t>,</a:t>
              </a:r>
              <a:r>
                <a:rPr lang="en-US" sz="1100" b="1" baseline="0"/>
                <a:t> I</a:t>
              </a:r>
              <a:r>
                <a:rPr lang="en-US" sz="1100" b="1" baseline="-25000"/>
                <a:t>z</a:t>
              </a:r>
              <a:r>
                <a:rPr lang="en-US" sz="1100" b="1" baseline="0"/>
                <a:t> </a:t>
              </a:r>
              <a:r>
                <a:rPr lang="en-US" sz="1100" b="0" baseline="0"/>
                <a:t>are the principal moments of inertia, while </a:t>
              </a:r>
              <a14:m>
                <m:oMath xmlns:m="http://schemas.openxmlformats.org/officeDocument/2006/math">
                  <m:r>
                    <a:rPr lang="it-IT" sz="1100" b="1" i="1">
                      <a:latin typeface="Cambria Math" panose="02040503050406030204" pitchFamily="18" charset="0"/>
                      <a:ea typeface="Cambria Math" panose="02040503050406030204" pitchFamily="18" charset="0"/>
                    </a:rPr>
                    <m:t>𝝈</m:t>
                  </m:r>
                </m:oMath>
              </a14:m>
              <a:r>
                <a:rPr lang="en-US" sz="1100" b="1" baseline="0"/>
                <a:t> </a:t>
              </a:r>
              <a:r>
                <a:rPr lang="en-US" sz="1100" b="0" baseline="0"/>
                <a:t>is the rotational simmetry number (number of identical configurations obtained by rotation of the molecule around he center of simmetry).</a:t>
              </a:r>
              <a:r>
                <a:rPr lang="en-US" sz="1100" b="0"/>
                <a:t>Furthermore, Gaussian</a:t>
              </a:r>
              <a:r>
                <a:rPr lang="en-US" sz="1100" b="0" baseline="0"/>
                <a:t> internally uses a different formulation for the rotational partition function:</a:t>
              </a:r>
              <a:endParaRPr lang="en-US" sz="1100" b="0"/>
            </a:p>
          </xdr:txBody>
        </xdr:sp>
      </mc:Choice>
      <mc:Fallback xmlns="">
        <xdr:sp macro="" textlink="">
          <xdr:nvSpPr>
            <xdr:cNvPr id="22" name="Rectangle 21">
              <a:extLst>
                <a:ext uri="{FF2B5EF4-FFF2-40B4-BE49-F238E27FC236}">
                  <a16:creationId xmlns:a16="http://schemas.microsoft.com/office/drawing/2014/main" id="{5C53E722-55FA-B948-88EC-13F32B6F6CD3}"/>
                </a:ext>
              </a:extLst>
            </xdr:cNvPr>
            <xdr:cNvSpPr/>
          </xdr:nvSpPr>
          <xdr:spPr>
            <a:xfrm>
              <a:off x="12521680" y="32441035"/>
              <a:ext cx="4726253" cy="135121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I</a:t>
              </a:r>
              <a:r>
                <a:rPr lang="en-US" sz="1100" b="1" baseline="-25000"/>
                <a:t>x</a:t>
              </a:r>
              <a:r>
                <a:rPr lang="en-US" sz="1100" b="0"/>
                <a:t>,</a:t>
              </a:r>
              <a:r>
                <a:rPr lang="en-US" sz="1100" b="1" baseline="0"/>
                <a:t> I</a:t>
              </a:r>
              <a:r>
                <a:rPr lang="en-US" sz="1100" b="1" baseline="-25000"/>
                <a:t>y</a:t>
              </a:r>
              <a:r>
                <a:rPr lang="en-US" sz="1100" b="0" baseline="0"/>
                <a:t>,</a:t>
              </a:r>
              <a:r>
                <a:rPr lang="en-US" sz="1100" b="1" baseline="0"/>
                <a:t> I</a:t>
              </a:r>
              <a:r>
                <a:rPr lang="en-US" sz="1100" b="1" baseline="-25000"/>
                <a:t>z</a:t>
              </a:r>
              <a:r>
                <a:rPr lang="en-US" sz="1100" b="1" baseline="0"/>
                <a:t> </a:t>
              </a:r>
              <a:r>
                <a:rPr lang="en-US" sz="1100" b="0" baseline="0"/>
                <a:t>are the principal moments of inertia, while </a:t>
              </a:r>
              <a:r>
                <a:rPr lang="it-IT" sz="1100" b="1" i="0">
                  <a:latin typeface="Cambria Math" panose="02040503050406030204" pitchFamily="18" charset="0"/>
                  <a:ea typeface="Cambria Math" panose="02040503050406030204" pitchFamily="18" charset="0"/>
                </a:rPr>
                <a:t>𝝈</a:t>
              </a:r>
              <a:r>
                <a:rPr lang="en-US" sz="1100" b="1" baseline="0"/>
                <a:t> </a:t>
              </a:r>
              <a:r>
                <a:rPr lang="en-US" sz="1100" b="0" baseline="0"/>
                <a:t>is the rotational simmetry number (number of identical configurations obtained by rotation of the molecule around he center of simmetry).</a:t>
              </a:r>
              <a:r>
                <a:rPr lang="en-US" sz="1100" b="0"/>
                <a:t>Furthermore, Gaussian</a:t>
              </a:r>
              <a:r>
                <a:rPr lang="en-US" sz="1100" b="0" baseline="0"/>
                <a:t> internally uses a different formulation for the rotational partition function:</a:t>
              </a:r>
              <a:endParaRPr lang="en-US" sz="1100" b="0"/>
            </a:p>
          </xdr:txBody>
        </xdr:sp>
      </mc:Fallback>
    </mc:AlternateContent>
    <xdr:clientData/>
  </xdr:twoCellAnchor>
  <xdr:oneCellAnchor>
    <xdr:from>
      <xdr:col>7</xdr:col>
      <xdr:colOff>62175</xdr:colOff>
      <xdr:row>128</xdr:row>
      <xdr:rowOff>95489</xdr:rowOff>
    </xdr:from>
    <xdr:ext cx="2805896" cy="622543"/>
    <mc:AlternateContent xmlns:mc="http://schemas.openxmlformats.org/markup-compatibility/2006" xmlns:a14="http://schemas.microsoft.com/office/drawing/2010/main">
      <mc:Choice Requires="a14">
        <xdr:sp macro="" textlink="">
          <xdr:nvSpPr>
            <xdr:cNvPr id="23" name="TextBox 22">
              <a:extLst>
                <a:ext uri="{FF2B5EF4-FFF2-40B4-BE49-F238E27FC236}">
                  <a16:creationId xmlns:a16="http://schemas.microsoft.com/office/drawing/2014/main" id="{E0621FA0-E61F-084F-B560-EAAE88AFAB5F}"/>
                </a:ext>
              </a:extLst>
            </xdr:cNvPr>
            <xdr:cNvSpPr txBox="1"/>
          </xdr:nvSpPr>
          <xdr:spPr>
            <a:xfrm>
              <a:off x="9358575" y="33140889"/>
              <a:ext cx="2805896" cy="6225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3</m:t>
                        </m:r>
                        <m:r>
                          <a:rPr lang="it-IT" sz="1600" b="0" i="1">
                            <a:latin typeface="Cambria Math" panose="02040503050406030204" pitchFamily="18" charset="0"/>
                          </a:rPr>
                          <m:t>𝐷</m:t>
                        </m:r>
                      </m:sup>
                    </m:sSubSup>
                    <m:r>
                      <a:rPr lang="it-IT" sz="1600" b="0" i="1">
                        <a:latin typeface="Cambria Math" panose="02040503050406030204" pitchFamily="18" charset="0"/>
                      </a:rPr>
                      <m:t>(1)=</m:t>
                    </m:r>
                    <m:f>
                      <m:fPr>
                        <m:ctrlPr>
                          <a:rPr lang="it-IT" sz="1600" b="0" i="1">
                            <a:latin typeface="Cambria Math" panose="02040503050406030204" pitchFamily="18" charset="0"/>
                          </a:rPr>
                        </m:ctrlPr>
                      </m:fPr>
                      <m:num>
                        <m:r>
                          <a:rPr lang="it-IT" sz="1600" b="0" i="1">
                            <a:latin typeface="Cambria Math" panose="02040503050406030204" pitchFamily="18" charset="0"/>
                          </a:rPr>
                          <m:t>8</m:t>
                        </m:r>
                        <m:sSup>
                          <m:sSupPr>
                            <m:ctrlPr>
                              <a:rPr lang="it-IT" sz="1600" b="0" i="1">
                                <a:latin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𝜋</m:t>
                            </m:r>
                          </m:e>
                          <m:sup>
                            <m:r>
                              <a:rPr lang="it-IT" sz="1600" b="0" i="1">
                                <a:latin typeface="Cambria Math" panose="02040503050406030204" pitchFamily="18" charset="0"/>
                              </a:rPr>
                              <m:t>2</m:t>
                            </m:r>
                          </m:sup>
                        </m:sSup>
                        <m:sSup>
                          <m:sSupPr>
                            <m:ctrlPr>
                              <a:rPr lang="it-IT" sz="1600" b="0" i="1">
                                <a:latin typeface="Cambria Math" panose="02040503050406030204" pitchFamily="18" charset="0"/>
                              </a:rPr>
                            </m:ctrlPr>
                          </m:sSupPr>
                          <m:e>
                            <m:d>
                              <m:dPr>
                                <m:ctrlPr>
                                  <a:rPr lang="it-IT" sz="1600" b="0" i="1">
                                    <a:latin typeface="Cambria Math" panose="02040503050406030204" pitchFamily="18" charset="0"/>
                                  </a:rPr>
                                </m:ctrlPr>
                              </m:dPr>
                              <m:e>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rad>
                          <m:radPr>
                            <m:degHide m:val="on"/>
                            <m:ctrlPr>
                              <a:rPr lang="it-IT" sz="1600" b="0" i="1">
                                <a:latin typeface="Cambria Math" panose="02040503050406030204" pitchFamily="18" charset="0"/>
                              </a:rPr>
                            </m:ctrlPr>
                          </m:radPr>
                          <m:deg/>
                          <m:e>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𝑥</m:t>
                                </m:r>
                              </m:sub>
                            </m:sSub>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𝑦</m:t>
                                </m:r>
                              </m:sub>
                            </m:sSub>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𝑧</m:t>
                                </m:r>
                              </m:sub>
                            </m:sSub>
                          </m:e>
                        </m:rad>
                      </m:num>
                      <m:den>
                        <m:r>
                          <a:rPr lang="it-IT" sz="1600" b="0" i="1">
                            <a:latin typeface="Cambria Math" panose="02040503050406030204" pitchFamily="18" charset="0"/>
                            <a:ea typeface="Cambria Math" panose="02040503050406030204" pitchFamily="18" charset="0"/>
                          </a:rPr>
                          <m:t>𝜎</m:t>
                        </m:r>
                        <m:sSup>
                          <m:sSupPr>
                            <m:ctrlPr>
                              <a:rPr lang="it-IT" sz="1600" b="0" i="1">
                                <a:latin typeface="Cambria Math" panose="02040503050406030204" pitchFamily="18" charset="0"/>
                                <a:ea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h</m:t>
                            </m:r>
                          </m:e>
                          <m:sup>
                            <m:r>
                              <a:rPr lang="it-IT" sz="1600" b="0" i="1">
                                <a:latin typeface="Cambria Math" panose="02040503050406030204" pitchFamily="18" charset="0"/>
                                <a:ea typeface="Cambria Math" panose="02040503050406030204" pitchFamily="18" charset="0"/>
                              </a:rPr>
                              <m:t>3</m:t>
                            </m:r>
                          </m:sup>
                        </m:sSup>
                      </m:den>
                    </m:f>
                  </m:oMath>
                </m:oMathPara>
              </a14:m>
              <a:endParaRPr lang="en-US" sz="1600"/>
            </a:p>
          </xdr:txBody>
        </xdr:sp>
      </mc:Choice>
      <mc:Fallback xmlns="">
        <xdr:sp macro="" textlink="">
          <xdr:nvSpPr>
            <xdr:cNvPr id="23" name="TextBox 22">
              <a:extLst>
                <a:ext uri="{FF2B5EF4-FFF2-40B4-BE49-F238E27FC236}">
                  <a16:creationId xmlns:a16="http://schemas.microsoft.com/office/drawing/2014/main" id="{E0621FA0-E61F-084F-B560-EAAE88AFAB5F}"/>
                </a:ext>
              </a:extLst>
            </xdr:cNvPr>
            <xdr:cNvSpPr txBox="1"/>
          </xdr:nvSpPr>
          <xdr:spPr>
            <a:xfrm>
              <a:off x="9358575" y="33140889"/>
              <a:ext cx="2805896" cy="6225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𝑄_𝑟𝑜𝑡^3𝐷 (1)=(8</a:t>
              </a:r>
              <a:r>
                <a:rPr lang="it-IT" sz="1600" b="0" i="0">
                  <a:latin typeface="Cambria Math" panose="02040503050406030204" pitchFamily="18" charset="0"/>
                  <a:ea typeface="Cambria Math" panose="02040503050406030204" pitchFamily="18" charset="0"/>
                </a:rPr>
                <a:t>𝜋^</a:t>
              </a:r>
              <a:r>
                <a:rPr lang="it-IT" sz="1600" b="0" i="0">
                  <a:latin typeface="Cambria Math" panose="02040503050406030204" pitchFamily="18" charset="0"/>
                </a:rPr>
                <a:t>2 (2</a:t>
              </a:r>
              <a:r>
                <a:rPr lang="it-IT" sz="1600" b="0" i="0">
                  <a:latin typeface="Cambria Math" panose="02040503050406030204" pitchFamily="18" charset="0"/>
                  <a:ea typeface="Cambria Math" panose="02040503050406030204" pitchFamily="18" charset="0"/>
                </a:rPr>
                <a:t>𝜋𝑘_𝑏 𝑇)^(</a:t>
              </a:r>
              <a:r>
                <a:rPr lang="it-IT" sz="1600" b="0" i="0">
                  <a:latin typeface="Cambria Math" panose="02040503050406030204" pitchFamily="18" charset="0"/>
                </a:rPr>
                <a:t>3/2) √(𝐼_𝑥 𝐼_𝑦 𝐼_𝑧 ))/(</a:t>
              </a:r>
              <a:r>
                <a:rPr lang="it-IT" sz="1600" b="0" i="0">
                  <a:latin typeface="Cambria Math" panose="02040503050406030204" pitchFamily="18" charset="0"/>
                  <a:ea typeface="Cambria Math" panose="02040503050406030204" pitchFamily="18" charset="0"/>
                </a:rPr>
                <a:t>𝜎ℎ^3 )</a:t>
              </a:r>
              <a:endParaRPr lang="en-US" sz="1600"/>
            </a:p>
          </xdr:txBody>
        </xdr:sp>
      </mc:Fallback>
    </mc:AlternateContent>
    <xdr:clientData/>
  </xdr:oneCellAnchor>
  <xdr:twoCellAnchor>
    <xdr:from>
      <xdr:col>7</xdr:col>
      <xdr:colOff>38099</xdr:colOff>
      <xdr:row>128</xdr:row>
      <xdr:rowOff>63500</xdr:rowOff>
    </xdr:from>
    <xdr:to>
      <xdr:col>10</xdr:col>
      <xdr:colOff>362856</xdr:colOff>
      <xdr:row>131</xdr:row>
      <xdr:rowOff>88900</xdr:rowOff>
    </xdr:to>
    <xdr:sp macro="" textlink="">
      <xdr:nvSpPr>
        <xdr:cNvPr id="24" name="Rounded Rectangle 23">
          <a:extLst>
            <a:ext uri="{FF2B5EF4-FFF2-40B4-BE49-F238E27FC236}">
              <a16:creationId xmlns:a16="http://schemas.microsoft.com/office/drawing/2014/main" id="{138AE3DB-6EBB-CE4A-8993-CF6B4FACC053}"/>
            </a:ext>
          </a:extLst>
        </xdr:cNvPr>
        <xdr:cNvSpPr/>
      </xdr:nvSpPr>
      <xdr:spPr>
        <a:xfrm>
          <a:off x="9334499" y="33108900"/>
          <a:ext cx="3131457" cy="787400"/>
        </a:xfrm>
        <a:prstGeom prst="roundRect">
          <a:avLst/>
        </a:prstGeom>
        <a:noFill/>
        <a:ln w="2857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11</xdr:col>
      <xdr:colOff>213330</xdr:colOff>
      <xdr:row>131</xdr:row>
      <xdr:rowOff>77170</xdr:rowOff>
    </xdr:from>
    <xdr:ext cx="2304349" cy="792718"/>
    <mc:AlternateContent xmlns:mc="http://schemas.openxmlformats.org/markup-compatibility/2006" xmlns:a14="http://schemas.microsoft.com/office/drawing/2010/main">
      <mc:Choice Requires="a14">
        <xdr:sp macro="" textlink="">
          <xdr:nvSpPr>
            <xdr:cNvPr id="25" name="TextBox 24">
              <a:extLst>
                <a:ext uri="{FF2B5EF4-FFF2-40B4-BE49-F238E27FC236}">
                  <a16:creationId xmlns:a16="http://schemas.microsoft.com/office/drawing/2014/main" id="{AB21766C-724E-854D-9345-FFDF92DAB400}"/>
                </a:ext>
              </a:extLst>
            </xdr:cNvPr>
            <xdr:cNvSpPr txBox="1"/>
          </xdr:nvSpPr>
          <xdr:spPr>
            <a:xfrm>
              <a:off x="13408630" y="33884570"/>
              <a:ext cx="2304349" cy="7927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3</m:t>
                        </m:r>
                        <m:r>
                          <a:rPr lang="it-IT" sz="1600" b="0" i="1">
                            <a:latin typeface="Cambria Math" panose="02040503050406030204" pitchFamily="18" charset="0"/>
                          </a:rPr>
                          <m:t>𝐷</m:t>
                        </m:r>
                      </m:sup>
                    </m:sSubSup>
                    <m:r>
                      <a:rPr lang="it-IT" sz="1600" b="0" i="1">
                        <a:latin typeface="Cambria Math" panose="02040503050406030204" pitchFamily="18" charset="0"/>
                      </a:rPr>
                      <m:t>(2)=</m:t>
                    </m:r>
                    <m:f>
                      <m:fPr>
                        <m:ctrlPr>
                          <a:rPr lang="it-IT" sz="1600" b="0" i="1">
                            <a:latin typeface="Cambria Math" panose="02040503050406030204" pitchFamily="18" charset="0"/>
                          </a:rPr>
                        </m:ctrlPr>
                      </m:fPr>
                      <m:num>
                        <m:rad>
                          <m:radPr>
                            <m:degHide m:val="on"/>
                            <m:ctrlPr>
                              <a:rPr lang="it-IT" sz="1600" b="0" i="1">
                                <a:latin typeface="Cambria Math" panose="02040503050406030204" pitchFamily="18" charset="0"/>
                              </a:rPr>
                            </m:ctrlPr>
                          </m:radPr>
                          <m:deg/>
                          <m:e>
                            <m:r>
                              <a:rPr lang="it-IT" sz="1600" b="0" i="1">
                                <a:latin typeface="Cambria Math" panose="02040503050406030204" pitchFamily="18" charset="0"/>
                                <a:ea typeface="Cambria Math" panose="02040503050406030204" pitchFamily="18" charset="0"/>
                              </a:rPr>
                              <m:t>𝜋</m:t>
                            </m:r>
                          </m:e>
                        </m:rad>
                      </m:num>
                      <m:den>
                        <m:r>
                          <a:rPr lang="it-IT" sz="1600" b="0" i="1">
                            <a:latin typeface="Cambria Math" panose="02040503050406030204" pitchFamily="18" charset="0"/>
                            <a:ea typeface="Cambria Math" panose="02040503050406030204" pitchFamily="18" charset="0"/>
                          </a:rPr>
                          <m:t>𝜎</m:t>
                        </m:r>
                      </m:den>
                    </m:f>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sSup>
                              <m:sSupPr>
                                <m:ctrlPr>
                                  <a:rPr lang="it-IT" sz="1600" b="0" i="1">
                                    <a:latin typeface="Cambria Math" panose="02040503050406030204" pitchFamily="18" charset="0"/>
                                  </a:rPr>
                                </m:ctrlPr>
                              </m:sSupPr>
                              <m:e>
                                <m:r>
                                  <a:rPr lang="it-IT" sz="1600" b="0" i="1">
                                    <a:latin typeface="Cambria Math" panose="02040503050406030204" pitchFamily="18" charset="0"/>
                                  </a:rPr>
                                  <m:t>𝑇</m:t>
                                </m:r>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num>
                          <m:den>
                            <m:rad>
                              <m:radPr>
                                <m:degHide m:val="on"/>
                                <m:ctrlPr>
                                  <a:rPr lang="it-IT" sz="1600" b="0" i="1">
                                    <a:latin typeface="Cambria Math" panose="02040503050406030204" pitchFamily="18" charset="0"/>
                                  </a:rPr>
                                </m:ctrlPr>
                              </m:radPr>
                              <m:deg/>
                              <m:e>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rPr>
                                      <m:t>𝑥</m:t>
                                    </m:r>
                                  </m:sub>
                                </m:sSub>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ea typeface="Cambria Math" panose="02040503050406030204" pitchFamily="18" charset="0"/>
                                      </a:rPr>
                                      <m:t>𝑦</m:t>
                                    </m:r>
                                  </m:sub>
                                </m:sSub>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ea typeface="Cambria Math" panose="02040503050406030204" pitchFamily="18" charset="0"/>
                                      </a:rPr>
                                      <m:t>𝑧</m:t>
                                    </m:r>
                                  </m:sub>
                                </m:sSub>
                              </m:e>
                            </m:rad>
                          </m:den>
                        </m:f>
                      </m:e>
                    </m:d>
                  </m:oMath>
                </m:oMathPara>
              </a14:m>
              <a:endParaRPr lang="en-US" sz="1600"/>
            </a:p>
          </xdr:txBody>
        </xdr:sp>
      </mc:Choice>
      <mc:Fallback xmlns="">
        <xdr:sp macro="" textlink="">
          <xdr:nvSpPr>
            <xdr:cNvPr id="25" name="TextBox 24">
              <a:extLst>
                <a:ext uri="{FF2B5EF4-FFF2-40B4-BE49-F238E27FC236}">
                  <a16:creationId xmlns:a16="http://schemas.microsoft.com/office/drawing/2014/main" id="{AB21766C-724E-854D-9345-FFDF92DAB400}"/>
                </a:ext>
              </a:extLst>
            </xdr:cNvPr>
            <xdr:cNvSpPr txBox="1"/>
          </xdr:nvSpPr>
          <xdr:spPr>
            <a:xfrm>
              <a:off x="13408630" y="33884570"/>
              <a:ext cx="2304349" cy="7927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𝑄_𝑟𝑜𝑡^3𝐷 (2)=√</a:t>
              </a:r>
              <a:r>
                <a:rPr lang="it-IT" sz="1600" b="0" i="0">
                  <a:latin typeface="Cambria Math" panose="02040503050406030204" pitchFamily="18" charset="0"/>
                  <a:ea typeface="Cambria Math" panose="02040503050406030204" pitchFamily="18" charset="0"/>
                </a:rPr>
                <a:t>𝜋/𝜎 </a:t>
              </a:r>
              <a:r>
                <a:rPr lang="it-IT" sz="1600" b="0" i="0">
                  <a:latin typeface="Cambria Math" panose="02040503050406030204" pitchFamily="18" charset="0"/>
                </a:rPr>
                <a:t>(𝑇^(3/2)/√(</a:t>
              </a:r>
              <a:r>
                <a:rPr lang="it-IT" sz="1600" b="0" i="0">
                  <a:latin typeface="Cambria Math" panose="02040503050406030204" pitchFamily="18" charset="0"/>
                  <a:ea typeface="Cambria Math" panose="02040503050406030204" pitchFamily="18" charset="0"/>
                </a:rPr>
                <a:t>𝜃_</a:t>
              </a:r>
              <a:r>
                <a:rPr lang="it-IT" sz="1600" b="0" i="0">
                  <a:latin typeface="Cambria Math" panose="02040503050406030204" pitchFamily="18" charset="0"/>
                </a:rPr>
                <a:t>𝑥 </a:t>
              </a:r>
              <a:r>
                <a:rPr lang="it-IT" sz="1600" b="0" i="0">
                  <a:latin typeface="Cambria Math" panose="02040503050406030204" pitchFamily="18" charset="0"/>
                  <a:ea typeface="Cambria Math" panose="02040503050406030204" pitchFamily="18" charset="0"/>
                </a:rPr>
                <a:t>𝜃_𝑦 𝜃_𝑧 ))</a:t>
              </a:r>
              <a:endParaRPr lang="en-US" sz="1600"/>
            </a:p>
          </xdr:txBody>
        </xdr:sp>
      </mc:Fallback>
    </mc:AlternateContent>
    <xdr:clientData/>
  </xdr:oneCellAnchor>
  <xdr:twoCellAnchor>
    <xdr:from>
      <xdr:col>10</xdr:col>
      <xdr:colOff>833739</xdr:colOff>
      <xdr:row>130</xdr:row>
      <xdr:rowOff>126030</xdr:rowOff>
    </xdr:from>
    <xdr:to>
      <xdr:col>11</xdr:col>
      <xdr:colOff>213330</xdr:colOff>
      <xdr:row>132</xdr:row>
      <xdr:rowOff>194408</xdr:rowOff>
    </xdr:to>
    <xdr:cxnSp macro="">
      <xdr:nvCxnSpPr>
        <xdr:cNvPr id="26" name="Curved Connector 25">
          <a:extLst>
            <a:ext uri="{FF2B5EF4-FFF2-40B4-BE49-F238E27FC236}">
              <a16:creationId xmlns:a16="http://schemas.microsoft.com/office/drawing/2014/main" id="{B3FB325D-8CE1-444C-AA02-F9B884F0A49A}"/>
            </a:ext>
          </a:extLst>
        </xdr:cNvPr>
        <xdr:cNvCxnSpPr>
          <a:endCxn id="25" idx="1"/>
        </xdr:cNvCxnSpPr>
      </xdr:nvCxnSpPr>
      <xdr:spPr>
        <a:xfrm rot="16200000" flipH="1">
          <a:off x="12871846" y="33744423"/>
          <a:ext cx="601778" cy="471791"/>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9769</xdr:colOff>
      <xdr:row>142</xdr:row>
      <xdr:rowOff>222807</xdr:rowOff>
    </xdr:from>
    <xdr:to>
      <xdr:col>15</xdr:col>
      <xdr:colOff>824046</xdr:colOff>
      <xdr:row>155</xdr:row>
      <xdr:rowOff>171380</xdr:rowOff>
    </xdr:to>
    <xdr:graphicFrame macro="">
      <xdr:nvGraphicFramePr>
        <xdr:cNvPr id="27" name="Chart 26">
          <a:extLst>
            <a:ext uri="{FF2B5EF4-FFF2-40B4-BE49-F238E27FC236}">
              <a16:creationId xmlns:a16="http://schemas.microsoft.com/office/drawing/2014/main" id="{D05013DF-618D-2549-B66A-41F52B78E2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oneCellAnchor>
    <xdr:from>
      <xdr:col>9</xdr:col>
      <xdr:colOff>745958</xdr:colOff>
      <xdr:row>156</xdr:row>
      <xdr:rowOff>38545</xdr:rowOff>
    </xdr:from>
    <xdr:ext cx="65" cy="172227"/>
    <xdr:sp macro="" textlink="">
      <xdr:nvSpPr>
        <xdr:cNvPr id="28" name="TextBox 27">
          <a:extLst>
            <a:ext uri="{FF2B5EF4-FFF2-40B4-BE49-F238E27FC236}">
              <a16:creationId xmlns:a16="http://schemas.microsoft.com/office/drawing/2014/main" id="{9F08593C-39D5-2A45-99B7-032149A3A210}"/>
            </a:ext>
          </a:extLst>
        </xdr:cNvPr>
        <xdr:cNvSpPr txBox="1"/>
      </xdr:nvSpPr>
      <xdr:spPr>
        <a:xfrm>
          <a:off x="11731458" y="4000544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twoCellAnchor>
    <xdr:from>
      <xdr:col>4</xdr:col>
      <xdr:colOff>452528</xdr:colOff>
      <xdr:row>163</xdr:row>
      <xdr:rowOff>131380</xdr:rowOff>
    </xdr:from>
    <xdr:to>
      <xdr:col>6</xdr:col>
      <xdr:colOff>613104</xdr:colOff>
      <xdr:row>163</xdr:row>
      <xdr:rowOff>145977</xdr:rowOff>
    </xdr:to>
    <xdr:cxnSp macro="">
      <xdr:nvCxnSpPr>
        <xdr:cNvPr id="29" name="Straight Arrow Connector 28">
          <a:extLst>
            <a:ext uri="{FF2B5EF4-FFF2-40B4-BE49-F238E27FC236}">
              <a16:creationId xmlns:a16="http://schemas.microsoft.com/office/drawing/2014/main" id="{2DB2007F-882E-524E-A1CE-65098E2B4DEA}"/>
            </a:ext>
          </a:extLst>
        </xdr:cNvPr>
        <xdr:cNvCxnSpPr/>
      </xdr:nvCxnSpPr>
      <xdr:spPr>
        <a:xfrm>
          <a:off x="6002428" y="415968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209696</xdr:colOff>
      <xdr:row>161</xdr:row>
      <xdr:rowOff>239134</xdr:rowOff>
    </xdr:from>
    <xdr:ext cx="1988301" cy="695255"/>
    <mc:AlternateContent xmlns:mc="http://schemas.openxmlformats.org/markup-compatibility/2006" xmlns:a14="http://schemas.microsoft.com/office/drawing/2010/main">
      <mc:Choice Requires="a14">
        <xdr:sp macro="" textlink="">
          <xdr:nvSpPr>
            <xdr:cNvPr id="30" name="TextBox 29">
              <a:extLst>
                <a:ext uri="{FF2B5EF4-FFF2-40B4-BE49-F238E27FC236}">
                  <a16:creationId xmlns:a16="http://schemas.microsoft.com/office/drawing/2014/main" id="{0493FDBD-31DE-6347-8073-654DA790DB13}"/>
                </a:ext>
              </a:extLst>
            </xdr:cNvPr>
            <xdr:cNvSpPr txBox="1"/>
          </xdr:nvSpPr>
          <xdr:spPr>
            <a:xfrm>
              <a:off x="9506096" y="41222034"/>
              <a:ext cx="1988301" cy="6952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nary>
                      <m:naryPr>
                        <m:chr m:val="∑"/>
                        <m:ctrlPr>
                          <a:rPr lang="it-IT" sz="1600" b="0" i="1">
                            <a:latin typeface="Cambria Math" panose="02040503050406030204" pitchFamily="18" charset="0"/>
                          </a:rPr>
                        </m:ctrlPr>
                      </m:naryPr>
                      <m:sub>
                        <m:r>
                          <m:rPr>
                            <m:brk m:alnAt="23"/>
                          </m:rPr>
                          <a:rPr lang="it-IT" sz="1600" b="0" i="1">
                            <a:latin typeface="Cambria Math" panose="02040503050406030204" pitchFamily="18" charset="0"/>
                          </a:rPr>
                          <m:t>𝑖</m:t>
                        </m:r>
                        <m:r>
                          <a:rPr lang="it-IT" sz="1600" b="0" i="1">
                            <a:latin typeface="Cambria Math" panose="02040503050406030204" pitchFamily="18" charset="0"/>
                          </a:rPr>
                          <m:t>=0</m:t>
                        </m:r>
                      </m:sub>
                      <m:sup>
                        <m:r>
                          <a:rPr lang="it-IT" sz="1600" b="0" i="1">
                            <a:latin typeface="Cambria Math" panose="02040503050406030204" pitchFamily="18" charset="0"/>
                            <a:ea typeface="Cambria Math" panose="02040503050406030204" pitchFamily="18" charset="0"/>
                          </a:rPr>
                          <m:t>∞</m:t>
                        </m:r>
                      </m:sup>
                      <m:e>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𝑖</m:t>
                            </m:r>
                          </m:sup>
                        </m:sSubSup>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r>
                              <a:rPr lang="it-IT" sz="1600" b="0" i="1">
                                <a:latin typeface="Cambria Math" panose="02040503050406030204" pitchFamily="18" charset="0"/>
                              </a:rPr>
                              <m:t>−</m:t>
                            </m:r>
                            <m:f>
                              <m:fPr>
                                <m:ctrlPr>
                                  <a:rPr lang="it-IT" sz="1600" b="0" i="1">
                                    <a:latin typeface="Cambria Math" panose="02040503050406030204" pitchFamily="18" charset="0"/>
                                  </a:rPr>
                                </m:ctrlPr>
                              </m:fPr>
                              <m:num>
                                <m:sSubSup>
                                  <m:sSubSupPr>
                                    <m:ctrlPr>
                                      <a:rPr lang="it-IT" sz="1600" b="0" i="1">
                                        <a:latin typeface="Cambria Math" panose="02040503050406030204" pitchFamily="18" charset="0"/>
                                      </a:rPr>
                                    </m:ctrlPr>
                                  </m:sSubSupPr>
                                  <m:e>
                                    <m:r>
                                      <a:rPr lang="it-IT" sz="1600" b="0" i="1">
                                        <a:latin typeface="Cambria Math" panose="02040503050406030204" pitchFamily="18" charset="0"/>
                                      </a:rPr>
                                      <m:t>𝐸</m:t>
                                    </m:r>
                                  </m:e>
                                  <m:sub>
                                    <m:r>
                                      <a:rPr lang="it-IT" sz="1600" b="0" i="1">
                                        <a:latin typeface="Cambria Math" panose="02040503050406030204" pitchFamily="18" charset="0"/>
                                      </a:rPr>
                                      <m:t>𝑒𝑙</m:t>
                                    </m:r>
                                  </m:sub>
                                  <m:sup>
                                    <m:r>
                                      <a:rPr lang="it-IT" sz="1600" b="0" i="1">
                                        <a:latin typeface="Cambria Math" panose="02040503050406030204" pitchFamily="18" charset="0"/>
                                      </a:rPr>
                                      <m:t>𝑖</m:t>
                                    </m:r>
                                  </m:sup>
                                </m:sSubSup>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sup>
                        </m:sSup>
                      </m:e>
                    </m:nary>
                  </m:oMath>
                </m:oMathPara>
              </a14:m>
              <a:endParaRPr lang="en-US" sz="1600"/>
            </a:p>
          </xdr:txBody>
        </xdr:sp>
      </mc:Choice>
      <mc:Fallback xmlns="">
        <xdr:sp macro="" textlink="">
          <xdr:nvSpPr>
            <xdr:cNvPr id="30" name="TextBox 29">
              <a:extLst>
                <a:ext uri="{FF2B5EF4-FFF2-40B4-BE49-F238E27FC236}">
                  <a16:creationId xmlns:a16="http://schemas.microsoft.com/office/drawing/2014/main" id="{0493FDBD-31DE-6347-8073-654DA790DB13}"/>
                </a:ext>
              </a:extLst>
            </xdr:cNvPr>
            <xdr:cNvSpPr txBox="1"/>
          </xdr:nvSpPr>
          <xdr:spPr>
            <a:xfrm>
              <a:off x="9506096" y="41222034"/>
              <a:ext cx="1988301" cy="6952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𝑡𝑟𝑎𝑛𝑠𝑙=∑_(𝑖=0)</a:t>
              </a:r>
              <a:r>
                <a:rPr lang="it-IT" sz="1600" b="0" i="0">
                  <a:latin typeface="Cambria Math" panose="02040503050406030204" pitchFamily="18" charset="0"/>
                  <a:ea typeface="Cambria Math" panose="02040503050406030204" pitchFamily="18" charset="0"/>
                </a:rPr>
                <a:t>^∞▒〖</a:t>
              </a:r>
              <a:r>
                <a:rPr lang="it-IT" sz="1600" b="0" i="0">
                  <a:latin typeface="Cambria Math" panose="02040503050406030204" pitchFamily="18" charset="0"/>
                </a:rPr>
                <a:t>𝑔_𝑒𝑙^𝑖 𝑒^(−(𝐸_𝑒𝑙^𝑖)/(𝑘_𝑏 𝑇)) </a:t>
              </a:r>
              <a:r>
                <a:rPr lang="it-IT" sz="1600" b="0" i="0">
                  <a:latin typeface="Cambria Math" panose="02040503050406030204" pitchFamily="18" charset="0"/>
                  <a:ea typeface="Cambria Math" panose="02040503050406030204" pitchFamily="18" charset="0"/>
                </a:rPr>
                <a:t>〗</a:t>
              </a:r>
              <a:endParaRPr lang="en-US" sz="1600"/>
            </a:p>
          </xdr:txBody>
        </xdr:sp>
      </mc:Fallback>
    </mc:AlternateContent>
    <xdr:clientData/>
  </xdr:oneCellAnchor>
  <xdr:twoCellAnchor>
    <xdr:from>
      <xdr:col>10</xdr:col>
      <xdr:colOff>743214</xdr:colOff>
      <xdr:row>162</xdr:row>
      <xdr:rowOff>75335</xdr:rowOff>
    </xdr:from>
    <xdr:to>
      <xdr:col>14</xdr:col>
      <xdr:colOff>1062567</xdr:colOff>
      <xdr:row>166</xdr:row>
      <xdr:rowOff>218898</xdr:rowOff>
    </xdr:to>
    <xdr:sp macro="" textlink="">
      <xdr:nvSpPr>
        <xdr:cNvPr id="31" name="Rectangle 30">
          <a:extLst>
            <a:ext uri="{FF2B5EF4-FFF2-40B4-BE49-F238E27FC236}">
              <a16:creationId xmlns:a16="http://schemas.microsoft.com/office/drawing/2014/main" id="{58873998-969C-A94A-BA71-408B50AED167}"/>
            </a:ext>
          </a:extLst>
        </xdr:cNvPr>
        <xdr:cNvSpPr/>
      </xdr:nvSpPr>
      <xdr:spPr>
        <a:xfrm>
          <a:off x="12846314" y="41299535"/>
          <a:ext cx="4726253" cy="122306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Form</a:t>
          </a:r>
          <a:r>
            <a:rPr lang="en-US" sz="1100" b="1" baseline="0"/>
            <a:t> Gaussian manual:</a:t>
          </a:r>
          <a:br>
            <a:rPr lang="en-US" sz="1100" b="1" baseline="0"/>
          </a:br>
          <a:r>
            <a:rPr lang="en-US"/>
            <a:t>Gaussian assumes that the first electronic excitation energy is much greater than k</a:t>
          </a:r>
          <a:r>
            <a:rPr lang="en-US" baseline="-25000"/>
            <a:t>B</a:t>
          </a:r>
          <a:r>
            <a:rPr lang="en-US"/>
            <a:t>T. Therefore, the first and higher excited states are assumed to be inaccessible at any temperature. Further, the energy of the ground state is set to zero. </a:t>
          </a:r>
          <a:endParaRPr lang="en-US" sz="1100" b="1"/>
        </a:p>
      </xdr:txBody>
    </xdr:sp>
    <xdr:clientData/>
  </xdr:twoCellAnchor>
  <xdr:twoCellAnchor>
    <xdr:from>
      <xdr:col>9</xdr:col>
      <xdr:colOff>711638</xdr:colOff>
      <xdr:row>163</xdr:row>
      <xdr:rowOff>155965</xdr:rowOff>
    </xdr:from>
    <xdr:to>
      <xdr:col>10</xdr:col>
      <xdr:colOff>679561</xdr:colOff>
      <xdr:row>165</xdr:row>
      <xdr:rowOff>43793</xdr:rowOff>
    </xdr:to>
    <xdr:cxnSp macro="">
      <xdr:nvCxnSpPr>
        <xdr:cNvPr id="32" name="Curved Connector 31">
          <a:extLst>
            <a:ext uri="{FF2B5EF4-FFF2-40B4-BE49-F238E27FC236}">
              <a16:creationId xmlns:a16="http://schemas.microsoft.com/office/drawing/2014/main" id="{679E0881-11BB-0142-87C7-606774F6C1DA}"/>
            </a:ext>
          </a:extLst>
        </xdr:cNvPr>
        <xdr:cNvCxnSpPr/>
      </xdr:nvCxnSpPr>
      <xdr:spPr>
        <a:xfrm flipV="1">
          <a:off x="11697138" y="41621465"/>
          <a:ext cx="1085523" cy="472028"/>
        </a:xfrm>
        <a:prstGeom prst="curvedConnector3">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11</xdr:col>
      <xdr:colOff>440267</xdr:colOff>
      <xdr:row>167</xdr:row>
      <xdr:rowOff>135467</xdr:rowOff>
    </xdr:from>
    <xdr:ext cx="2190536" cy="468205"/>
    <mc:AlternateContent xmlns:mc="http://schemas.openxmlformats.org/markup-compatibility/2006" xmlns:a14="http://schemas.microsoft.com/office/drawing/2010/main">
      <mc:Choice Requires="a14">
        <xdr:sp macro="" textlink="">
          <xdr:nvSpPr>
            <xdr:cNvPr id="33" name="TextBox 32">
              <a:extLst>
                <a:ext uri="{FF2B5EF4-FFF2-40B4-BE49-F238E27FC236}">
                  <a16:creationId xmlns:a16="http://schemas.microsoft.com/office/drawing/2014/main" id="{071D29B4-D95F-F74C-9998-2D0D1A94C7F0}"/>
                </a:ext>
              </a:extLst>
            </xdr:cNvPr>
            <xdr:cNvSpPr txBox="1"/>
          </xdr:nvSpPr>
          <xdr:spPr>
            <a:xfrm>
              <a:off x="13635567" y="42693167"/>
              <a:ext cx="2190536" cy="468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r>
                        <a:rPr lang="it-IT" sz="1600" b="0" i="1">
                          <a:latin typeface="Cambria Math" panose="02040503050406030204" pitchFamily="18" charset="0"/>
                        </a:rPr>
                        <m:t>−</m:t>
                      </m:r>
                      <m:f>
                        <m:fPr>
                          <m:ctrlPr>
                            <a:rPr lang="it-IT" sz="1600" b="0" i="1">
                              <a:latin typeface="Cambria Math" panose="02040503050406030204" pitchFamily="18" charset="0"/>
                            </a:rPr>
                          </m:ctrlPr>
                        </m:fPr>
                        <m:num>
                          <m:sSubSup>
                            <m:sSubSupPr>
                              <m:ctrlPr>
                                <a:rPr lang="it-IT" sz="1600" b="0" i="1">
                                  <a:latin typeface="Cambria Math" panose="02040503050406030204" pitchFamily="18" charset="0"/>
                                </a:rPr>
                              </m:ctrlPr>
                            </m:sSubSupPr>
                            <m:e>
                              <m:r>
                                <a:rPr lang="it-IT" sz="1600" b="0" i="1">
                                  <a:latin typeface="Cambria Math" panose="02040503050406030204" pitchFamily="18" charset="0"/>
                                </a:rPr>
                                <m:t>𝐸</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sup>
                  </m:sSup>
                  <m:r>
                    <a:rPr lang="it-IT" sz="1600" b="0" i="1">
                      <a:latin typeface="Cambria Math" panose="02040503050406030204" pitchFamily="18" charset="0"/>
                    </a:rPr>
                    <m:t>=</m:t>
                  </m:r>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oMath>
              </a14:m>
              <a:r>
                <a:rPr lang="en-US" sz="1600"/>
                <a:t> </a:t>
              </a:r>
            </a:p>
          </xdr:txBody>
        </xdr:sp>
      </mc:Choice>
      <mc:Fallback xmlns="">
        <xdr:sp macro="" textlink="">
          <xdr:nvSpPr>
            <xdr:cNvPr id="33" name="TextBox 32">
              <a:extLst>
                <a:ext uri="{FF2B5EF4-FFF2-40B4-BE49-F238E27FC236}">
                  <a16:creationId xmlns:a16="http://schemas.microsoft.com/office/drawing/2014/main" id="{071D29B4-D95F-F74C-9998-2D0D1A94C7F0}"/>
                </a:ext>
              </a:extLst>
            </xdr:cNvPr>
            <xdr:cNvSpPr txBox="1"/>
          </xdr:nvSpPr>
          <xdr:spPr>
            <a:xfrm>
              <a:off x="13635567" y="42693167"/>
              <a:ext cx="2190536" cy="468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𝑡𝑟𝑎𝑛𝑠𝑙=𝑔_𝑒𝑙^0 𝑒^(−(𝐸_𝑒𝑙^0)/(𝑘_𝑏 𝑇))=𝑔_𝑒𝑙^0</a:t>
              </a:r>
              <a:r>
                <a:rPr lang="en-US" sz="1600"/>
                <a:t> </a:t>
              </a:r>
            </a:p>
          </xdr:txBody>
        </xdr:sp>
      </mc:Fallback>
    </mc:AlternateContent>
    <xdr:clientData/>
  </xdr:oneCellAnchor>
  <xdr:twoCellAnchor>
    <xdr:from>
      <xdr:col>9</xdr:col>
      <xdr:colOff>810879</xdr:colOff>
      <xdr:row>54</xdr:row>
      <xdr:rowOff>177230</xdr:rowOff>
    </xdr:from>
    <xdr:to>
      <xdr:col>10</xdr:col>
      <xdr:colOff>813725</xdr:colOff>
      <xdr:row>55</xdr:row>
      <xdr:rowOff>101443</xdr:rowOff>
    </xdr:to>
    <xdr:cxnSp macro="">
      <xdr:nvCxnSpPr>
        <xdr:cNvPr id="34" name="Curved Connector 33">
          <a:extLst>
            <a:ext uri="{FF2B5EF4-FFF2-40B4-BE49-F238E27FC236}">
              <a16:creationId xmlns:a16="http://schemas.microsoft.com/office/drawing/2014/main" id="{6A817445-22B6-4145-AB45-E6E59534356C}"/>
            </a:ext>
          </a:extLst>
        </xdr:cNvPr>
        <xdr:cNvCxnSpPr/>
      </xdr:nvCxnSpPr>
      <xdr:spPr>
        <a:xfrm>
          <a:off x="11796379" y="14833030"/>
          <a:ext cx="1120446" cy="165513"/>
        </a:xfrm>
        <a:prstGeom prst="curvedConnector3">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245533</xdr:colOff>
      <xdr:row>166</xdr:row>
      <xdr:rowOff>118533</xdr:rowOff>
    </xdr:from>
    <xdr:to>
      <xdr:col>11</xdr:col>
      <xdr:colOff>440266</xdr:colOff>
      <xdr:row>168</xdr:row>
      <xdr:rowOff>124036</xdr:rowOff>
    </xdr:to>
    <xdr:cxnSp macro="">
      <xdr:nvCxnSpPr>
        <xdr:cNvPr id="35" name="Curved Connector 34">
          <a:extLst>
            <a:ext uri="{FF2B5EF4-FFF2-40B4-BE49-F238E27FC236}">
              <a16:creationId xmlns:a16="http://schemas.microsoft.com/office/drawing/2014/main" id="{2E33AC78-D69E-9B4D-B73D-BA9B12089F6E}"/>
            </a:ext>
          </a:extLst>
        </xdr:cNvPr>
        <xdr:cNvCxnSpPr>
          <a:endCxn id="33" idx="1"/>
        </xdr:cNvCxnSpPr>
      </xdr:nvCxnSpPr>
      <xdr:spPr>
        <a:xfrm rot="16200000" flipH="1">
          <a:off x="13281448" y="42581618"/>
          <a:ext cx="513503" cy="194733"/>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8</xdr:col>
      <xdr:colOff>35473</xdr:colOff>
      <xdr:row>164</xdr:row>
      <xdr:rowOff>144956</xdr:rowOff>
    </xdr:from>
    <xdr:ext cx="1272015" cy="578235"/>
    <mc:AlternateContent xmlns:mc="http://schemas.openxmlformats.org/markup-compatibility/2006" xmlns:a14="http://schemas.microsoft.com/office/drawing/2010/main">
      <mc:Choice Requires="a14">
        <xdr:sp macro="" textlink="">
          <xdr:nvSpPr>
            <xdr:cNvPr id="36" name="TextBox 35">
              <a:extLst>
                <a:ext uri="{FF2B5EF4-FFF2-40B4-BE49-F238E27FC236}">
                  <a16:creationId xmlns:a16="http://schemas.microsoft.com/office/drawing/2014/main" id="{DC41261B-CD7C-0C49-AA41-C10FC7D14114}"/>
                </a:ext>
              </a:extLst>
            </xdr:cNvPr>
            <xdr:cNvSpPr txBox="1"/>
          </xdr:nvSpPr>
          <xdr:spPr>
            <a:xfrm>
              <a:off x="10195473" y="41953356"/>
              <a:ext cx="1272015" cy="5782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2000" b="0" i="1">
                        <a:latin typeface="Cambria Math" panose="02040503050406030204" pitchFamily="18" charset="0"/>
                      </a:rPr>
                      <m:t>=</m:t>
                    </m:r>
                    <m:sSubSup>
                      <m:sSubSupPr>
                        <m:ctrlPr>
                          <a:rPr lang="it-IT" sz="2000" b="0" i="1">
                            <a:latin typeface="Cambria Math" panose="02040503050406030204" pitchFamily="18" charset="0"/>
                          </a:rPr>
                        </m:ctrlPr>
                      </m:sSubSupPr>
                      <m:e>
                        <m:r>
                          <a:rPr lang="it-IT" sz="2000" b="0" i="1">
                            <a:latin typeface="Cambria Math" panose="02040503050406030204" pitchFamily="18" charset="0"/>
                          </a:rPr>
                          <m:t>𝑔</m:t>
                        </m:r>
                      </m:e>
                      <m:sub>
                        <m:r>
                          <a:rPr lang="it-IT" sz="2000" b="0" i="1">
                            <a:latin typeface="Cambria Math" panose="02040503050406030204" pitchFamily="18" charset="0"/>
                          </a:rPr>
                          <m:t>𝑒𝑙</m:t>
                        </m:r>
                      </m:sub>
                      <m:sup>
                        <m:r>
                          <a:rPr lang="it-IT" sz="2000" b="0" i="1">
                            <a:latin typeface="Cambria Math" panose="02040503050406030204" pitchFamily="18" charset="0"/>
                          </a:rPr>
                          <m:t>0</m:t>
                        </m:r>
                      </m:sup>
                    </m:sSubSup>
                    <m:sSup>
                      <m:sSupPr>
                        <m:ctrlPr>
                          <a:rPr lang="it-IT" sz="2000" b="0" i="1">
                            <a:latin typeface="Cambria Math" panose="02040503050406030204" pitchFamily="18" charset="0"/>
                          </a:rPr>
                        </m:ctrlPr>
                      </m:sSupPr>
                      <m:e>
                        <m:r>
                          <a:rPr lang="it-IT" sz="2000" b="0" i="1">
                            <a:latin typeface="Cambria Math" panose="02040503050406030204" pitchFamily="18" charset="0"/>
                          </a:rPr>
                          <m:t>𝑒</m:t>
                        </m:r>
                      </m:e>
                      <m:sup>
                        <m:r>
                          <a:rPr lang="it-IT" sz="2000" b="0" i="1">
                            <a:latin typeface="Cambria Math" panose="02040503050406030204" pitchFamily="18" charset="0"/>
                          </a:rPr>
                          <m:t>−</m:t>
                        </m:r>
                        <m:f>
                          <m:fPr>
                            <m:ctrlPr>
                              <a:rPr lang="it-IT" sz="2000" b="0" i="1">
                                <a:latin typeface="Cambria Math" panose="02040503050406030204" pitchFamily="18" charset="0"/>
                              </a:rPr>
                            </m:ctrlPr>
                          </m:fPr>
                          <m:num>
                            <m:sSubSup>
                              <m:sSubSupPr>
                                <m:ctrlPr>
                                  <a:rPr lang="it-IT" sz="2000" b="0" i="1">
                                    <a:latin typeface="Cambria Math" panose="02040503050406030204" pitchFamily="18" charset="0"/>
                                  </a:rPr>
                                </m:ctrlPr>
                              </m:sSubSupPr>
                              <m:e>
                                <m:r>
                                  <a:rPr lang="it-IT" sz="2000" b="0" i="1">
                                    <a:latin typeface="Cambria Math" panose="02040503050406030204" pitchFamily="18" charset="0"/>
                                  </a:rPr>
                                  <m:t>𝐸</m:t>
                                </m:r>
                              </m:e>
                              <m:sub>
                                <m:r>
                                  <a:rPr lang="it-IT" sz="2000" b="0" i="1">
                                    <a:latin typeface="Cambria Math" panose="02040503050406030204" pitchFamily="18" charset="0"/>
                                  </a:rPr>
                                  <m:t>𝑒𝑙</m:t>
                                </m:r>
                              </m:sub>
                              <m:sup>
                                <m:r>
                                  <a:rPr lang="it-IT" sz="2000" b="0" i="1">
                                    <a:latin typeface="Cambria Math" panose="02040503050406030204" pitchFamily="18" charset="0"/>
                                  </a:rPr>
                                  <m:t>0</m:t>
                                </m:r>
                              </m:sup>
                            </m:sSubSup>
                          </m:num>
                          <m:den>
                            <m:sSub>
                              <m:sSubPr>
                                <m:ctrlPr>
                                  <a:rPr lang="it-IT" sz="2000" b="0" i="1">
                                    <a:latin typeface="Cambria Math" panose="02040503050406030204" pitchFamily="18" charset="0"/>
                                  </a:rPr>
                                </m:ctrlPr>
                              </m:sSubPr>
                              <m:e>
                                <m:r>
                                  <a:rPr lang="it-IT" sz="2000" b="0" i="1">
                                    <a:latin typeface="Cambria Math" panose="02040503050406030204" pitchFamily="18" charset="0"/>
                                  </a:rPr>
                                  <m:t>𝑘</m:t>
                                </m:r>
                              </m:e>
                              <m:sub>
                                <m:r>
                                  <a:rPr lang="it-IT" sz="2000" b="0" i="1">
                                    <a:latin typeface="Cambria Math" panose="02040503050406030204" pitchFamily="18" charset="0"/>
                                  </a:rPr>
                                  <m:t>𝑏</m:t>
                                </m:r>
                              </m:sub>
                            </m:sSub>
                            <m:r>
                              <a:rPr lang="it-IT" sz="2000" b="0" i="1">
                                <a:latin typeface="Cambria Math" panose="02040503050406030204" pitchFamily="18" charset="0"/>
                              </a:rPr>
                              <m:t>𝑇</m:t>
                            </m:r>
                          </m:den>
                        </m:f>
                      </m:sup>
                    </m:sSup>
                  </m:oMath>
                </m:oMathPara>
              </a14:m>
              <a:endParaRPr lang="en-US" sz="2000"/>
            </a:p>
          </xdr:txBody>
        </xdr:sp>
      </mc:Choice>
      <mc:Fallback xmlns="">
        <xdr:sp macro="" textlink="">
          <xdr:nvSpPr>
            <xdr:cNvPr id="36" name="TextBox 35">
              <a:extLst>
                <a:ext uri="{FF2B5EF4-FFF2-40B4-BE49-F238E27FC236}">
                  <a16:creationId xmlns:a16="http://schemas.microsoft.com/office/drawing/2014/main" id="{DC41261B-CD7C-0C49-AA41-C10FC7D14114}"/>
                </a:ext>
              </a:extLst>
            </xdr:cNvPr>
            <xdr:cNvSpPr txBox="1"/>
          </xdr:nvSpPr>
          <xdr:spPr>
            <a:xfrm>
              <a:off x="10195473" y="41953356"/>
              <a:ext cx="1272015" cy="5782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2000" b="0" i="0">
                  <a:latin typeface="Cambria Math" panose="02040503050406030204" pitchFamily="18" charset="0"/>
                </a:rPr>
                <a:t>=𝑔_𝑒𝑙^0 𝑒^(−(𝐸_𝑒𝑙^0)/(𝑘_𝑏 𝑇))</a:t>
              </a:r>
              <a:endParaRPr lang="en-US" sz="2000"/>
            </a:p>
          </xdr:txBody>
        </xdr:sp>
      </mc:Fallback>
    </mc:AlternateContent>
    <xdr:clientData/>
  </xdr:oneCellAnchor>
  <xdr:twoCellAnchor>
    <xdr:from>
      <xdr:col>7</xdr:col>
      <xdr:colOff>592666</xdr:colOff>
      <xdr:row>179</xdr:row>
      <xdr:rowOff>25400</xdr:rowOff>
    </xdr:from>
    <xdr:to>
      <xdr:col>12</xdr:col>
      <xdr:colOff>762000</xdr:colOff>
      <xdr:row>191</xdr:row>
      <xdr:rowOff>67734</xdr:rowOff>
    </xdr:to>
    <xdr:graphicFrame macro="">
      <xdr:nvGraphicFramePr>
        <xdr:cNvPr id="37" name="Chart 36">
          <a:extLst>
            <a:ext uri="{FF2B5EF4-FFF2-40B4-BE49-F238E27FC236}">
              <a16:creationId xmlns:a16="http://schemas.microsoft.com/office/drawing/2014/main" id="{5A200031-E1A8-B849-849E-E1FC9F21CB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452528</xdr:colOff>
      <xdr:row>198</xdr:row>
      <xdr:rowOff>131380</xdr:rowOff>
    </xdr:from>
    <xdr:to>
      <xdr:col>6</xdr:col>
      <xdr:colOff>613104</xdr:colOff>
      <xdr:row>198</xdr:row>
      <xdr:rowOff>145977</xdr:rowOff>
    </xdr:to>
    <xdr:cxnSp macro="">
      <xdr:nvCxnSpPr>
        <xdr:cNvPr id="38" name="Straight Arrow Connector 37">
          <a:extLst>
            <a:ext uri="{FF2B5EF4-FFF2-40B4-BE49-F238E27FC236}">
              <a16:creationId xmlns:a16="http://schemas.microsoft.com/office/drawing/2014/main" id="{152BF879-5403-4B45-AE6F-2824E5DE55B9}"/>
            </a:ext>
          </a:extLst>
        </xdr:cNvPr>
        <xdr:cNvCxnSpPr/>
      </xdr:nvCxnSpPr>
      <xdr:spPr>
        <a:xfrm>
          <a:off x="6002428" y="502455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6</xdr:col>
      <xdr:colOff>646187</xdr:colOff>
      <xdr:row>200</xdr:row>
      <xdr:rowOff>189278</xdr:rowOff>
    </xdr:from>
    <xdr:ext cx="282578" cy="411278"/>
    <mc:AlternateContent xmlns:mc="http://schemas.openxmlformats.org/markup-compatibility/2006" xmlns:a14="http://schemas.microsoft.com/office/drawing/2010/main">
      <mc:Choice Requires="a14">
        <xdr:sp macro="" textlink="">
          <xdr:nvSpPr>
            <xdr:cNvPr id="39" name="TextBox 38">
              <a:extLst>
                <a:ext uri="{FF2B5EF4-FFF2-40B4-BE49-F238E27FC236}">
                  <a16:creationId xmlns:a16="http://schemas.microsoft.com/office/drawing/2014/main" id="{E2DEAFD7-BD4E-D548-BC2B-043491E61F0C}"/>
                </a:ext>
              </a:extLst>
            </xdr:cNvPr>
            <xdr:cNvSpPr txBox="1"/>
          </xdr:nvSpPr>
          <xdr:spPr>
            <a:xfrm>
              <a:off x="8659887" y="50862278"/>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en-US" sz="1400" i="1">
                            <a:latin typeface="Cambria Math" panose="02040503050406030204" pitchFamily="18" charset="0"/>
                          </a:rPr>
                        </m:ctrlPr>
                      </m:fPr>
                      <m:num>
                        <m:r>
                          <a:rPr lang="it-IT" sz="1400" b="0" i="1">
                            <a:latin typeface="Cambria Math" panose="02040503050406030204" pitchFamily="18" charset="0"/>
                          </a:rPr>
                          <m:t>3</m:t>
                        </m:r>
                      </m:num>
                      <m:den>
                        <m:r>
                          <a:rPr lang="it-IT" sz="1400" b="0" i="1">
                            <a:latin typeface="Cambria Math" panose="02040503050406030204" pitchFamily="18" charset="0"/>
                          </a:rPr>
                          <m:t>2</m:t>
                        </m:r>
                      </m:den>
                    </m:f>
                    <m:r>
                      <a:rPr lang="it-IT" sz="1400" b="0" i="1">
                        <a:latin typeface="Cambria Math" panose="02040503050406030204" pitchFamily="18" charset="0"/>
                      </a:rPr>
                      <m:t>𝑅</m:t>
                    </m:r>
                  </m:oMath>
                </m:oMathPara>
              </a14:m>
              <a:endParaRPr lang="en-US" sz="1400"/>
            </a:p>
          </xdr:txBody>
        </xdr:sp>
      </mc:Choice>
      <mc:Fallback xmlns="">
        <xdr:sp macro="" textlink="">
          <xdr:nvSpPr>
            <xdr:cNvPr id="39" name="TextBox 38">
              <a:extLst>
                <a:ext uri="{FF2B5EF4-FFF2-40B4-BE49-F238E27FC236}">
                  <a16:creationId xmlns:a16="http://schemas.microsoft.com/office/drawing/2014/main" id="{E2DEAFD7-BD4E-D548-BC2B-043491E61F0C}"/>
                </a:ext>
              </a:extLst>
            </xdr:cNvPr>
            <xdr:cNvSpPr txBox="1"/>
          </xdr:nvSpPr>
          <xdr:spPr>
            <a:xfrm>
              <a:off x="8659887" y="50862278"/>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3</a:t>
              </a:r>
              <a:r>
                <a:rPr lang="en-US" sz="1400" b="0" i="0">
                  <a:latin typeface="Cambria Math" panose="02040503050406030204" pitchFamily="18" charset="0"/>
                </a:rPr>
                <a:t>/</a:t>
              </a:r>
              <a:r>
                <a:rPr lang="it-IT" sz="1400" b="0" i="0">
                  <a:latin typeface="Cambria Math" panose="02040503050406030204" pitchFamily="18" charset="0"/>
                </a:rPr>
                <a:t>2 𝑅</a:t>
              </a:r>
              <a:endParaRPr lang="en-US" sz="1400"/>
            </a:p>
          </xdr:txBody>
        </xdr:sp>
      </mc:Fallback>
    </mc:AlternateContent>
    <xdr:clientData/>
  </xdr:oneCellAnchor>
  <xdr:oneCellAnchor>
    <xdr:from>
      <xdr:col>6</xdr:col>
      <xdr:colOff>1173237</xdr:colOff>
      <xdr:row>203</xdr:row>
      <xdr:rowOff>26280</xdr:rowOff>
    </xdr:from>
    <xdr:ext cx="1932324" cy="755976"/>
    <mc:AlternateContent xmlns:mc="http://schemas.openxmlformats.org/markup-compatibility/2006" xmlns:a14="http://schemas.microsoft.com/office/drawing/2010/main">
      <mc:Choice Requires="a14">
        <xdr:sp macro="" textlink="">
          <xdr:nvSpPr>
            <xdr:cNvPr id="40" name="TextBox 39">
              <a:extLst>
                <a:ext uri="{FF2B5EF4-FFF2-40B4-BE49-F238E27FC236}">
                  <a16:creationId xmlns:a16="http://schemas.microsoft.com/office/drawing/2014/main" id="{90338210-7DD0-884E-A25C-17F16F5036EA}"/>
                </a:ext>
              </a:extLst>
            </xdr:cNvPr>
            <xdr:cNvSpPr txBox="1"/>
          </xdr:nvSpPr>
          <xdr:spPr>
            <a:xfrm>
              <a:off x="9186937" y="51372380"/>
              <a:ext cx="1932324" cy="7559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nary>
                      <m:naryPr>
                        <m:chr m:val="∑"/>
                        <m:supHide m:val="on"/>
                        <m:ctrlPr>
                          <a:rPr lang="it-IT" sz="1400" b="0" i="1">
                            <a:latin typeface="Cambria Math" panose="02040503050406030204" pitchFamily="18" charset="0"/>
                          </a:rPr>
                        </m:ctrlPr>
                      </m:naryPr>
                      <m:sub>
                        <m:r>
                          <m:rPr>
                            <m:brk m:alnAt="7"/>
                          </m:rPr>
                          <a:rPr lang="it-IT" sz="1400" b="0" i="1">
                            <a:latin typeface="Cambria Math" panose="02040503050406030204" pitchFamily="18" charset="0"/>
                          </a:rPr>
                          <m:t>𝑖</m:t>
                        </m:r>
                      </m:sub>
                      <m:sup/>
                      <m:e>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sSubSup>
                                  <m:sSubSupPr>
                                    <m:ctrlPr>
                                      <a:rPr lang="it-IT" sz="1400" b="0" i="1">
                                        <a:latin typeface="Cambria Math" panose="02040503050406030204" pitchFamily="18" charset="0"/>
                                      </a:rPr>
                                    </m:ctrlPr>
                                  </m:sSubSup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up>
                                    <m:r>
                                      <a:rPr lang="it-IT" sz="1400" b="0" i="1">
                                        <a:latin typeface="Cambria Math" panose="02040503050406030204" pitchFamily="18" charset="0"/>
                                      </a:rPr>
                                      <m:t>2</m:t>
                                    </m:r>
                                  </m:sup>
                                </m:sSubSup>
                                <m:sSup>
                                  <m:sSupPr>
                                    <m:ctrlPr>
                                      <a:rPr lang="it-IT" sz="1400" b="0" i="1">
                                        <a:latin typeface="Cambria Math" panose="02040503050406030204" pitchFamily="18" charset="0"/>
                                      </a:rPr>
                                    </m:ctrlPr>
                                  </m:sSupPr>
                                  <m:e>
                                    <m:r>
                                      <a:rPr lang="it-IT" sz="1400" b="0" i="1">
                                        <a:latin typeface="Cambria Math" panose="02040503050406030204" pitchFamily="18" charset="0"/>
                                      </a:rPr>
                                      <m:t> </m:t>
                                    </m:r>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num>
                              <m:den>
                                <m:sSup>
                                  <m:sSupPr>
                                    <m:ctrlPr>
                                      <a:rPr lang="it-IT" sz="1400" b="0" i="1">
                                        <a:latin typeface="Cambria Math" panose="02040503050406030204" pitchFamily="18" charset="0"/>
                                      </a:rPr>
                                    </m:ctrlPr>
                                  </m:sSupPr>
                                  <m:e>
                                    <m:r>
                                      <a:rPr lang="it-IT" sz="1400" b="0" i="1">
                                        <a:latin typeface="Cambria Math" panose="02040503050406030204" pitchFamily="18" charset="0"/>
                                      </a:rPr>
                                      <m:t>𝑇</m:t>
                                    </m:r>
                                  </m:e>
                                  <m:sup>
                                    <m:r>
                                      <a:rPr lang="it-IT" sz="1400" b="0" i="1">
                                        <a:latin typeface="Cambria Math" panose="02040503050406030204" pitchFamily="18" charset="0"/>
                                      </a:rPr>
                                      <m:t>2</m:t>
                                    </m:r>
                                  </m:sup>
                                </m:sSup>
                                <m:sSup>
                                  <m:sSupPr>
                                    <m:ctrlPr>
                                      <a:rPr lang="it-IT" sz="1400" b="0" i="1">
                                        <a:latin typeface="Cambria Math" panose="02040503050406030204" pitchFamily="18" charset="0"/>
                                      </a:rPr>
                                    </m:ctrlPr>
                                  </m:sSupPr>
                                  <m:e>
                                    <m:d>
                                      <m:dPr>
                                        <m:ctrlPr>
                                          <a:rPr lang="it-IT" sz="1400" b="0" i="1">
                                            <a:latin typeface="Cambria Math" panose="02040503050406030204" pitchFamily="18" charset="0"/>
                                          </a:rPr>
                                        </m:ctrlPr>
                                      </m:dPr>
                                      <m:e>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r>
                                          <a:rPr lang="it-IT" sz="1400" b="0" i="1">
                                            <a:latin typeface="Cambria Math" panose="02040503050406030204" pitchFamily="18" charset="0"/>
                                          </a:rPr>
                                          <m:t>−1</m:t>
                                        </m:r>
                                      </m:e>
                                    </m:d>
                                  </m:e>
                                  <m:sup>
                                    <m:r>
                                      <a:rPr lang="it-IT" sz="1400" b="0" i="1">
                                        <a:latin typeface="Cambria Math" panose="02040503050406030204" pitchFamily="18" charset="0"/>
                                      </a:rPr>
                                      <m:t>2</m:t>
                                    </m:r>
                                  </m:sup>
                                </m:sSup>
                              </m:den>
                            </m:f>
                          </m:e>
                        </m:d>
                      </m:e>
                    </m:nary>
                  </m:oMath>
                </m:oMathPara>
              </a14:m>
              <a:endParaRPr lang="en-US" sz="1400"/>
            </a:p>
          </xdr:txBody>
        </xdr:sp>
      </mc:Choice>
      <mc:Fallback xmlns="">
        <xdr:sp macro="" textlink="">
          <xdr:nvSpPr>
            <xdr:cNvPr id="40" name="TextBox 39">
              <a:extLst>
                <a:ext uri="{FF2B5EF4-FFF2-40B4-BE49-F238E27FC236}">
                  <a16:creationId xmlns:a16="http://schemas.microsoft.com/office/drawing/2014/main" id="{90338210-7DD0-884E-A25C-17F16F5036EA}"/>
                </a:ext>
              </a:extLst>
            </xdr:cNvPr>
            <xdr:cNvSpPr txBox="1"/>
          </xdr:nvSpPr>
          <xdr:spPr>
            <a:xfrm>
              <a:off x="9186937" y="51372380"/>
              <a:ext cx="1932324" cy="7559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0" i="0">
                  <a:latin typeface="Cambria Math" panose="02040503050406030204" pitchFamily="18" charset="0"/>
                </a:rPr>
                <a:t>𝑅∑_𝑖▒((</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𝑣𝑖𝑏,𝑖)^2 〖 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𝑣𝑖𝑏,𝑖)/𝑇))/(𝑇^2 (𝑒^(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𝑣𝑖𝑏,𝑖)/𝑇)−1)^2 )) </a:t>
              </a:r>
              <a:endParaRPr lang="en-US" sz="1400"/>
            </a:p>
          </xdr:txBody>
        </xdr:sp>
      </mc:Fallback>
    </mc:AlternateContent>
    <xdr:clientData/>
  </xdr:oneCellAnchor>
  <xdr:oneCellAnchor>
    <xdr:from>
      <xdr:col>10</xdr:col>
      <xdr:colOff>65896</xdr:colOff>
      <xdr:row>202</xdr:row>
      <xdr:rowOff>195140</xdr:rowOff>
    </xdr:from>
    <xdr:ext cx="282578" cy="411278"/>
    <mc:AlternateContent xmlns:mc="http://schemas.openxmlformats.org/markup-compatibility/2006" xmlns:a14="http://schemas.microsoft.com/office/drawing/2010/main">
      <mc:Choice Requires="a14">
        <xdr:sp macro="" textlink="">
          <xdr:nvSpPr>
            <xdr:cNvPr id="41" name="TextBox 40">
              <a:extLst>
                <a:ext uri="{FF2B5EF4-FFF2-40B4-BE49-F238E27FC236}">
                  <a16:creationId xmlns:a16="http://schemas.microsoft.com/office/drawing/2014/main" id="{E22E6F4B-3DC3-A34A-AE6D-57709C746311}"/>
                </a:ext>
              </a:extLst>
            </xdr:cNvPr>
            <xdr:cNvSpPr txBox="1"/>
          </xdr:nvSpPr>
          <xdr:spPr>
            <a:xfrm>
              <a:off x="12168996" y="51287240"/>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en-US" sz="1400" i="1">
                            <a:latin typeface="Cambria Math" panose="02040503050406030204" pitchFamily="18" charset="0"/>
                          </a:rPr>
                        </m:ctrlPr>
                      </m:fPr>
                      <m:num>
                        <m:r>
                          <a:rPr lang="it-IT" sz="1400" b="0" i="1">
                            <a:latin typeface="Cambria Math" panose="02040503050406030204" pitchFamily="18" charset="0"/>
                          </a:rPr>
                          <m:t>3</m:t>
                        </m:r>
                      </m:num>
                      <m:den>
                        <m:r>
                          <a:rPr lang="it-IT" sz="1400" b="0" i="1">
                            <a:latin typeface="Cambria Math" panose="02040503050406030204" pitchFamily="18" charset="0"/>
                          </a:rPr>
                          <m:t>2</m:t>
                        </m:r>
                      </m:den>
                    </m:f>
                    <m:r>
                      <a:rPr lang="it-IT" sz="1400" b="0" i="1">
                        <a:latin typeface="Cambria Math" panose="02040503050406030204" pitchFamily="18" charset="0"/>
                      </a:rPr>
                      <m:t>𝑅</m:t>
                    </m:r>
                  </m:oMath>
                </m:oMathPara>
              </a14:m>
              <a:endParaRPr lang="en-US" sz="1400"/>
            </a:p>
          </xdr:txBody>
        </xdr:sp>
      </mc:Choice>
      <mc:Fallback xmlns="">
        <xdr:sp macro="" textlink="">
          <xdr:nvSpPr>
            <xdr:cNvPr id="41" name="TextBox 40">
              <a:extLst>
                <a:ext uri="{FF2B5EF4-FFF2-40B4-BE49-F238E27FC236}">
                  <a16:creationId xmlns:a16="http://schemas.microsoft.com/office/drawing/2014/main" id="{E22E6F4B-3DC3-A34A-AE6D-57709C746311}"/>
                </a:ext>
              </a:extLst>
            </xdr:cNvPr>
            <xdr:cNvSpPr txBox="1"/>
          </xdr:nvSpPr>
          <xdr:spPr>
            <a:xfrm>
              <a:off x="12168996" y="51287240"/>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3</a:t>
              </a:r>
              <a:r>
                <a:rPr lang="en-US" sz="1400" b="0" i="0">
                  <a:latin typeface="Cambria Math" panose="02040503050406030204" pitchFamily="18" charset="0"/>
                </a:rPr>
                <a:t>/</a:t>
              </a:r>
              <a:r>
                <a:rPr lang="it-IT" sz="1400" b="0" i="0">
                  <a:latin typeface="Cambria Math" panose="02040503050406030204" pitchFamily="18" charset="0"/>
                </a:rPr>
                <a:t>2 𝑅</a:t>
              </a:r>
              <a:endParaRPr lang="en-US" sz="1400"/>
            </a:p>
          </xdr:txBody>
        </xdr:sp>
      </mc:Fallback>
    </mc:AlternateContent>
    <xdr:clientData/>
  </xdr:oneCellAnchor>
  <xdr:oneCellAnchor>
    <xdr:from>
      <xdr:col>11</xdr:col>
      <xdr:colOff>218296</xdr:colOff>
      <xdr:row>200</xdr:row>
      <xdr:rowOff>146049</xdr:rowOff>
    </xdr:from>
    <xdr:ext cx="282578" cy="411278"/>
    <xdr:sp macro="" textlink="">
      <xdr:nvSpPr>
        <xdr:cNvPr id="42" name="TextBox 41">
          <a:extLst>
            <a:ext uri="{FF2B5EF4-FFF2-40B4-BE49-F238E27FC236}">
              <a16:creationId xmlns:a16="http://schemas.microsoft.com/office/drawing/2014/main" id="{4F435B4D-3A69-974E-8740-5FF53203E789}"/>
            </a:ext>
          </a:extLst>
        </xdr:cNvPr>
        <xdr:cNvSpPr txBox="1"/>
      </xdr:nvSpPr>
      <xdr:spPr>
        <a:xfrm>
          <a:off x="13413596" y="50819049"/>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en-US" sz="1400"/>
            <a:t>0</a:t>
          </a:r>
        </a:p>
      </xdr:txBody>
    </xdr:sp>
    <xdr:clientData/>
  </xdr:oneCellAnchor>
  <xdr:twoCellAnchor>
    <xdr:from>
      <xdr:col>6</xdr:col>
      <xdr:colOff>1025769</xdr:colOff>
      <xdr:row>199</xdr:row>
      <xdr:rowOff>61058</xdr:rowOff>
    </xdr:from>
    <xdr:to>
      <xdr:col>7</xdr:col>
      <xdr:colOff>378558</xdr:colOff>
      <xdr:row>201</xdr:row>
      <xdr:rowOff>67164</xdr:rowOff>
    </xdr:to>
    <xdr:cxnSp macro="">
      <xdr:nvCxnSpPr>
        <xdr:cNvPr id="43" name="Straight Arrow Connector 42">
          <a:extLst>
            <a:ext uri="{FF2B5EF4-FFF2-40B4-BE49-F238E27FC236}">
              <a16:creationId xmlns:a16="http://schemas.microsoft.com/office/drawing/2014/main" id="{09CC9F28-FD89-6A42-A814-40FCF0648B6B}"/>
            </a:ext>
          </a:extLst>
        </xdr:cNvPr>
        <xdr:cNvCxnSpPr/>
      </xdr:nvCxnSpPr>
      <xdr:spPr>
        <a:xfrm flipH="1">
          <a:off x="9039469" y="50530858"/>
          <a:ext cx="635489" cy="412506"/>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177800</xdr:colOff>
      <xdr:row>199</xdr:row>
      <xdr:rowOff>42496</xdr:rowOff>
    </xdr:from>
    <xdr:to>
      <xdr:col>8</xdr:col>
      <xdr:colOff>390525</xdr:colOff>
      <xdr:row>202</xdr:row>
      <xdr:rowOff>152400</xdr:rowOff>
    </xdr:to>
    <xdr:cxnSp macro="">
      <xdr:nvCxnSpPr>
        <xdr:cNvPr id="44" name="Straight Arrow Connector 43">
          <a:extLst>
            <a:ext uri="{FF2B5EF4-FFF2-40B4-BE49-F238E27FC236}">
              <a16:creationId xmlns:a16="http://schemas.microsoft.com/office/drawing/2014/main" id="{2C55C395-0BE1-9C48-B218-187643412C11}"/>
            </a:ext>
          </a:extLst>
        </xdr:cNvPr>
        <xdr:cNvCxnSpPr/>
      </xdr:nvCxnSpPr>
      <xdr:spPr>
        <a:xfrm flipH="1">
          <a:off x="10337800" y="50512296"/>
          <a:ext cx="212725" cy="732204"/>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427403</xdr:colOff>
      <xdr:row>199</xdr:row>
      <xdr:rowOff>48846</xdr:rowOff>
    </xdr:from>
    <xdr:to>
      <xdr:col>9</xdr:col>
      <xdr:colOff>854807</xdr:colOff>
      <xdr:row>203</xdr:row>
      <xdr:rowOff>42740</xdr:rowOff>
    </xdr:to>
    <xdr:cxnSp macro="">
      <xdr:nvCxnSpPr>
        <xdr:cNvPr id="45" name="Straight Arrow Connector 44">
          <a:extLst>
            <a:ext uri="{FF2B5EF4-FFF2-40B4-BE49-F238E27FC236}">
              <a16:creationId xmlns:a16="http://schemas.microsoft.com/office/drawing/2014/main" id="{798C5796-0EAE-1642-909E-F76EB66987C9}"/>
            </a:ext>
          </a:extLst>
        </xdr:cNvPr>
        <xdr:cNvCxnSpPr/>
      </xdr:nvCxnSpPr>
      <xdr:spPr>
        <a:xfrm>
          <a:off x="11412903" y="50518646"/>
          <a:ext cx="427404" cy="870194"/>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500674</xdr:colOff>
      <xdr:row>199</xdr:row>
      <xdr:rowOff>42741</xdr:rowOff>
    </xdr:from>
    <xdr:to>
      <xdr:col>11</xdr:col>
      <xdr:colOff>116010</xdr:colOff>
      <xdr:row>200</xdr:row>
      <xdr:rowOff>195384</xdr:rowOff>
    </xdr:to>
    <xdr:cxnSp macro="">
      <xdr:nvCxnSpPr>
        <xdr:cNvPr id="46" name="Straight Arrow Connector 45">
          <a:extLst>
            <a:ext uri="{FF2B5EF4-FFF2-40B4-BE49-F238E27FC236}">
              <a16:creationId xmlns:a16="http://schemas.microsoft.com/office/drawing/2014/main" id="{E34175BA-852D-DA4C-80CE-78E48BFE8768}"/>
            </a:ext>
          </a:extLst>
        </xdr:cNvPr>
        <xdr:cNvCxnSpPr/>
      </xdr:nvCxnSpPr>
      <xdr:spPr>
        <a:xfrm>
          <a:off x="12603774" y="50512541"/>
          <a:ext cx="707536" cy="355843"/>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11</xdr:col>
      <xdr:colOff>772161</xdr:colOff>
      <xdr:row>198</xdr:row>
      <xdr:rowOff>233681</xdr:rowOff>
    </xdr:from>
    <xdr:to>
      <xdr:col>14</xdr:col>
      <xdr:colOff>650241</xdr:colOff>
      <xdr:row>201</xdr:row>
      <xdr:rowOff>162561</xdr:rowOff>
    </xdr:to>
    <xdr:sp macro="" textlink="">
      <xdr:nvSpPr>
        <xdr:cNvPr id="47" name="Rectangle 46">
          <a:extLst>
            <a:ext uri="{FF2B5EF4-FFF2-40B4-BE49-F238E27FC236}">
              <a16:creationId xmlns:a16="http://schemas.microsoft.com/office/drawing/2014/main" id="{35BABDD4-C79D-6C40-807F-75D0A9FC25A2}"/>
            </a:ext>
          </a:extLst>
        </xdr:cNvPr>
        <xdr:cNvSpPr/>
      </xdr:nvSpPr>
      <xdr:spPr>
        <a:xfrm>
          <a:off x="13967461" y="50347881"/>
          <a:ext cx="3192780" cy="69088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No</a:t>
          </a:r>
          <a:r>
            <a:rPr lang="en-US" sz="1100" b="1" baseline="0"/>
            <a:t> contribution from the electronic motion, due to the lack of T dependence in the partition function</a:t>
          </a:r>
          <a:endParaRPr lang="en-US" sz="1100" b="1"/>
        </a:p>
      </xdr:txBody>
    </xdr:sp>
    <xdr:clientData/>
  </xdr:twoCellAnchor>
  <xdr:twoCellAnchor>
    <xdr:from>
      <xdr:col>9</xdr:col>
      <xdr:colOff>425450</xdr:colOff>
      <xdr:row>219</xdr:row>
      <xdr:rowOff>88900</xdr:rowOff>
    </xdr:from>
    <xdr:to>
      <xdr:col>14</xdr:col>
      <xdr:colOff>863600</xdr:colOff>
      <xdr:row>232</xdr:row>
      <xdr:rowOff>25400</xdr:rowOff>
    </xdr:to>
    <xdr:graphicFrame macro="">
      <xdr:nvGraphicFramePr>
        <xdr:cNvPr id="48" name="Chart 47">
          <a:extLst>
            <a:ext uri="{FF2B5EF4-FFF2-40B4-BE49-F238E27FC236}">
              <a16:creationId xmlns:a16="http://schemas.microsoft.com/office/drawing/2014/main" id="{D7F87812-D4E0-9A4C-A63A-0955FF2F82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452528</xdr:colOff>
      <xdr:row>239</xdr:row>
      <xdr:rowOff>131380</xdr:rowOff>
    </xdr:from>
    <xdr:to>
      <xdr:col>6</xdr:col>
      <xdr:colOff>613104</xdr:colOff>
      <xdr:row>239</xdr:row>
      <xdr:rowOff>145977</xdr:rowOff>
    </xdr:to>
    <xdr:cxnSp macro="">
      <xdr:nvCxnSpPr>
        <xdr:cNvPr id="49" name="Straight Arrow Connector 48">
          <a:extLst>
            <a:ext uri="{FF2B5EF4-FFF2-40B4-BE49-F238E27FC236}">
              <a16:creationId xmlns:a16="http://schemas.microsoft.com/office/drawing/2014/main" id="{8D28475F-1892-8347-92D3-7E35EAB666DA}"/>
            </a:ext>
          </a:extLst>
        </xdr:cNvPr>
        <xdr:cNvCxnSpPr/>
      </xdr:nvCxnSpPr>
      <xdr:spPr>
        <a:xfrm>
          <a:off x="6002428" y="603674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5</xdr:col>
      <xdr:colOff>1067016</xdr:colOff>
      <xdr:row>242</xdr:row>
      <xdr:rowOff>105207</xdr:rowOff>
    </xdr:from>
    <xdr:ext cx="1450440" cy="683845"/>
    <mc:AlternateContent xmlns:mc="http://schemas.openxmlformats.org/markup-compatibility/2006" xmlns:a14="http://schemas.microsoft.com/office/drawing/2010/main">
      <mc:Choice Requires="a14">
        <xdr:sp macro="" textlink="">
          <xdr:nvSpPr>
            <xdr:cNvPr id="50" name="TextBox 49">
              <a:extLst>
                <a:ext uri="{FF2B5EF4-FFF2-40B4-BE49-F238E27FC236}">
                  <a16:creationId xmlns:a16="http://schemas.microsoft.com/office/drawing/2014/main" id="{09DAFC0E-5C9E-0E44-AB24-A627968EA13E}"/>
                </a:ext>
              </a:extLst>
            </xdr:cNvPr>
            <xdr:cNvSpPr txBox="1"/>
          </xdr:nvSpPr>
          <xdr:spPr>
            <a:xfrm>
              <a:off x="7988516" y="61103307"/>
              <a:ext cx="1450440" cy="683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r>
                      <a:rPr lang="it-IT" sz="1400" b="0" i="1">
                        <a:latin typeface="Cambria Math" panose="02040503050406030204" pitchFamily="18" charset="0"/>
                      </a:rPr>
                      <m:t> </m:t>
                    </m:r>
                    <m:r>
                      <a:rPr lang="it-IT" sz="1400" b="0" i="1">
                        <a:latin typeface="Cambria Math" panose="02040503050406030204" pitchFamily="18" charset="0"/>
                      </a:rPr>
                      <m:t>𝑙𝑛</m:t>
                    </m:r>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acc>
                              <m:accPr>
                                <m:chr m:val="̃"/>
                                <m:ctrlPr>
                                  <a:rPr lang="it-IT" sz="1400" b="0" i="1">
                                    <a:latin typeface="Cambria Math" panose="02040503050406030204" pitchFamily="18" charset="0"/>
                                  </a:rPr>
                                </m:ctrlPr>
                              </m:accPr>
                              <m:e>
                                <m:r>
                                  <a:rPr lang="it-IT" sz="1400" b="0" i="1">
                                    <a:latin typeface="Cambria Math" panose="02040503050406030204" pitchFamily="18" charset="0"/>
                                  </a:rPr>
                                  <m:t>𝑉</m:t>
                                </m:r>
                              </m:e>
                            </m:acc>
                          </m:num>
                          <m:den>
                            <m:sSub>
                              <m:sSubPr>
                                <m:ctrlPr>
                                  <a:rPr lang="it-IT" sz="1400" b="0" i="1">
                                    <a:latin typeface="Cambria Math" panose="02040503050406030204" pitchFamily="18" charset="0"/>
                                  </a:rPr>
                                </m:ctrlPr>
                              </m:sSubPr>
                              <m:e>
                                <m:r>
                                  <a:rPr lang="it-IT" sz="1400" b="0" i="1">
                                    <a:latin typeface="Cambria Math" panose="02040503050406030204" pitchFamily="18" charset="0"/>
                                  </a:rPr>
                                  <m:t>𝑁</m:t>
                                </m:r>
                              </m:e>
                              <m:sub>
                                <m:r>
                                  <a:rPr lang="it-IT" sz="1400" b="0" i="1">
                                    <a:latin typeface="Cambria Math" panose="02040503050406030204" pitchFamily="18" charset="0"/>
                                  </a:rPr>
                                  <m:t>𝑎𝑣𝑜</m:t>
                                </m:r>
                              </m:sub>
                            </m:sSub>
                          </m:den>
                        </m:f>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r>
                                  <a:rPr lang="it-IT" sz="1400" b="0" i="1">
                                    <a:latin typeface="Cambria Math" panose="02040503050406030204" pitchFamily="18" charset="0"/>
                                  </a:rPr>
                                  <m:t>5</m:t>
                                </m:r>
                              </m:num>
                              <m:den>
                                <m:r>
                                  <a:rPr lang="it-IT" sz="1400" b="0" i="1">
                                    <a:latin typeface="Cambria Math" panose="02040503050406030204" pitchFamily="18" charset="0"/>
                                  </a:rPr>
                                  <m:t>2</m:t>
                                </m:r>
                              </m:den>
                            </m:f>
                          </m:sup>
                        </m:sSup>
                        <m:r>
                          <a:rPr lang="it-IT" sz="1400" b="0" i="1">
                            <a:latin typeface="Cambria Math" panose="02040503050406030204" pitchFamily="18" charset="0"/>
                          </a:rPr>
                          <m:t> </m:t>
                        </m:r>
                        <m:r>
                          <a:rPr lang="it-IT" sz="1400" b="0" i="1">
                            <a:latin typeface="Cambria Math" panose="02040503050406030204" pitchFamily="18" charset="0"/>
                          </a:rPr>
                          <m:t>𝐴</m:t>
                        </m:r>
                      </m:e>
                    </m:d>
                  </m:oMath>
                </m:oMathPara>
              </a14:m>
              <a:endParaRPr lang="en-US" sz="1400"/>
            </a:p>
          </xdr:txBody>
        </xdr:sp>
      </mc:Choice>
      <mc:Fallback xmlns="">
        <xdr:sp macro="" textlink="">
          <xdr:nvSpPr>
            <xdr:cNvPr id="50" name="TextBox 49">
              <a:extLst>
                <a:ext uri="{FF2B5EF4-FFF2-40B4-BE49-F238E27FC236}">
                  <a16:creationId xmlns:a16="http://schemas.microsoft.com/office/drawing/2014/main" id="{09DAFC0E-5C9E-0E44-AB24-A627968EA13E}"/>
                </a:ext>
              </a:extLst>
            </xdr:cNvPr>
            <xdr:cNvSpPr txBox="1"/>
          </xdr:nvSpPr>
          <xdr:spPr>
            <a:xfrm>
              <a:off x="7988516" y="61103307"/>
              <a:ext cx="1450440" cy="683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 𝑙𝑛(𝑉 ̃/𝑁_𝑎𝑣𝑜  𝑒^(5/2)  𝐴)</a:t>
              </a:r>
              <a:endParaRPr lang="en-US" sz="1400"/>
            </a:p>
          </xdr:txBody>
        </xdr:sp>
      </mc:Fallback>
    </mc:AlternateContent>
    <xdr:clientData/>
  </xdr:oneCellAnchor>
  <xdr:oneCellAnchor>
    <xdr:from>
      <xdr:col>6</xdr:col>
      <xdr:colOff>970337</xdr:colOff>
      <xdr:row>244</xdr:row>
      <xdr:rowOff>214150</xdr:rowOff>
    </xdr:from>
    <xdr:ext cx="3071931" cy="829907"/>
    <mc:AlternateContent xmlns:mc="http://schemas.openxmlformats.org/markup-compatibility/2006" xmlns:a14="http://schemas.microsoft.com/office/drawing/2010/main">
      <mc:Choice Requires="a14">
        <xdr:sp macro="" textlink="">
          <xdr:nvSpPr>
            <xdr:cNvPr id="51" name="TextBox 50">
              <a:extLst>
                <a:ext uri="{FF2B5EF4-FFF2-40B4-BE49-F238E27FC236}">
                  <a16:creationId xmlns:a16="http://schemas.microsoft.com/office/drawing/2014/main" id="{EA6D4D48-0461-154A-A093-C6BF20404404}"/>
                </a:ext>
              </a:extLst>
            </xdr:cNvPr>
            <xdr:cNvSpPr txBox="1"/>
          </xdr:nvSpPr>
          <xdr:spPr>
            <a:xfrm>
              <a:off x="8984037" y="61669450"/>
              <a:ext cx="3071931" cy="8299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nary>
                      <m:naryPr>
                        <m:chr m:val="∑"/>
                        <m:supHide m:val="on"/>
                        <m:ctrlPr>
                          <a:rPr lang="it-IT" sz="1400" b="0" i="1">
                            <a:latin typeface="Cambria Math" panose="02040503050406030204" pitchFamily="18" charset="0"/>
                          </a:rPr>
                        </m:ctrlPr>
                      </m:naryPr>
                      <m:sub>
                        <m:r>
                          <m:rPr>
                            <m:brk m:alnAt="7"/>
                          </m:rPr>
                          <a:rPr lang="it-IT" sz="1400" b="0" i="1">
                            <a:latin typeface="Cambria Math" panose="02040503050406030204" pitchFamily="18" charset="0"/>
                          </a:rPr>
                          <m:t>𝑖</m:t>
                        </m:r>
                      </m:sub>
                      <m:sup/>
                      <m:e>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num>
                              <m:den>
                                <m:d>
                                  <m:dPr>
                                    <m:ctrlPr>
                                      <a:rPr lang="it-IT" sz="1400" b="0" i="1">
                                        <a:latin typeface="Cambria Math" panose="02040503050406030204" pitchFamily="18" charset="0"/>
                                      </a:rPr>
                                    </m:ctrlPr>
                                  </m:dPr>
                                  <m:e>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r>
                                      <a:rPr lang="it-IT" sz="1400" b="0" i="1">
                                        <a:latin typeface="Cambria Math" panose="02040503050406030204" pitchFamily="18" charset="0"/>
                                      </a:rPr>
                                      <m:t>−1</m:t>
                                    </m:r>
                                  </m:e>
                                </m:d>
                              </m:den>
                            </m:f>
                            <m:r>
                              <a:rPr lang="it-IT" sz="1400" b="0" i="1">
                                <a:latin typeface="Cambria Math" panose="02040503050406030204" pitchFamily="18" charset="0"/>
                              </a:rPr>
                              <m:t>−</m:t>
                            </m:r>
                            <m:r>
                              <a:rPr lang="it-IT" sz="1400" b="0" i="1">
                                <a:latin typeface="Cambria Math" panose="02040503050406030204" pitchFamily="18" charset="0"/>
                              </a:rPr>
                              <m:t>𝑙𝑛</m:t>
                            </m:r>
                            <m:d>
                              <m:dPr>
                                <m:ctrlPr>
                                  <a:rPr lang="it-IT" sz="1400" b="0" i="1">
                                    <a:latin typeface="Cambria Math" panose="02040503050406030204" pitchFamily="18" charset="0"/>
                                  </a:rPr>
                                </m:ctrlPr>
                              </m:dPr>
                              <m:e>
                                <m:r>
                                  <a:rPr lang="it-IT" sz="1400" b="0" i="1">
                                    <a:latin typeface="Cambria Math" panose="02040503050406030204" pitchFamily="18" charset="0"/>
                                  </a:rPr>
                                  <m:t>1−</m:t>
                                </m:r>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r>
                                      <a:rPr lang="it-IT" sz="1400" b="0" i="1">
                                        <a:latin typeface="Cambria Math" panose="02040503050406030204" pitchFamily="18" charset="0"/>
                                      </a:rPr>
                                      <m:t>−</m:t>
                                    </m:r>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e>
                            </m:d>
                          </m:e>
                        </m:d>
                      </m:e>
                    </m:nary>
                  </m:oMath>
                </m:oMathPara>
              </a14:m>
              <a:endParaRPr lang="en-US" sz="1400"/>
            </a:p>
          </xdr:txBody>
        </xdr:sp>
      </mc:Choice>
      <mc:Fallback xmlns="">
        <xdr:sp macro="" textlink="">
          <xdr:nvSpPr>
            <xdr:cNvPr id="51" name="TextBox 50">
              <a:extLst>
                <a:ext uri="{FF2B5EF4-FFF2-40B4-BE49-F238E27FC236}">
                  <a16:creationId xmlns:a16="http://schemas.microsoft.com/office/drawing/2014/main" id="{EA6D4D48-0461-154A-A093-C6BF20404404}"/>
                </a:ext>
              </a:extLst>
            </xdr:cNvPr>
            <xdr:cNvSpPr txBox="1"/>
          </xdr:nvSpPr>
          <xdr:spPr>
            <a:xfrm>
              <a:off x="8984037" y="61669450"/>
              <a:ext cx="3071931" cy="8299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0" i="0">
                  <a:latin typeface="Cambria Math" panose="02040503050406030204" pitchFamily="18" charset="0"/>
                </a:rPr>
                <a:t>𝑅∑_𝑖▒((</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𝑣𝑖𝑏,𝑖)/𝑇)−1) )−𝑙𝑛(1−𝑒^(−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 )) </a:t>
              </a:r>
              <a:endParaRPr lang="en-US" sz="1400"/>
            </a:p>
          </xdr:txBody>
        </xdr:sp>
      </mc:Fallback>
    </mc:AlternateContent>
    <xdr:clientData/>
  </xdr:oneCellAnchor>
  <xdr:oneCellAnchor>
    <xdr:from>
      <xdr:col>10</xdr:col>
      <xdr:colOff>65895</xdr:colOff>
      <xdr:row>243</xdr:row>
      <xdr:rowOff>195140</xdr:rowOff>
    </xdr:from>
    <xdr:ext cx="1219133" cy="556340"/>
    <mc:AlternateContent xmlns:mc="http://schemas.openxmlformats.org/markup-compatibility/2006" xmlns:a14="http://schemas.microsoft.com/office/drawing/2010/main">
      <mc:Choice Requires="a14">
        <xdr:sp macro="" textlink="">
          <xdr:nvSpPr>
            <xdr:cNvPr id="52" name="TextBox 51">
              <a:extLst>
                <a:ext uri="{FF2B5EF4-FFF2-40B4-BE49-F238E27FC236}">
                  <a16:creationId xmlns:a16="http://schemas.microsoft.com/office/drawing/2014/main" id="{11A5633C-49F9-D745-AB98-B501DBD8B8E8}"/>
                </a:ext>
              </a:extLst>
            </xdr:cNvPr>
            <xdr:cNvSpPr txBox="1"/>
          </xdr:nvSpPr>
          <xdr:spPr>
            <a:xfrm>
              <a:off x="12168995" y="61396440"/>
              <a:ext cx="1219133" cy="556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𝑅𝑙𝑛</m:t>
                    </m:r>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r>
                              <a:rPr lang="it-IT" sz="1400" b="0" i="1">
                                <a:latin typeface="Cambria Math" panose="02040503050406030204" pitchFamily="18" charset="0"/>
                              </a:rPr>
                              <m:t>𝑒𝑇</m:t>
                            </m:r>
                          </m:num>
                          <m:den>
                            <m:r>
                              <a:rPr lang="it-IT" sz="1400" b="0" i="1">
                                <a:latin typeface="Cambria Math" panose="02040503050406030204" pitchFamily="18" charset="0"/>
                                <a:ea typeface="Cambria Math" panose="02040503050406030204" pitchFamily="18" charset="0"/>
                              </a:rPr>
                              <m:t>𝜎</m:t>
                            </m:r>
                            <m:r>
                              <a:rPr lang="it-IT" sz="1400" b="0" i="1">
                                <a:latin typeface="Cambria Math" panose="02040503050406030204" pitchFamily="18" charset="0"/>
                                <a:ea typeface="Cambria Math" panose="02040503050406030204" pitchFamily="18" charset="0"/>
                              </a:rPr>
                              <m:t> </m:t>
                            </m:r>
                            <m:sSub>
                              <m:sSubPr>
                                <m:ctrlPr>
                                  <a:rPr lang="it-IT" sz="1400" b="0" i="1">
                                    <a:latin typeface="Cambria Math" panose="02040503050406030204" pitchFamily="18" charset="0"/>
                                    <a:ea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ea typeface="Cambria Math" panose="02040503050406030204" pitchFamily="18" charset="0"/>
                                  </a:rPr>
                                  <m:t>𝑟𝑜𝑡</m:t>
                                </m:r>
                              </m:sub>
                            </m:sSub>
                          </m:den>
                        </m:f>
                      </m:e>
                    </m:d>
                  </m:oMath>
                </m:oMathPara>
              </a14:m>
              <a:endParaRPr lang="en-US" sz="1400"/>
            </a:p>
          </xdr:txBody>
        </xdr:sp>
      </mc:Choice>
      <mc:Fallback xmlns="">
        <xdr:sp macro="" textlink="">
          <xdr:nvSpPr>
            <xdr:cNvPr id="52" name="TextBox 51">
              <a:extLst>
                <a:ext uri="{FF2B5EF4-FFF2-40B4-BE49-F238E27FC236}">
                  <a16:creationId xmlns:a16="http://schemas.microsoft.com/office/drawing/2014/main" id="{11A5633C-49F9-D745-AB98-B501DBD8B8E8}"/>
                </a:ext>
              </a:extLst>
            </xdr:cNvPr>
            <xdr:cNvSpPr txBox="1"/>
          </xdr:nvSpPr>
          <xdr:spPr>
            <a:xfrm>
              <a:off x="12168995" y="61396440"/>
              <a:ext cx="1219133" cy="556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𝑅𝑙𝑛(𝑒𝑇/(</a:t>
              </a:r>
              <a:r>
                <a:rPr lang="it-IT" sz="1400" b="0" i="0">
                  <a:latin typeface="Cambria Math" panose="02040503050406030204" pitchFamily="18" charset="0"/>
                  <a:ea typeface="Cambria Math" panose="02040503050406030204" pitchFamily="18" charset="0"/>
                </a:rPr>
                <a:t>𝜎 𝜗_𝑟𝑜𝑡 ))</a:t>
              </a:r>
              <a:endParaRPr lang="en-US" sz="1400"/>
            </a:p>
          </xdr:txBody>
        </xdr:sp>
      </mc:Fallback>
    </mc:AlternateContent>
    <xdr:clientData/>
  </xdr:oneCellAnchor>
  <xdr:oneCellAnchor>
    <xdr:from>
      <xdr:col>11</xdr:col>
      <xdr:colOff>218296</xdr:colOff>
      <xdr:row>241</xdr:row>
      <xdr:rowOff>146049</xdr:rowOff>
    </xdr:from>
    <xdr:ext cx="1645372" cy="411278"/>
    <mc:AlternateContent xmlns:mc="http://schemas.openxmlformats.org/markup-compatibility/2006" xmlns:a14="http://schemas.microsoft.com/office/drawing/2010/main">
      <mc:Choice Requires="a14">
        <xdr:sp macro="" textlink="">
          <xdr:nvSpPr>
            <xdr:cNvPr id="53" name="TextBox 52">
              <a:extLst>
                <a:ext uri="{FF2B5EF4-FFF2-40B4-BE49-F238E27FC236}">
                  <a16:creationId xmlns:a16="http://schemas.microsoft.com/office/drawing/2014/main" id="{0FF2D62C-A4BF-2444-A588-8D17347D8390}"/>
                </a:ext>
              </a:extLst>
            </xdr:cNvPr>
            <xdr:cNvSpPr txBox="1"/>
          </xdr:nvSpPr>
          <xdr:spPr>
            <a:xfrm>
              <a:off x="13413596" y="60940949"/>
              <a:ext cx="1645372"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r>
                      <a:rPr lang="it-IT" sz="1400" b="0" i="1">
                        <a:latin typeface="Cambria Math" panose="02040503050406030204" pitchFamily="18" charset="0"/>
                      </a:rPr>
                      <m:t> </m:t>
                    </m:r>
                    <m:r>
                      <m:rPr>
                        <m:sty m:val="p"/>
                      </m:rPr>
                      <a:rPr lang="it-IT" sz="1400" b="0" i="0">
                        <a:latin typeface="Cambria Math" panose="02040503050406030204" pitchFamily="18" charset="0"/>
                      </a:rPr>
                      <m:t>ln</m:t>
                    </m:r>
                    <m:r>
                      <a:rPr lang="it-IT" sz="1400" b="0" i="0">
                        <a:latin typeface="Cambria Math" panose="02040503050406030204" pitchFamily="18" charset="0"/>
                      </a:rPr>
                      <m:t>⁡(</m:t>
                    </m:r>
                    <m:sSub>
                      <m:sSubPr>
                        <m:ctrlPr>
                          <a:rPr lang="it-IT" sz="1400" b="0" i="1">
                            <a:latin typeface="Cambria Math" panose="02040503050406030204" pitchFamily="18" charset="0"/>
                          </a:rPr>
                        </m:ctrlPr>
                      </m:sSubPr>
                      <m:e>
                        <m:r>
                          <a:rPr lang="it-IT" sz="1400" b="0" i="1">
                            <a:latin typeface="Cambria Math" panose="02040503050406030204" pitchFamily="18" charset="0"/>
                          </a:rPr>
                          <m:t>𝑄</m:t>
                        </m:r>
                      </m:e>
                      <m:sub>
                        <m:r>
                          <a:rPr lang="it-IT" sz="1400" b="0" i="1">
                            <a:latin typeface="Cambria Math" panose="02040503050406030204" pitchFamily="18" charset="0"/>
                          </a:rPr>
                          <m:t>𝑒𝑙</m:t>
                        </m:r>
                      </m:sub>
                    </m:sSub>
                    <m:r>
                      <a:rPr lang="it-IT" sz="1400" b="0" i="0">
                        <a:latin typeface="Cambria Math" panose="02040503050406030204" pitchFamily="18" charset="0"/>
                      </a:rPr>
                      <m:t>)</m:t>
                    </m:r>
                  </m:oMath>
                </m:oMathPara>
              </a14:m>
              <a:endParaRPr lang="en-US" sz="1400"/>
            </a:p>
          </xdr:txBody>
        </xdr:sp>
      </mc:Choice>
      <mc:Fallback xmlns="">
        <xdr:sp macro="" textlink="">
          <xdr:nvSpPr>
            <xdr:cNvPr id="53" name="TextBox 52">
              <a:extLst>
                <a:ext uri="{FF2B5EF4-FFF2-40B4-BE49-F238E27FC236}">
                  <a16:creationId xmlns:a16="http://schemas.microsoft.com/office/drawing/2014/main" id="{0FF2D62C-A4BF-2444-A588-8D17347D8390}"/>
                </a:ext>
              </a:extLst>
            </xdr:cNvPr>
            <xdr:cNvSpPr txBox="1"/>
          </xdr:nvSpPr>
          <xdr:spPr>
            <a:xfrm>
              <a:off x="13413596" y="60940949"/>
              <a:ext cx="1645372"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 ln⁡(𝑄_𝑒𝑙)</a:t>
              </a:r>
              <a:endParaRPr lang="en-US" sz="1400"/>
            </a:p>
          </xdr:txBody>
        </xdr:sp>
      </mc:Fallback>
    </mc:AlternateContent>
    <xdr:clientData/>
  </xdr:oneCellAnchor>
  <xdr:twoCellAnchor>
    <xdr:from>
      <xdr:col>6</xdr:col>
      <xdr:colOff>1025769</xdr:colOff>
      <xdr:row>240</xdr:row>
      <xdr:rowOff>61058</xdr:rowOff>
    </xdr:from>
    <xdr:to>
      <xdr:col>7</xdr:col>
      <xdr:colOff>378558</xdr:colOff>
      <xdr:row>242</xdr:row>
      <xdr:rowOff>67164</xdr:rowOff>
    </xdr:to>
    <xdr:cxnSp macro="">
      <xdr:nvCxnSpPr>
        <xdr:cNvPr id="54" name="Straight Arrow Connector 53">
          <a:extLst>
            <a:ext uri="{FF2B5EF4-FFF2-40B4-BE49-F238E27FC236}">
              <a16:creationId xmlns:a16="http://schemas.microsoft.com/office/drawing/2014/main" id="{6BCD93D6-C434-EB4B-9C6C-FBB71FBFDA55}"/>
            </a:ext>
          </a:extLst>
        </xdr:cNvPr>
        <xdr:cNvCxnSpPr/>
      </xdr:nvCxnSpPr>
      <xdr:spPr>
        <a:xfrm flipH="1">
          <a:off x="9039469" y="60652758"/>
          <a:ext cx="635489" cy="412506"/>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105207</xdr:colOff>
      <xdr:row>240</xdr:row>
      <xdr:rowOff>42496</xdr:rowOff>
    </xdr:from>
    <xdr:to>
      <xdr:col>8</xdr:col>
      <xdr:colOff>390525</xdr:colOff>
      <xdr:row>244</xdr:row>
      <xdr:rowOff>195385</xdr:rowOff>
    </xdr:to>
    <xdr:cxnSp macro="">
      <xdr:nvCxnSpPr>
        <xdr:cNvPr id="55" name="Straight Arrow Connector 54">
          <a:extLst>
            <a:ext uri="{FF2B5EF4-FFF2-40B4-BE49-F238E27FC236}">
              <a16:creationId xmlns:a16="http://schemas.microsoft.com/office/drawing/2014/main" id="{397B5421-648E-C242-9372-C398E72EA0E4}"/>
            </a:ext>
          </a:extLst>
        </xdr:cNvPr>
        <xdr:cNvCxnSpPr/>
      </xdr:nvCxnSpPr>
      <xdr:spPr>
        <a:xfrm flipH="1">
          <a:off x="10265207" y="60634196"/>
          <a:ext cx="285318" cy="1016489"/>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427403</xdr:colOff>
      <xdr:row>240</xdr:row>
      <xdr:rowOff>48846</xdr:rowOff>
    </xdr:from>
    <xdr:to>
      <xdr:col>10</xdr:col>
      <xdr:colOff>172840</xdr:colOff>
      <xdr:row>243</xdr:row>
      <xdr:rowOff>157811</xdr:rowOff>
    </xdr:to>
    <xdr:cxnSp macro="">
      <xdr:nvCxnSpPr>
        <xdr:cNvPr id="56" name="Straight Arrow Connector 55">
          <a:extLst>
            <a:ext uri="{FF2B5EF4-FFF2-40B4-BE49-F238E27FC236}">
              <a16:creationId xmlns:a16="http://schemas.microsoft.com/office/drawing/2014/main" id="{B4CC65F8-8216-1D46-8F25-CED270D89F29}"/>
            </a:ext>
          </a:extLst>
        </xdr:cNvPr>
        <xdr:cNvCxnSpPr/>
      </xdr:nvCxnSpPr>
      <xdr:spPr>
        <a:xfrm>
          <a:off x="11412903" y="60640546"/>
          <a:ext cx="863037" cy="71856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500674</xdr:colOff>
      <xdr:row>240</xdr:row>
      <xdr:rowOff>42741</xdr:rowOff>
    </xdr:from>
    <xdr:to>
      <xdr:col>11</xdr:col>
      <xdr:colOff>548580</xdr:colOff>
      <xdr:row>241</xdr:row>
      <xdr:rowOff>187869</xdr:rowOff>
    </xdr:to>
    <xdr:cxnSp macro="">
      <xdr:nvCxnSpPr>
        <xdr:cNvPr id="57" name="Straight Arrow Connector 56">
          <a:extLst>
            <a:ext uri="{FF2B5EF4-FFF2-40B4-BE49-F238E27FC236}">
              <a16:creationId xmlns:a16="http://schemas.microsoft.com/office/drawing/2014/main" id="{2A33C4FB-E0AB-F84C-8755-099932150526}"/>
            </a:ext>
          </a:extLst>
        </xdr:cNvPr>
        <xdr:cNvCxnSpPr/>
      </xdr:nvCxnSpPr>
      <xdr:spPr>
        <a:xfrm>
          <a:off x="12603774" y="60634441"/>
          <a:ext cx="1140106" cy="348328"/>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oneCellAnchor>
    <xdr:from>
      <xdr:col>5</xdr:col>
      <xdr:colOff>372532</xdr:colOff>
      <xdr:row>240</xdr:row>
      <xdr:rowOff>101601</xdr:rowOff>
    </xdr:from>
    <xdr:ext cx="1303867" cy="305725"/>
    <mc:AlternateContent xmlns:mc="http://schemas.openxmlformats.org/markup-compatibility/2006" xmlns:a14="http://schemas.microsoft.com/office/drawing/2010/main">
      <mc:Choice Requires="a14">
        <xdr:sp macro="" textlink="">
          <xdr:nvSpPr>
            <xdr:cNvPr id="58" name="CasellaDiTesto 25">
              <a:extLst>
                <a:ext uri="{FF2B5EF4-FFF2-40B4-BE49-F238E27FC236}">
                  <a16:creationId xmlns:a16="http://schemas.microsoft.com/office/drawing/2014/main" id="{FCABBA15-7FA1-4F41-809E-F198D863E0F1}"/>
                </a:ext>
              </a:extLst>
            </xdr:cNvPr>
            <xdr:cNvSpPr txBox="1"/>
          </xdr:nvSpPr>
          <xdr:spPr>
            <a:xfrm>
              <a:off x="7294032" y="60693301"/>
              <a:ext cx="1303867" cy="3057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acc>
                      <m:accPr>
                        <m:chr m:val="̃"/>
                        <m:ctrlPr>
                          <a:rPr lang="it-IT" sz="1050" b="1" i="1">
                            <a:latin typeface="Cambria Math" panose="02040503050406030204" pitchFamily="18" charset="0"/>
                          </a:rPr>
                        </m:ctrlPr>
                      </m:accPr>
                      <m:e>
                        <m:r>
                          <a:rPr lang="it-IT" sz="1050" b="1" i="1">
                            <a:latin typeface="Cambria Math" panose="02040503050406030204" pitchFamily="18" charset="0"/>
                          </a:rPr>
                          <m:t>𝑽</m:t>
                        </m:r>
                      </m:e>
                    </m:acc>
                    <m:r>
                      <a:rPr lang="it-IT" sz="1050" b="1" i="1">
                        <a:latin typeface="Cambria Math" panose="02040503050406030204" pitchFamily="18" charset="0"/>
                      </a:rPr>
                      <m:t>=</m:t>
                    </m:r>
                    <m:f>
                      <m:fPr>
                        <m:ctrlPr>
                          <a:rPr lang="it-IT" sz="1050" b="1" i="1">
                            <a:latin typeface="Cambria Math" panose="02040503050406030204" pitchFamily="18" charset="0"/>
                          </a:rPr>
                        </m:ctrlPr>
                      </m:fPr>
                      <m:num>
                        <m:r>
                          <a:rPr lang="it-IT" sz="1050" b="1" i="1">
                            <a:latin typeface="Cambria Math" panose="02040503050406030204" pitchFamily="18" charset="0"/>
                          </a:rPr>
                          <m:t>𝑹</m:t>
                        </m:r>
                        <m:r>
                          <a:rPr lang="it-IT" sz="1050" b="1" i="1">
                            <a:latin typeface="Cambria Math" panose="02040503050406030204" pitchFamily="18" charset="0"/>
                          </a:rPr>
                          <m:t> </m:t>
                        </m:r>
                        <m:r>
                          <a:rPr lang="it-IT" sz="1050" b="1" i="1">
                            <a:latin typeface="Cambria Math" panose="02040503050406030204" pitchFamily="18" charset="0"/>
                          </a:rPr>
                          <m:t>𝑻</m:t>
                        </m:r>
                      </m:num>
                      <m:den>
                        <m:r>
                          <a:rPr lang="it-IT" sz="1050" b="1" i="1">
                            <a:latin typeface="Cambria Math" panose="02040503050406030204" pitchFamily="18" charset="0"/>
                          </a:rPr>
                          <m:t>𝑷</m:t>
                        </m:r>
                      </m:den>
                    </m:f>
                  </m:oMath>
                </m:oMathPara>
              </a14:m>
              <a:endParaRPr lang="it-IT" sz="1050" b="1"/>
            </a:p>
          </xdr:txBody>
        </xdr:sp>
      </mc:Choice>
      <mc:Fallback xmlns="">
        <xdr:sp macro="" textlink="">
          <xdr:nvSpPr>
            <xdr:cNvPr id="58" name="CasellaDiTesto 25">
              <a:extLst>
                <a:ext uri="{FF2B5EF4-FFF2-40B4-BE49-F238E27FC236}">
                  <a16:creationId xmlns:a16="http://schemas.microsoft.com/office/drawing/2014/main" id="{FCABBA15-7FA1-4F41-809E-F198D863E0F1}"/>
                </a:ext>
              </a:extLst>
            </xdr:cNvPr>
            <xdr:cNvSpPr txBox="1"/>
          </xdr:nvSpPr>
          <xdr:spPr>
            <a:xfrm>
              <a:off x="7294032" y="60693301"/>
              <a:ext cx="1303867" cy="3057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050" b="1" i="0">
                  <a:latin typeface="Cambria Math" panose="02040503050406030204" pitchFamily="18" charset="0"/>
                </a:rPr>
                <a:t>𝑽 ̃=(𝑹 𝑻)/𝑷</a:t>
              </a:r>
              <a:endParaRPr lang="it-IT" sz="1050" b="1"/>
            </a:p>
          </xdr:txBody>
        </xdr:sp>
      </mc:Fallback>
    </mc:AlternateContent>
    <xdr:clientData/>
  </xdr:oneCellAnchor>
  <xdr:twoCellAnchor>
    <xdr:from>
      <xdr:col>6</xdr:col>
      <xdr:colOff>287867</xdr:colOff>
      <xdr:row>240</xdr:row>
      <xdr:rowOff>194733</xdr:rowOff>
    </xdr:from>
    <xdr:to>
      <xdr:col>6</xdr:col>
      <xdr:colOff>700036</xdr:colOff>
      <xdr:row>242</xdr:row>
      <xdr:rowOff>105207</xdr:rowOff>
    </xdr:to>
    <xdr:cxnSp macro="">
      <xdr:nvCxnSpPr>
        <xdr:cNvPr id="59" name="Curved Connector 58">
          <a:extLst>
            <a:ext uri="{FF2B5EF4-FFF2-40B4-BE49-F238E27FC236}">
              <a16:creationId xmlns:a16="http://schemas.microsoft.com/office/drawing/2014/main" id="{70B09E72-6B1E-D442-BE96-8126C1874D79}"/>
            </a:ext>
          </a:extLst>
        </xdr:cNvPr>
        <xdr:cNvCxnSpPr>
          <a:endCxn id="50" idx="0"/>
        </xdr:cNvCxnSpPr>
      </xdr:nvCxnSpPr>
      <xdr:spPr>
        <a:xfrm>
          <a:off x="8301567" y="60786433"/>
          <a:ext cx="412169" cy="316874"/>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1000646</xdr:colOff>
      <xdr:row>267</xdr:row>
      <xdr:rowOff>177520</xdr:rowOff>
    </xdr:from>
    <xdr:to>
      <xdr:col>17</xdr:col>
      <xdr:colOff>1244599</xdr:colOff>
      <xdr:row>285</xdr:row>
      <xdr:rowOff>41868</xdr:rowOff>
    </xdr:to>
    <xdr:graphicFrame macro="">
      <xdr:nvGraphicFramePr>
        <xdr:cNvPr id="60" name="Chart 59">
          <a:extLst>
            <a:ext uri="{FF2B5EF4-FFF2-40B4-BE49-F238E27FC236}">
              <a16:creationId xmlns:a16="http://schemas.microsoft.com/office/drawing/2014/main" id="{AB8C31DA-AE6D-054D-861D-834FB9AAE2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oneCellAnchor>
    <xdr:from>
      <xdr:col>10</xdr:col>
      <xdr:colOff>642750</xdr:colOff>
      <xdr:row>244</xdr:row>
      <xdr:rowOff>77922</xdr:rowOff>
    </xdr:from>
    <xdr:ext cx="5057090" cy="1166345"/>
    <mc:AlternateContent xmlns:mc="http://schemas.openxmlformats.org/markup-compatibility/2006" xmlns:a14="http://schemas.microsoft.com/office/drawing/2010/main">
      <mc:Choice Requires="a14">
        <xdr:sp macro="" textlink="">
          <xdr:nvSpPr>
            <xdr:cNvPr id="61" name="TextBox 60">
              <a:extLst>
                <a:ext uri="{FF2B5EF4-FFF2-40B4-BE49-F238E27FC236}">
                  <a16:creationId xmlns:a16="http://schemas.microsoft.com/office/drawing/2014/main" id="{D3DE6893-9BA1-AB41-A2E8-FDA5DD1268AA}"/>
                </a:ext>
              </a:extLst>
            </xdr:cNvPr>
            <xdr:cNvSpPr txBox="1"/>
          </xdr:nvSpPr>
          <xdr:spPr>
            <a:xfrm>
              <a:off x="12745850" y="61533222"/>
              <a:ext cx="5057090" cy="11663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solidFill>
                          <a:srgbClr val="FF0000"/>
                        </a:solidFill>
                        <a:latin typeface="Cambria Math" panose="02040503050406030204" pitchFamily="18" charset="0"/>
                      </a:rPr>
                      <m:t>𝑏𝑢𝑡</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𝐺𝑎𝑢𝑠𝑠𝑖𝑎𝑛</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𝑢𝑠𝑒𝑠</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𝑓𝑜𝑟</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𝑝𝑜𝑙𝑦𝑎𝑡𝑜𝑚𝑖𝑐</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𝑚𝑜𝑙𝑒𝑐𝑢𝑙𝑒𝑠</m:t>
                    </m:r>
                    <m:r>
                      <a:rPr lang="it-IT" sz="1400" b="0" i="1">
                        <a:solidFill>
                          <a:srgbClr val="FF0000"/>
                        </a:solidFill>
                        <a:latin typeface="Cambria Math" panose="02040503050406030204" pitchFamily="18" charset="0"/>
                      </a:rPr>
                      <m:t>):</m:t>
                    </m:r>
                  </m:oMath>
                </m:oMathPara>
              </a14:m>
              <a:endParaRPr lang="it-IT" sz="1400" b="0">
                <a:solidFill>
                  <a:srgbClr val="FF0000"/>
                </a:solidFill>
              </a:endParaRPr>
            </a:p>
            <a:p>
              <a:endParaRPr lang="en-US" sz="1400">
                <a:solidFill>
                  <a:srgbClr val="FF0000"/>
                </a:solidFill>
              </a:endParaRPr>
            </a:p>
            <a:p>
              <a14:m>
                <m:oMath xmlns:m="http://schemas.openxmlformats.org/officeDocument/2006/math">
                  <m:func>
                    <m:funcPr>
                      <m:ctrlPr>
                        <a:rPr lang="it-IT" sz="1400" b="0" i="1">
                          <a:solidFill>
                            <a:srgbClr val="FF0000"/>
                          </a:solidFill>
                          <a:latin typeface="Cambria Math" panose="02040503050406030204" pitchFamily="18" charset="0"/>
                        </a:rPr>
                      </m:ctrlPr>
                    </m:funcPr>
                    <m:fName>
                      <m:r>
                        <a:rPr lang="it-IT" sz="1400" b="0" i="1">
                          <a:solidFill>
                            <a:srgbClr val="FF0000"/>
                          </a:solidFill>
                          <a:latin typeface="Cambria Math" panose="02040503050406030204" pitchFamily="18" charset="0"/>
                        </a:rPr>
                        <m:t>𝑅</m:t>
                      </m:r>
                    </m:fName>
                    <m:e>
                      <m:d>
                        <m:dPr>
                          <m:ctrlPr>
                            <a:rPr lang="it-IT" sz="1400" b="0" i="1">
                              <a:solidFill>
                                <a:srgbClr val="FF0000"/>
                              </a:solidFill>
                              <a:latin typeface="Cambria Math" panose="02040503050406030204" pitchFamily="18" charset="0"/>
                            </a:rPr>
                          </m:ctrlPr>
                        </m:dPr>
                        <m:e>
                          <m:r>
                            <m:rPr>
                              <m:sty m:val="p"/>
                            </m:rPr>
                            <a:rPr lang="it-IT" sz="1400" b="0" i="0">
                              <a:solidFill>
                                <a:srgbClr val="FF0000"/>
                              </a:solidFill>
                              <a:latin typeface="Cambria Math" panose="02040503050406030204" pitchFamily="18" charset="0"/>
                            </a:rPr>
                            <m:t>ln</m:t>
                          </m:r>
                          <m:d>
                            <m:dPr>
                              <m:ctrlPr>
                                <a:rPr lang="it-IT" sz="1400" b="0" i="1">
                                  <a:solidFill>
                                    <a:srgbClr val="FF0000"/>
                                  </a:solidFill>
                                  <a:latin typeface="Cambria Math" panose="02040503050406030204" pitchFamily="18" charset="0"/>
                                </a:rPr>
                              </m:ctrlPr>
                            </m:dPr>
                            <m:e>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rPr>
                                    <m:t>𝑞</m:t>
                                  </m:r>
                                </m:e>
                                <m:sub>
                                  <m:r>
                                    <a:rPr lang="it-IT" sz="1400" b="0" i="1">
                                      <a:solidFill>
                                        <a:srgbClr val="FF0000"/>
                                      </a:solidFill>
                                      <a:latin typeface="Cambria Math" panose="02040503050406030204" pitchFamily="18" charset="0"/>
                                    </a:rPr>
                                    <m:t>𝑟</m:t>
                                  </m:r>
                                </m:sub>
                              </m:sSub>
                            </m:e>
                          </m:d>
                          <m:r>
                            <a:rPr lang="it-IT" sz="1400" b="0" i="1">
                              <a:solidFill>
                                <a:srgbClr val="FF0000"/>
                              </a:solidFill>
                              <a:latin typeface="Cambria Math" panose="02040503050406030204" pitchFamily="18" charset="0"/>
                            </a:rPr>
                            <m:t>+</m:t>
                          </m:r>
                          <m:f>
                            <m:fPr>
                              <m:ctrlPr>
                                <a:rPr lang="it-IT" sz="1400" b="0" i="1">
                                  <a:solidFill>
                                    <a:srgbClr val="FF0000"/>
                                  </a:solidFill>
                                  <a:latin typeface="Cambria Math" panose="02040503050406030204" pitchFamily="18" charset="0"/>
                                </a:rPr>
                              </m:ctrlPr>
                            </m:fPr>
                            <m:num>
                              <m:r>
                                <a:rPr lang="it-IT" sz="1400" b="0" i="1">
                                  <a:solidFill>
                                    <a:srgbClr val="FF0000"/>
                                  </a:solidFill>
                                  <a:latin typeface="Cambria Math" panose="02040503050406030204" pitchFamily="18" charset="0"/>
                                </a:rPr>
                                <m:t>3</m:t>
                              </m:r>
                            </m:num>
                            <m:den>
                              <m:r>
                                <a:rPr lang="it-IT" sz="1400" b="0" i="1">
                                  <a:solidFill>
                                    <a:srgbClr val="FF0000"/>
                                  </a:solidFill>
                                  <a:latin typeface="Cambria Math" panose="02040503050406030204" pitchFamily="18" charset="0"/>
                                </a:rPr>
                                <m:t>2</m:t>
                              </m:r>
                            </m:den>
                          </m:f>
                        </m:e>
                      </m:d>
                    </m:e>
                  </m:func>
                </m:oMath>
              </a14:m>
              <a:r>
                <a:rPr lang="en-US" sz="1400">
                  <a:solidFill>
                    <a:srgbClr val="FF0000"/>
                  </a:solidFill>
                </a:rPr>
                <a:t> where </a:t>
              </a:r>
              <a14:m>
                <m:oMath xmlns:m="http://schemas.openxmlformats.org/officeDocument/2006/math">
                  <m:sSub>
                    <m:sSubPr>
                      <m:ctrlPr>
                        <a:rPr lang="en-US" sz="140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rPr>
                        <m:t>𝑞</m:t>
                      </m:r>
                    </m:e>
                    <m:sub>
                      <m:r>
                        <a:rPr lang="it-IT" sz="1400" b="0" i="1">
                          <a:solidFill>
                            <a:srgbClr val="FF0000"/>
                          </a:solidFill>
                          <a:latin typeface="Cambria Math" panose="02040503050406030204" pitchFamily="18" charset="0"/>
                        </a:rPr>
                        <m:t>𝑟</m:t>
                      </m:r>
                    </m:sub>
                  </m:sSub>
                  <m:r>
                    <a:rPr lang="it-IT" sz="1400" b="0" i="1">
                      <a:solidFill>
                        <a:srgbClr val="FF0000"/>
                      </a:solidFill>
                      <a:latin typeface="Cambria Math" panose="02040503050406030204" pitchFamily="18" charset="0"/>
                    </a:rPr>
                    <m:t>=</m:t>
                  </m:r>
                  <m:f>
                    <m:fPr>
                      <m:ctrlPr>
                        <a:rPr lang="it-IT" sz="1400" b="0" i="1">
                          <a:solidFill>
                            <a:srgbClr val="FF0000"/>
                          </a:solidFill>
                          <a:latin typeface="Cambria Math" panose="02040503050406030204" pitchFamily="18" charset="0"/>
                        </a:rPr>
                      </m:ctrlPr>
                    </m:fPr>
                    <m:num>
                      <m:rad>
                        <m:radPr>
                          <m:degHide m:val="on"/>
                          <m:ctrlPr>
                            <a:rPr lang="it-IT" sz="1400" b="0" i="1">
                              <a:solidFill>
                                <a:srgbClr val="FF0000"/>
                              </a:solidFill>
                              <a:latin typeface="Cambria Math" panose="02040503050406030204" pitchFamily="18" charset="0"/>
                            </a:rPr>
                          </m:ctrlPr>
                        </m:radPr>
                        <m:deg/>
                        <m:e>
                          <m:r>
                            <a:rPr lang="it-IT" sz="1400" b="0" i="1">
                              <a:solidFill>
                                <a:srgbClr val="FF0000"/>
                              </a:solidFill>
                              <a:latin typeface="Cambria Math" panose="02040503050406030204" pitchFamily="18" charset="0"/>
                              <a:ea typeface="Cambria Math" panose="02040503050406030204" pitchFamily="18" charset="0"/>
                            </a:rPr>
                            <m:t>𝜋</m:t>
                          </m:r>
                        </m:e>
                      </m:rad>
                    </m:num>
                    <m:den>
                      <m:r>
                        <a:rPr lang="it-IT" sz="1400" b="0" i="1">
                          <a:solidFill>
                            <a:srgbClr val="FF0000"/>
                          </a:solidFill>
                          <a:latin typeface="Cambria Math" panose="02040503050406030204" pitchFamily="18" charset="0"/>
                          <a:ea typeface="Cambria Math" panose="02040503050406030204" pitchFamily="18" charset="0"/>
                        </a:rPr>
                        <m:t>𝜎</m:t>
                      </m:r>
                    </m:den>
                  </m:f>
                  <m:d>
                    <m:dPr>
                      <m:ctrlPr>
                        <a:rPr lang="it-IT" sz="1400" b="0" i="1">
                          <a:solidFill>
                            <a:srgbClr val="FF0000"/>
                          </a:solidFill>
                          <a:latin typeface="Cambria Math" panose="02040503050406030204" pitchFamily="18" charset="0"/>
                        </a:rPr>
                      </m:ctrlPr>
                    </m:dPr>
                    <m:e>
                      <m:f>
                        <m:fPr>
                          <m:ctrlPr>
                            <a:rPr lang="it-IT" sz="1400" b="0" i="1">
                              <a:solidFill>
                                <a:srgbClr val="FF0000"/>
                              </a:solidFill>
                              <a:latin typeface="Cambria Math" panose="02040503050406030204" pitchFamily="18" charset="0"/>
                            </a:rPr>
                          </m:ctrlPr>
                        </m:fPr>
                        <m:num>
                          <m:sSup>
                            <m:sSupPr>
                              <m:ctrlPr>
                                <a:rPr lang="it-IT" sz="1400" b="0" i="1">
                                  <a:solidFill>
                                    <a:srgbClr val="FF0000"/>
                                  </a:solidFill>
                                  <a:latin typeface="Cambria Math" panose="02040503050406030204" pitchFamily="18" charset="0"/>
                                </a:rPr>
                              </m:ctrlPr>
                            </m:sSupPr>
                            <m:e>
                              <m:r>
                                <a:rPr lang="it-IT" sz="1400" b="0" i="1">
                                  <a:solidFill>
                                    <a:srgbClr val="FF0000"/>
                                  </a:solidFill>
                                  <a:latin typeface="Cambria Math" panose="02040503050406030204" pitchFamily="18" charset="0"/>
                                </a:rPr>
                                <m:t>𝑇</m:t>
                              </m:r>
                            </m:e>
                            <m:sup>
                              <m:f>
                                <m:fPr>
                                  <m:ctrlPr>
                                    <a:rPr lang="it-IT" sz="1400" b="0" i="1">
                                      <a:solidFill>
                                        <a:srgbClr val="FF0000"/>
                                      </a:solidFill>
                                      <a:latin typeface="Cambria Math" panose="02040503050406030204" pitchFamily="18" charset="0"/>
                                    </a:rPr>
                                  </m:ctrlPr>
                                </m:fPr>
                                <m:num>
                                  <m:r>
                                    <a:rPr lang="it-IT" sz="1400" b="0" i="1">
                                      <a:solidFill>
                                        <a:srgbClr val="FF0000"/>
                                      </a:solidFill>
                                      <a:latin typeface="Cambria Math" panose="02040503050406030204" pitchFamily="18" charset="0"/>
                                    </a:rPr>
                                    <m:t>3</m:t>
                                  </m:r>
                                </m:num>
                                <m:den>
                                  <m:r>
                                    <a:rPr lang="it-IT" sz="1400" b="0" i="1">
                                      <a:solidFill>
                                        <a:srgbClr val="FF0000"/>
                                      </a:solidFill>
                                      <a:latin typeface="Cambria Math" panose="02040503050406030204" pitchFamily="18" charset="0"/>
                                    </a:rPr>
                                    <m:t>2</m:t>
                                  </m:r>
                                </m:den>
                              </m:f>
                            </m:sup>
                          </m:sSup>
                        </m:num>
                        <m:den>
                          <m:rad>
                            <m:radPr>
                              <m:degHide m:val="on"/>
                              <m:ctrlPr>
                                <a:rPr lang="it-IT" sz="1400" b="0" i="1">
                                  <a:solidFill>
                                    <a:srgbClr val="FF0000"/>
                                  </a:solidFill>
                                  <a:latin typeface="Cambria Math" panose="02040503050406030204" pitchFamily="18" charset="0"/>
                                </a:rPr>
                              </m:ctrlPr>
                            </m:radPr>
                            <m:deg/>
                            <m:e>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ea typeface="Cambria Math" panose="02040503050406030204" pitchFamily="18" charset="0"/>
                                    </a:rPr>
                                    <m:t>𝜗</m:t>
                                  </m:r>
                                </m:e>
                                <m:sub>
                                  <m:r>
                                    <a:rPr lang="it-IT" sz="1400" b="0" i="1">
                                      <a:solidFill>
                                        <a:srgbClr val="FF0000"/>
                                      </a:solidFill>
                                      <a:latin typeface="Cambria Math" panose="02040503050406030204" pitchFamily="18" charset="0"/>
                                    </a:rPr>
                                    <m:t>𝑥</m:t>
                                  </m:r>
                                </m:sub>
                              </m:sSub>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ea typeface="Cambria Math" panose="02040503050406030204" pitchFamily="18" charset="0"/>
                                    </a:rPr>
                                    <m:t>𝜗</m:t>
                                  </m:r>
                                </m:e>
                                <m:sub>
                                  <m:r>
                                    <a:rPr lang="it-IT" sz="1400" b="0" i="1">
                                      <a:solidFill>
                                        <a:srgbClr val="FF0000"/>
                                      </a:solidFill>
                                      <a:latin typeface="Cambria Math" panose="02040503050406030204" pitchFamily="18" charset="0"/>
                                      <a:ea typeface="Cambria Math" panose="02040503050406030204" pitchFamily="18" charset="0"/>
                                    </a:rPr>
                                    <m:t>𝑦</m:t>
                                  </m:r>
                                </m:sub>
                              </m:sSub>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ea typeface="Cambria Math" panose="02040503050406030204" pitchFamily="18" charset="0"/>
                                    </a:rPr>
                                    <m:t>𝜗</m:t>
                                  </m:r>
                                </m:e>
                                <m:sub>
                                  <m:r>
                                    <a:rPr lang="it-IT" sz="1400" b="0" i="1">
                                      <a:solidFill>
                                        <a:srgbClr val="FF0000"/>
                                      </a:solidFill>
                                      <a:latin typeface="Cambria Math" panose="02040503050406030204" pitchFamily="18" charset="0"/>
                                      <a:ea typeface="Cambria Math" panose="02040503050406030204" pitchFamily="18" charset="0"/>
                                    </a:rPr>
                                    <m:t>𝑧</m:t>
                                  </m:r>
                                </m:sub>
                              </m:sSub>
                            </m:e>
                          </m:rad>
                        </m:den>
                      </m:f>
                    </m:e>
                  </m:d>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𝑖𝑠</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𝑡h𝑒</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𝑝𝑎𝑟𝑡𝑖𝑡𝑖𝑜𝑛</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𝑓𝑢𝑛𝑐𝑡𝑖𝑜𝑛</m:t>
                  </m:r>
                </m:oMath>
              </a14:m>
              <a:r>
                <a:rPr lang="en-US" sz="1400">
                  <a:solidFill>
                    <a:srgbClr val="FF0000"/>
                  </a:solidFill>
                </a:rPr>
                <a:t> </a:t>
              </a:r>
            </a:p>
            <a:p>
              <a:r>
                <a:rPr lang="en-US" sz="1400">
                  <a:solidFill>
                    <a:srgbClr val="FF0000"/>
                  </a:solidFill>
                </a:rPr>
                <a:t>(this is the one</a:t>
              </a:r>
              <a:r>
                <a:rPr lang="en-US" sz="1400" baseline="0">
                  <a:solidFill>
                    <a:srgbClr val="FF0000"/>
                  </a:solidFill>
                </a:rPr>
                <a:t> we will use</a:t>
              </a:r>
              <a:r>
                <a:rPr lang="en-US" sz="1400">
                  <a:solidFill>
                    <a:srgbClr val="FF0000"/>
                  </a:solidFill>
                </a:rPr>
                <a:t>)</a:t>
              </a:r>
            </a:p>
          </xdr:txBody>
        </xdr:sp>
      </mc:Choice>
      <mc:Fallback xmlns="">
        <xdr:sp macro="" textlink="">
          <xdr:nvSpPr>
            <xdr:cNvPr id="61" name="TextBox 60">
              <a:extLst>
                <a:ext uri="{FF2B5EF4-FFF2-40B4-BE49-F238E27FC236}">
                  <a16:creationId xmlns:a16="http://schemas.microsoft.com/office/drawing/2014/main" id="{D3DE6893-9BA1-AB41-A2E8-FDA5DD1268AA}"/>
                </a:ext>
              </a:extLst>
            </xdr:cNvPr>
            <xdr:cNvSpPr txBox="1"/>
          </xdr:nvSpPr>
          <xdr:spPr>
            <a:xfrm>
              <a:off x="12745850" y="61533222"/>
              <a:ext cx="5057090" cy="11663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0" i="0">
                  <a:solidFill>
                    <a:srgbClr val="FF0000"/>
                  </a:solidFill>
                  <a:latin typeface="Cambria Math" panose="02040503050406030204" pitchFamily="18" charset="0"/>
                </a:rPr>
                <a:t>𝑏𝑢𝑡 𝐺𝑎𝑢𝑠𝑠𝑖𝑎𝑛 𝑢𝑠𝑒𝑠 (𝑓𝑜𝑟 𝑝𝑜𝑙𝑦𝑎𝑡𝑜𝑚𝑖𝑐 𝑚𝑜𝑙𝑒𝑐𝑢𝑙𝑒𝑠):</a:t>
              </a:r>
              <a:endParaRPr lang="it-IT" sz="1400" b="0">
                <a:solidFill>
                  <a:srgbClr val="FF0000"/>
                </a:solidFill>
              </a:endParaRPr>
            </a:p>
            <a:p>
              <a:endParaRPr lang="en-US" sz="1400">
                <a:solidFill>
                  <a:srgbClr val="FF0000"/>
                </a:solidFill>
              </a:endParaRPr>
            </a:p>
            <a:p>
              <a:r>
                <a:rPr lang="it-IT" sz="1400" b="0" i="0">
                  <a:solidFill>
                    <a:srgbClr val="FF0000"/>
                  </a:solidFill>
                  <a:latin typeface="Cambria Math" panose="02040503050406030204" pitchFamily="18" charset="0"/>
                </a:rPr>
                <a:t>𝑅⁡(ln(𝑞_𝑟 )+3/2)</a:t>
              </a:r>
              <a:r>
                <a:rPr lang="en-US" sz="1400">
                  <a:solidFill>
                    <a:srgbClr val="FF0000"/>
                  </a:solidFill>
                </a:rPr>
                <a:t> where </a:t>
              </a:r>
              <a:r>
                <a:rPr lang="it-IT" sz="1400" b="0" i="0">
                  <a:solidFill>
                    <a:srgbClr val="FF0000"/>
                  </a:solidFill>
                  <a:latin typeface="Cambria Math" panose="02040503050406030204" pitchFamily="18" charset="0"/>
                </a:rPr>
                <a:t>𝑞</a:t>
              </a:r>
              <a:r>
                <a:rPr lang="en-US" sz="1400" b="0" i="0">
                  <a:solidFill>
                    <a:srgbClr val="FF0000"/>
                  </a:solidFill>
                  <a:latin typeface="Cambria Math" panose="02040503050406030204" pitchFamily="18" charset="0"/>
                </a:rPr>
                <a:t>_</a:t>
              </a:r>
              <a:r>
                <a:rPr lang="it-IT" sz="1400" b="0" i="0">
                  <a:solidFill>
                    <a:srgbClr val="FF0000"/>
                  </a:solidFill>
                  <a:latin typeface="Cambria Math" panose="02040503050406030204" pitchFamily="18" charset="0"/>
                </a:rPr>
                <a:t>𝑟=√</a:t>
              </a:r>
              <a:r>
                <a:rPr lang="it-IT" sz="1400" b="0" i="0">
                  <a:solidFill>
                    <a:srgbClr val="FF0000"/>
                  </a:solidFill>
                  <a:latin typeface="Cambria Math" panose="02040503050406030204" pitchFamily="18" charset="0"/>
                  <a:ea typeface="Cambria Math" panose="02040503050406030204" pitchFamily="18" charset="0"/>
                </a:rPr>
                <a:t>𝜋/𝜎 </a:t>
              </a:r>
              <a:r>
                <a:rPr lang="it-IT" sz="1400" b="0" i="0">
                  <a:solidFill>
                    <a:srgbClr val="FF0000"/>
                  </a:solidFill>
                  <a:latin typeface="Cambria Math" panose="02040503050406030204" pitchFamily="18" charset="0"/>
                </a:rPr>
                <a:t>(𝑇^(3/2)/√(</a:t>
              </a:r>
              <a:r>
                <a:rPr lang="it-IT" sz="1400" b="0" i="0">
                  <a:solidFill>
                    <a:srgbClr val="FF0000"/>
                  </a:solidFill>
                  <a:latin typeface="Cambria Math" panose="02040503050406030204" pitchFamily="18" charset="0"/>
                  <a:ea typeface="Cambria Math" panose="02040503050406030204" pitchFamily="18" charset="0"/>
                </a:rPr>
                <a:t>𝜗_</a:t>
              </a:r>
              <a:r>
                <a:rPr lang="it-IT" sz="1400" b="0" i="0">
                  <a:solidFill>
                    <a:srgbClr val="FF0000"/>
                  </a:solidFill>
                  <a:latin typeface="Cambria Math" panose="02040503050406030204" pitchFamily="18" charset="0"/>
                </a:rPr>
                <a:t>𝑥 </a:t>
              </a:r>
              <a:r>
                <a:rPr lang="it-IT" sz="1400" b="0" i="0">
                  <a:solidFill>
                    <a:srgbClr val="FF0000"/>
                  </a:solidFill>
                  <a:latin typeface="Cambria Math" panose="02040503050406030204" pitchFamily="18" charset="0"/>
                  <a:ea typeface="Cambria Math" panose="02040503050406030204" pitchFamily="18" charset="0"/>
                </a:rPr>
                <a:t>𝜗_𝑦 𝜗_𝑧 )) </a:t>
              </a:r>
              <a:r>
                <a:rPr lang="it-IT" sz="1400" b="0" i="0">
                  <a:solidFill>
                    <a:srgbClr val="FF0000"/>
                  </a:solidFill>
                  <a:latin typeface="Cambria Math" panose="02040503050406030204" pitchFamily="18" charset="0"/>
                </a:rPr>
                <a:t> 𝑖𝑠 𝑡ℎ𝑒 𝑝𝑎𝑟𝑡𝑖𝑡𝑖𝑜𝑛 𝑓𝑢𝑛𝑐𝑡𝑖𝑜𝑛</a:t>
              </a:r>
              <a:r>
                <a:rPr lang="en-US" sz="1400">
                  <a:solidFill>
                    <a:srgbClr val="FF0000"/>
                  </a:solidFill>
                </a:rPr>
                <a:t> </a:t>
              </a:r>
            </a:p>
            <a:p>
              <a:r>
                <a:rPr lang="en-US" sz="1400">
                  <a:solidFill>
                    <a:srgbClr val="FF0000"/>
                  </a:solidFill>
                </a:rPr>
                <a:t>(this is the one</a:t>
              </a:r>
              <a:r>
                <a:rPr lang="en-US" sz="1400" baseline="0">
                  <a:solidFill>
                    <a:srgbClr val="FF0000"/>
                  </a:solidFill>
                </a:rPr>
                <a:t> we will use</a:t>
              </a:r>
              <a:r>
                <a:rPr lang="en-US" sz="1400">
                  <a:solidFill>
                    <a:srgbClr val="FF0000"/>
                  </a:solidFill>
                </a:rPr>
                <a:t>)</a:t>
              </a:r>
            </a:p>
          </xdr:txBody>
        </xdr:sp>
      </mc:Fallback>
    </mc:AlternateContent>
    <xdr:clientData/>
  </xdr:oneCellAnchor>
  <xdr:twoCellAnchor>
    <xdr:from>
      <xdr:col>5</xdr:col>
      <xdr:colOff>403552</xdr:colOff>
      <xdr:row>95</xdr:row>
      <xdr:rowOff>118692</xdr:rowOff>
    </xdr:from>
    <xdr:to>
      <xdr:col>10</xdr:col>
      <xdr:colOff>652805</xdr:colOff>
      <xdr:row>102</xdr:row>
      <xdr:rowOff>94953</xdr:rowOff>
    </xdr:to>
    <xdr:cxnSp macro="">
      <xdr:nvCxnSpPr>
        <xdr:cNvPr id="63" name="Curved Connector 62">
          <a:extLst>
            <a:ext uri="{FF2B5EF4-FFF2-40B4-BE49-F238E27FC236}">
              <a16:creationId xmlns:a16="http://schemas.microsoft.com/office/drawing/2014/main" id="{5AC72B8E-451E-A3AD-FB66-A8FA082F0298}"/>
            </a:ext>
          </a:extLst>
        </xdr:cNvPr>
        <xdr:cNvCxnSpPr/>
      </xdr:nvCxnSpPr>
      <xdr:spPr>
        <a:xfrm rot="10800000" flipV="1">
          <a:off x="7323272" y="24569159"/>
          <a:ext cx="5436075" cy="2088972"/>
        </a:xfrm>
        <a:prstGeom prst="curvedConnector3">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xdr:col>
      <xdr:colOff>832621</xdr:colOff>
      <xdr:row>106</xdr:row>
      <xdr:rowOff>79080</xdr:rowOff>
    </xdr:from>
    <xdr:to>
      <xdr:col>9</xdr:col>
      <xdr:colOff>998938</xdr:colOff>
      <xdr:row>114</xdr:row>
      <xdr:rowOff>162015</xdr:rowOff>
    </xdr:to>
    <mc:AlternateContent xmlns:mc="http://schemas.openxmlformats.org/markup-compatibility/2006" xmlns:a14="http://schemas.microsoft.com/office/drawing/2010/main">
      <mc:Choice Requires="a14">
        <xdr:sp macro="" textlink="">
          <xdr:nvSpPr>
            <xdr:cNvPr id="64" name="TextBox 63">
              <a:extLst>
                <a:ext uri="{FF2B5EF4-FFF2-40B4-BE49-F238E27FC236}">
                  <a16:creationId xmlns:a16="http://schemas.microsoft.com/office/drawing/2014/main" id="{36DE773A-EBE7-B048-229C-4569D4646CB1}"/>
                </a:ext>
              </a:extLst>
            </xdr:cNvPr>
            <xdr:cNvSpPr txBox="1"/>
          </xdr:nvSpPr>
          <xdr:spPr>
            <a:xfrm>
              <a:off x="7754121" y="27987330"/>
              <a:ext cx="4230317" cy="19879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rgbClr val="FF0000"/>
                  </a:solidFill>
                </a:rPr>
                <a:t>In</a:t>
              </a:r>
              <a:r>
                <a:rPr lang="en-US" sz="1600" baseline="0">
                  <a:solidFill>
                    <a:srgbClr val="FF0000"/>
                  </a:solidFill>
                </a:rPr>
                <a:t> this case though, we are considering a single H atom, so no bounds. As such, the vibrational parition function "looses meaning". It is then unequivocally defined as the unity, to apport a null contribute to the total partition function:</a:t>
              </a:r>
            </a:p>
            <a:p>
              <a:endParaRPr lang="en-US" sz="1600" baseline="0">
                <a:solidFill>
                  <a:srgbClr val="FF0000"/>
                </a:solidFill>
              </a:endParaRPr>
            </a:p>
            <a:p>
              <a:pPr/>
              <a14:m>
                <m:oMathPara xmlns:m="http://schemas.openxmlformats.org/officeDocument/2006/math">
                  <m:oMathParaPr>
                    <m:jc m:val="centerGroup"/>
                  </m:oMathParaPr>
                  <m:oMath xmlns:m="http://schemas.openxmlformats.org/officeDocument/2006/math">
                    <m:r>
                      <a:rPr lang="it-IT" sz="1800" b="0" i="1">
                        <a:solidFill>
                          <a:srgbClr val="FF0000"/>
                        </a:solidFill>
                        <a:latin typeface="Cambria Math" panose="02040503050406030204" pitchFamily="18" charset="0"/>
                      </a:rPr>
                      <m:t>𝑄</m:t>
                    </m:r>
                    <m:r>
                      <a:rPr lang="it-IT" sz="1800" b="0" i="1">
                        <a:solidFill>
                          <a:srgbClr val="FF0000"/>
                        </a:solidFill>
                        <a:latin typeface="Cambria Math" panose="02040503050406030204" pitchFamily="18" charset="0"/>
                      </a:rPr>
                      <m:t>=</m:t>
                    </m:r>
                    <m:sSub>
                      <m:sSubPr>
                        <m:ctrlPr>
                          <a:rPr lang="it-IT" sz="1800" b="0" i="1">
                            <a:solidFill>
                              <a:srgbClr val="FF0000"/>
                            </a:solidFill>
                            <a:latin typeface="Cambria Math" panose="02040503050406030204" pitchFamily="18" charset="0"/>
                          </a:rPr>
                        </m:ctrlPr>
                      </m:sSubPr>
                      <m:e>
                        <m:r>
                          <a:rPr lang="it-IT" sz="1800" b="0" i="1">
                            <a:solidFill>
                              <a:srgbClr val="FF0000"/>
                            </a:solidFill>
                            <a:latin typeface="Cambria Math" panose="02040503050406030204" pitchFamily="18" charset="0"/>
                          </a:rPr>
                          <m:t>𝑄</m:t>
                        </m:r>
                      </m:e>
                      <m:sub>
                        <m:r>
                          <a:rPr lang="it-IT" sz="1800" b="0" i="1">
                            <a:solidFill>
                              <a:srgbClr val="FF0000"/>
                            </a:solidFill>
                            <a:latin typeface="Cambria Math" panose="02040503050406030204" pitchFamily="18" charset="0"/>
                          </a:rPr>
                          <m:t>𝑡𝑟𝑎𝑛𝑠𝑙</m:t>
                        </m:r>
                      </m:sub>
                    </m:sSub>
                    <m:r>
                      <a:rPr lang="it-IT" sz="1800" b="0" i="1">
                        <a:solidFill>
                          <a:srgbClr val="FF0000"/>
                        </a:solidFill>
                        <a:latin typeface="Cambria Math" panose="02040503050406030204" pitchFamily="18" charset="0"/>
                        <a:ea typeface="Cambria Math" panose="02040503050406030204" pitchFamily="18" charset="0"/>
                      </a:rPr>
                      <m:t>× </m:t>
                    </m:r>
                    <m:sSub>
                      <m:sSubPr>
                        <m:ctrlPr>
                          <a:rPr lang="it-IT" sz="1800" b="0" i="1">
                            <a:solidFill>
                              <a:srgbClr val="FF0000"/>
                            </a:solidFill>
                            <a:latin typeface="Cambria Math" panose="02040503050406030204" pitchFamily="18" charset="0"/>
                          </a:rPr>
                        </m:ctrlPr>
                      </m:sSubPr>
                      <m:e>
                        <m:r>
                          <a:rPr lang="it-IT" sz="1800" b="0" i="1">
                            <a:solidFill>
                              <a:srgbClr val="FF0000"/>
                            </a:solidFill>
                            <a:latin typeface="Cambria Math" panose="02040503050406030204" pitchFamily="18" charset="0"/>
                          </a:rPr>
                          <m:t>𝑄</m:t>
                        </m:r>
                      </m:e>
                      <m:sub>
                        <m:r>
                          <a:rPr lang="it-IT" sz="1800" b="0" i="1">
                            <a:solidFill>
                              <a:srgbClr val="FF0000"/>
                            </a:solidFill>
                            <a:latin typeface="Cambria Math" panose="02040503050406030204" pitchFamily="18" charset="0"/>
                          </a:rPr>
                          <m:t>𝑣𝑖𝑏</m:t>
                        </m:r>
                      </m:sub>
                    </m:sSub>
                    <m:r>
                      <a:rPr lang="it-IT" sz="1800" b="0" i="1">
                        <a:solidFill>
                          <a:srgbClr val="FF0000"/>
                        </a:solidFill>
                        <a:latin typeface="Cambria Math" panose="02040503050406030204" pitchFamily="18" charset="0"/>
                        <a:ea typeface="Cambria Math" panose="02040503050406030204" pitchFamily="18" charset="0"/>
                      </a:rPr>
                      <m:t>× </m:t>
                    </m:r>
                    <m:sSub>
                      <m:sSubPr>
                        <m:ctrlPr>
                          <a:rPr lang="it-IT" sz="1800" b="0" i="1">
                            <a:solidFill>
                              <a:srgbClr val="FF0000"/>
                            </a:solidFill>
                            <a:latin typeface="Cambria Math" panose="02040503050406030204" pitchFamily="18" charset="0"/>
                          </a:rPr>
                        </m:ctrlPr>
                      </m:sSubPr>
                      <m:e>
                        <m:r>
                          <a:rPr lang="it-IT" sz="1800" b="0" i="1">
                            <a:solidFill>
                              <a:srgbClr val="FF0000"/>
                            </a:solidFill>
                            <a:latin typeface="Cambria Math" panose="02040503050406030204" pitchFamily="18" charset="0"/>
                          </a:rPr>
                          <m:t>𝑄</m:t>
                        </m:r>
                      </m:e>
                      <m:sub>
                        <m:r>
                          <a:rPr lang="it-IT" sz="1800" b="0" i="1">
                            <a:solidFill>
                              <a:srgbClr val="FF0000"/>
                            </a:solidFill>
                            <a:latin typeface="Cambria Math" panose="02040503050406030204" pitchFamily="18" charset="0"/>
                          </a:rPr>
                          <m:t>𝑟𝑜𝑡</m:t>
                        </m:r>
                      </m:sub>
                    </m:sSub>
                    <m:r>
                      <a:rPr lang="it-IT" sz="1800" b="0" i="1">
                        <a:solidFill>
                          <a:srgbClr val="FF0000"/>
                        </a:solidFill>
                        <a:latin typeface="Cambria Math" panose="02040503050406030204" pitchFamily="18" charset="0"/>
                        <a:ea typeface="Cambria Math" panose="02040503050406030204" pitchFamily="18" charset="0"/>
                      </a:rPr>
                      <m:t>× </m:t>
                    </m:r>
                    <m:sSub>
                      <m:sSubPr>
                        <m:ctrlPr>
                          <a:rPr lang="it-IT" sz="1800" b="0" i="1">
                            <a:solidFill>
                              <a:srgbClr val="FF0000"/>
                            </a:solidFill>
                            <a:latin typeface="Cambria Math" panose="02040503050406030204" pitchFamily="18" charset="0"/>
                          </a:rPr>
                        </m:ctrlPr>
                      </m:sSubPr>
                      <m:e>
                        <m:r>
                          <a:rPr lang="it-IT" sz="1800" b="0" i="1">
                            <a:solidFill>
                              <a:srgbClr val="FF0000"/>
                            </a:solidFill>
                            <a:latin typeface="Cambria Math" panose="02040503050406030204" pitchFamily="18" charset="0"/>
                          </a:rPr>
                          <m:t>𝑄</m:t>
                        </m:r>
                      </m:e>
                      <m:sub>
                        <m:r>
                          <a:rPr lang="it-IT" sz="1800" b="0" i="1">
                            <a:solidFill>
                              <a:srgbClr val="FF0000"/>
                            </a:solidFill>
                            <a:latin typeface="Cambria Math" panose="02040503050406030204" pitchFamily="18" charset="0"/>
                          </a:rPr>
                          <m:t>𝑒𝑙</m:t>
                        </m:r>
                      </m:sub>
                    </m:sSub>
                    <m:r>
                      <a:rPr lang="it-IT" sz="1800" b="0" i="1">
                        <a:solidFill>
                          <a:srgbClr val="FF0000"/>
                        </a:solidFill>
                        <a:latin typeface="Cambria Math" panose="02040503050406030204" pitchFamily="18" charset="0"/>
                        <a:ea typeface="Cambria Math" panose="02040503050406030204" pitchFamily="18" charset="0"/>
                      </a:rPr>
                      <m:t> </m:t>
                    </m:r>
                  </m:oMath>
                </m:oMathPara>
              </a14:m>
              <a:endParaRPr lang="en-US" sz="1800">
                <a:solidFill>
                  <a:srgbClr val="FF0000"/>
                </a:solidFill>
              </a:endParaRPr>
            </a:p>
          </xdr:txBody>
        </xdr:sp>
      </mc:Choice>
      <mc:Fallback xmlns="">
        <xdr:sp macro="" textlink="">
          <xdr:nvSpPr>
            <xdr:cNvPr id="64" name="TextBox 63">
              <a:extLst>
                <a:ext uri="{FF2B5EF4-FFF2-40B4-BE49-F238E27FC236}">
                  <a16:creationId xmlns:a16="http://schemas.microsoft.com/office/drawing/2014/main" id="{36DE773A-EBE7-B048-229C-4569D4646CB1}"/>
                </a:ext>
              </a:extLst>
            </xdr:cNvPr>
            <xdr:cNvSpPr txBox="1"/>
          </xdr:nvSpPr>
          <xdr:spPr>
            <a:xfrm>
              <a:off x="7754121" y="27987330"/>
              <a:ext cx="4230317" cy="19879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rgbClr val="FF0000"/>
                  </a:solidFill>
                </a:rPr>
                <a:t>In</a:t>
              </a:r>
              <a:r>
                <a:rPr lang="en-US" sz="1600" baseline="0">
                  <a:solidFill>
                    <a:srgbClr val="FF0000"/>
                  </a:solidFill>
                </a:rPr>
                <a:t> this case though, we are considering a single H atom, so no bounds. As such, the vibrational parition function "looses meaning". It is then unequivocally defined as the unity, to apport a null contribute to the total partition function:</a:t>
              </a:r>
            </a:p>
            <a:p>
              <a:endParaRPr lang="en-US" sz="1600" baseline="0">
                <a:solidFill>
                  <a:srgbClr val="FF0000"/>
                </a:solidFill>
              </a:endParaRPr>
            </a:p>
            <a:p>
              <a:r>
                <a:rPr lang="it-IT" sz="1800" b="0" i="0">
                  <a:solidFill>
                    <a:srgbClr val="FF0000"/>
                  </a:solidFill>
                  <a:latin typeface="Cambria Math" panose="02040503050406030204" pitchFamily="18" charset="0"/>
                </a:rPr>
                <a:t>𝑄=𝑄_𝑡𝑟𝑎𝑛𝑠𝑙</a:t>
              </a:r>
              <a:r>
                <a:rPr lang="it-IT" sz="1800" b="0" i="0">
                  <a:solidFill>
                    <a:srgbClr val="FF0000"/>
                  </a:solidFill>
                  <a:latin typeface="Cambria Math" panose="02040503050406030204" pitchFamily="18" charset="0"/>
                  <a:ea typeface="Cambria Math" panose="02040503050406030204" pitchFamily="18" charset="0"/>
                </a:rPr>
                <a:t>× </a:t>
              </a:r>
              <a:r>
                <a:rPr lang="it-IT" sz="1800" b="0" i="0">
                  <a:solidFill>
                    <a:srgbClr val="FF0000"/>
                  </a:solidFill>
                  <a:latin typeface="Cambria Math" panose="02040503050406030204" pitchFamily="18" charset="0"/>
                </a:rPr>
                <a:t>𝑄_𝑣𝑖𝑏</a:t>
              </a:r>
              <a:r>
                <a:rPr lang="it-IT" sz="1800" b="0" i="0">
                  <a:solidFill>
                    <a:srgbClr val="FF0000"/>
                  </a:solidFill>
                  <a:latin typeface="Cambria Math" panose="02040503050406030204" pitchFamily="18" charset="0"/>
                  <a:ea typeface="Cambria Math" panose="02040503050406030204" pitchFamily="18" charset="0"/>
                </a:rPr>
                <a:t>× </a:t>
              </a:r>
              <a:r>
                <a:rPr lang="it-IT" sz="1800" b="0" i="0">
                  <a:solidFill>
                    <a:srgbClr val="FF0000"/>
                  </a:solidFill>
                  <a:latin typeface="Cambria Math" panose="02040503050406030204" pitchFamily="18" charset="0"/>
                </a:rPr>
                <a:t>𝑄_𝑟𝑜𝑡</a:t>
              </a:r>
              <a:r>
                <a:rPr lang="it-IT" sz="1800" b="0" i="0">
                  <a:solidFill>
                    <a:srgbClr val="FF0000"/>
                  </a:solidFill>
                  <a:latin typeface="Cambria Math" panose="02040503050406030204" pitchFamily="18" charset="0"/>
                  <a:ea typeface="Cambria Math" panose="02040503050406030204" pitchFamily="18" charset="0"/>
                </a:rPr>
                <a:t>× </a:t>
              </a:r>
              <a:r>
                <a:rPr lang="it-IT" sz="1800" b="0" i="0">
                  <a:solidFill>
                    <a:srgbClr val="FF0000"/>
                  </a:solidFill>
                  <a:latin typeface="Cambria Math" panose="02040503050406030204" pitchFamily="18" charset="0"/>
                </a:rPr>
                <a:t>𝑄_𝑒𝑙</a:t>
              </a:r>
              <a:r>
                <a:rPr lang="it-IT" sz="1800" b="0" i="0">
                  <a:solidFill>
                    <a:srgbClr val="FF0000"/>
                  </a:solidFill>
                  <a:latin typeface="Cambria Math" panose="02040503050406030204" pitchFamily="18" charset="0"/>
                  <a:ea typeface="Cambria Math" panose="02040503050406030204" pitchFamily="18" charset="0"/>
                </a:rPr>
                <a:t>  </a:t>
              </a:r>
              <a:endParaRPr lang="en-US" sz="1800">
                <a:solidFill>
                  <a:srgbClr val="FF0000"/>
                </a:solidFill>
              </a:endParaRPr>
            </a:p>
          </xdr:txBody>
        </xdr:sp>
      </mc:Fallback>
    </mc:AlternateContent>
    <xdr:clientData/>
  </xdr:twoCellAnchor>
  <xdr:twoCellAnchor>
    <xdr:from>
      <xdr:col>4</xdr:col>
      <xdr:colOff>276996</xdr:colOff>
      <xdr:row>136</xdr:row>
      <xdr:rowOff>205933</xdr:rowOff>
    </xdr:from>
    <xdr:to>
      <xdr:col>7</xdr:col>
      <xdr:colOff>760813</xdr:colOff>
      <xdr:row>142</xdr:row>
      <xdr:rowOff>127001</xdr:rowOff>
    </xdr:to>
    <mc:AlternateContent xmlns:mc="http://schemas.openxmlformats.org/markup-compatibility/2006" xmlns:a14="http://schemas.microsoft.com/office/drawing/2010/main">
      <mc:Choice Requires="a14">
        <xdr:sp macro="" textlink="">
          <xdr:nvSpPr>
            <xdr:cNvPr id="65" name="TextBox 64">
              <a:extLst>
                <a:ext uri="{FF2B5EF4-FFF2-40B4-BE49-F238E27FC236}">
                  <a16:creationId xmlns:a16="http://schemas.microsoft.com/office/drawing/2014/main" id="{636C47B2-64D8-CC42-95E0-D68C73853D56}"/>
                </a:ext>
              </a:extLst>
            </xdr:cNvPr>
            <xdr:cNvSpPr txBox="1"/>
          </xdr:nvSpPr>
          <xdr:spPr>
            <a:xfrm>
              <a:off x="5833246" y="35321433"/>
              <a:ext cx="4230317" cy="144506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aseline="0">
                  <a:solidFill>
                    <a:srgbClr val="FF0000"/>
                  </a:solidFill>
                </a:rPr>
                <a:t>For the same kind of reasoning exposed in the vibrational p.f. section, the rotational partition function value is also considered equal to 1:</a:t>
              </a:r>
            </a:p>
            <a:p>
              <a:endParaRPr lang="en-US" sz="1600" baseline="0">
                <a:solidFill>
                  <a:srgbClr val="FF0000"/>
                </a:solidFill>
              </a:endParaRPr>
            </a:p>
            <a:p>
              <a:pPr/>
              <a14:m>
                <m:oMathPara xmlns:m="http://schemas.openxmlformats.org/officeDocument/2006/math">
                  <m:oMathParaPr>
                    <m:jc m:val="centerGroup"/>
                  </m:oMathParaPr>
                  <m:oMath xmlns:m="http://schemas.openxmlformats.org/officeDocument/2006/math">
                    <m:r>
                      <a:rPr lang="it-IT" sz="1800" b="0" i="1">
                        <a:solidFill>
                          <a:srgbClr val="FF0000"/>
                        </a:solidFill>
                        <a:latin typeface="Cambria Math" panose="02040503050406030204" pitchFamily="18" charset="0"/>
                      </a:rPr>
                      <m:t>𝑄</m:t>
                    </m:r>
                    <m:r>
                      <a:rPr lang="it-IT" sz="1800" b="0" i="1">
                        <a:solidFill>
                          <a:srgbClr val="FF0000"/>
                        </a:solidFill>
                        <a:latin typeface="Cambria Math" panose="02040503050406030204" pitchFamily="18" charset="0"/>
                      </a:rPr>
                      <m:t>=</m:t>
                    </m:r>
                    <m:sSub>
                      <m:sSubPr>
                        <m:ctrlPr>
                          <a:rPr lang="it-IT" sz="1800" b="0" i="1">
                            <a:solidFill>
                              <a:srgbClr val="FF0000"/>
                            </a:solidFill>
                            <a:latin typeface="Cambria Math" panose="02040503050406030204" pitchFamily="18" charset="0"/>
                          </a:rPr>
                        </m:ctrlPr>
                      </m:sSubPr>
                      <m:e>
                        <m:r>
                          <a:rPr lang="it-IT" sz="1800" b="0" i="1">
                            <a:solidFill>
                              <a:srgbClr val="FF0000"/>
                            </a:solidFill>
                            <a:latin typeface="Cambria Math" panose="02040503050406030204" pitchFamily="18" charset="0"/>
                          </a:rPr>
                          <m:t>𝑄</m:t>
                        </m:r>
                      </m:e>
                      <m:sub>
                        <m:r>
                          <a:rPr lang="it-IT" sz="1800" b="0" i="1">
                            <a:solidFill>
                              <a:srgbClr val="FF0000"/>
                            </a:solidFill>
                            <a:latin typeface="Cambria Math" panose="02040503050406030204" pitchFamily="18" charset="0"/>
                          </a:rPr>
                          <m:t>𝑡𝑟𝑎𝑛𝑠𝑙</m:t>
                        </m:r>
                      </m:sub>
                    </m:sSub>
                    <m:r>
                      <a:rPr lang="it-IT" sz="1800" b="0" i="1">
                        <a:solidFill>
                          <a:srgbClr val="FF0000"/>
                        </a:solidFill>
                        <a:latin typeface="Cambria Math" panose="02040503050406030204" pitchFamily="18" charset="0"/>
                        <a:ea typeface="Cambria Math" panose="02040503050406030204" pitchFamily="18" charset="0"/>
                      </a:rPr>
                      <m:t>× </m:t>
                    </m:r>
                    <m:sSub>
                      <m:sSubPr>
                        <m:ctrlPr>
                          <a:rPr lang="it-IT" sz="1800" b="0" i="1">
                            <a:solidFill>
                              <a:srgbClr val="FF0000"/>
                            </a:solidFill>
                            <a:latin typeface="Cambria Math" panose="02040503050406030204" pitchFamily="18" charset="0"/>
                          </a:rPr>
                        </m:ctrlPr>
                      </m:sSubPr>
                      <m:e>
                        <m:r>
                          <a:rPr lang="it-IT" sz="1800" b="0" i="1">
                            <a:solidFill>
                              <a:srgbClr val="FF0000"/>
                            </a:solidFill>
                            <a:latin typeface="Cambria Math" panose="02040503050406030204" pitchFamily="18" charset="0"/>
                          </a:rPr>
                          <m:t>𝑄</m:t>
                        </m:r>
                      </m:e>
                      <m:sub>
                        <m:r>
                          <a:rPr lang="it-IT" sz="1800" b="0" i="1">
                            <a:solidFill>
                              <a:srgbClr val="FF0000"/>
                            </a:solidFill>
                            <a:latin typeface="Cambria Math" panose="02040503050406030204" pitchFamily="18" charset="0"/>
                          </a:rPr>
                          <m:t>𝑣𝑖𝑏</m:t>
                        </m:r>
                      </m:sub>
                    </m:sSub>
                    <m:r>
                      <a:rPr lang="it-IT" sz="1800" b="0" i="1">
                        <a:solidFill>
                          <a:srgbClr val="FF0000"/>
                        </a:solidFill>
                        <a:latin typeface="Cambria Math" panose="02040503050406030204" pitchFamily="18" charset="0"/>
                        <a:ea typeface="Cambria Math" panose="02040503050406030204" pitchFamily="18" charset="0"/>
                      </a:rPr>
                      <m:t>× </m:t>
                    </m:r>
                    <m:sSub>
                      <m:sSubPr>
                        <m:ctrlPr>
                          <a:rPr lang="it-IT" sz="1800" b="0" i="1">
                            <a:solidFill>
                              <a:srgbClr val="FF0000"/>
                            </a:solidFill>
                            <a:latin typeface="Cambria Math" panose="02040503050406030204" pitchFamily="18" charset="0"/>
                          </a:rPr>
                        </m:ctrlPr>
                      </m:sSubPr>
                      <m:e>
                        <m:r>
                          <a:rPr lang="it-IT" sz="1800" b="0" i="1">
                            <a:solidFill>
                              <a:srgbClr val="FF0000"/>
                            </a:solidFill>
                            <a:latin typeface="Cambria Math" panose="02040503050406030204" pitchFamily="18" charset="0"/>
                          </a:rPr>
                          <m:t>𝑄</m:t>
                        </m:r>
                      </m:e>
                      <m:sub>
                        <m:r>
                          <a:rPr lang="it-IT" sz="1800" b="0" i="1">
                            <a:solidFill>
                              <a:srgbClr val="FF0000"/>
                            </a:solidFill>
                            <a:latin typeface="Cambria Math" panose="02040503050406030204" pitchFamily="18" charset="0"/>
                          </a:rPr>
                          <m:t>𝑟𝑜𝑡</m:t>
                        </m:r>
                      </m:sub>
                    </m:sSub>
                    <m:r>
                      <a:rPr lang="it-IT" sz="1800" b="0" i="1">
                        <a:solidFill>
                          <a:srgbClr val="FF0000"/>
                        </a:solidFill>
                        <a:latin typeface="Cambria Math" panose="02040503050406030204" pitchFamily="18" charset="0"/>
                        <a:ea typeface="Cambria Math" panose="02040503050406030204" pitchFamily="18" charset="0"/>
                      </a:rPr>
                      <m:t>× </m:t>
                    </m:r>
                    <m:sSub>
                      <m:sSubPr>
                        <m:ctrlPr>
                          <a:rPr lang="it-IT" sz="1800" b="0" i="1">
                            <a:solidFill>
                              <a:srgbClr val="FF0000"/>
                            </a:solidFill>
                            <a:latin typeface="Cambria Math" panose="02040503050406030204" pitchFamily="18" charset="0"/>
                          </a:rPr>
                        </m:ctrlPr>
                      </m:sSubPr>
                      <m:e>
                        <m:r>
                          <a:rPr lang="it-IT" sz="1800" b="0" i="1">
                            <a:solidFill>
                              <a:srgbClr val="FF0000"/>
                            </a:solidFill>
                            <a:latin typeface="Cambria Math" panose="02040503050406030204" pitchFamily="18" charset="0"/>
                          </a:rPr>
                          <m:t>𝑄</m:t>
                        </m:r>
                      </m:e>
                      <m:sub>
                        <m:r>
                          <a:rPr lang="it-IT" sz="1800" b="0" i="1">
                            <a:solidFill>
                              <a:srgbClr val="FF0000"/>
                            </a:solidFill>
                            <a:latin typeface="Cambria Math" panose="02040503050406030204" pitchFamily="18" charset="0"/>
                          </a:rPr>
                          <m:t>𝑒𝑙</m:t>
                        </m:r>
                      </m:sub>
                    </m:sSub>
                    <m:r>
                      <a:rPr lang="it-IT" sz="1800" b="0" i="1">
                        <a:solidFill>
                          <a:srgbClr val="FF0000"/>
                        </a:solidFill>
                        <a:latin typeface="Cambria Math" panose="02040503050406030204" pitchFamily="18" charset="0"/>
                        <a:ea typeface="Cambria Math" panose="02040503050406030204" pitchFamily="18" charset="0"/>
                      </a:rPr>
                      <m:t> </m:t>
                    </m:r>
                  </m:oMath>
                </m:oMathPara>
              </a14:m>
              <a:endParaRPr lang="en-US" sz="1800">
                <a:solidFill>
                  <a:srgbClr val="FF0000"/>
                </a:solidFill>
              </a:endParaRPr>
            </a:p>
          </xdr:txBody>
        </xdr:sp>
      </mc:Choice>
      <mc:Fallback xmlns="">
        <xdr:sp macro="" textlink="">
          <xdr:nvSpPr>
            <xdr:cNvPr id="65" name="TextBox 64">
              <a:extLst>
                <a:ext uri="{FF2B5EF4-FFF2-40B4-BE49-F238E27FC236}">
                  <a16:creationId xmlns:a16="http://schemas.microsoft.com/office/drawing/2014/main" id="{636C47B2-64D8-CC42-95E0-D68C73853D56}"/>
                </a:ext>
              </a:extLst>
            </xdr:cNvPr>
            <xdr:cNvSpPr txBox="1"/>
          </xdr:nvSpPr>
          <xdr:spPr>
            <a:xfrm>
              <a:off x="5833246" y="35321433"/>
              <a:ext cx="4230317" cy="144506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aseline="0">
                  <a:solidFill>
                    <a:srgbClr val="FF0000"/>
                  </a:solidFill>
                </a:rPr>
                <a:t>For the same kind of reasoning exposed in the vibrational p.f. section, the rotational partition function value is also considered equal to 1:</a:t>
              </a:r>
            </a:p>
            <a:p>
              <a:endParaRPr lang="en-US" sz="1600" baseline="0">
                <a:solidFill>
                  <a:srgbClr val="FF0000"/>
                </a:solidFill>
              </a:endParaRPr>
            </a:p>
            <a:p>
              <a:r>
                <a:rPr lang="it-IT" sz="1800" b="0" i="0">
                  <a:solidFill>
                    <a:srgbClr val="FF0000"/>
                  </a:solidFill>
                  <a:latin typeface="Cambria Math" panose="02040503050406030204" pitchFamily="18" charset="0"/>
                </a:rPr>
                <a:t>𝑄=𝑄_𝑡𝑟𝑎𝑛𝑠𝑙</a:t>
              </a:r>
              <a:r>
                <a:rPr lang="it-IT" sz="1800" b="0" i="0">
                  <a:solidFill>
                    <a:srgbClr val="FF0000"/>
                  </a:solidFill>
                  <a:latin typeface="Cambria Math" panose="02040503050406030204" pitchFamily="18" charset="0"/>
                  <a:ea typeface="Cambria Math" panose="02040503050406030204" pitchFamily="18" charset="0"/>
                </a:rPr>
                <a:t>× </a:t>
              </a:r>
              <a:r>
                <a:rPr lang="it-IT" sz="1800" b="0" i="0">
                  <a:solidFill>
                    <a:srgbClr val="FF0000"/>
                  </a:solidFill>
                  <a:latin typeface="Cambria Math" panose="02040503050406030204" pitchFamily="18" charset="0"/>
                </a:rPr>
                <a:t>𝑄_𝑣𝑖𝑏</a:t>
              </a:r>
              <a:r>
                <a:rPr lang="it-IT" sz="1800" b="0" i="0">
                  <a:solidFill>
                    <a:srgbClr val="FF0000"/>
                  </a:solidFill>
                  <a:latin typeface="Cambria Math" panose="02040503050406030204" pitchFamily="18" charset="0"/>
                  <a:ea typeface="Cambria Math" panose="02040503050406030204" pitchFamily="18" charset="0"/>
                </a:rPr>
                <a:t>× </a:t>
              </a:r>
              <a:r>
                <a:rPr lang="it-IT" sz="1800" b="0" i="0">
                  <a:solidFill>
                    <a:srgbClr val="FF0000"/>
                  </a:solidFill>
                  <a:latin typeface="Cambria Math" panose="02040503050406030204" pitchFamily="18" charset="0"/>
                </a:rPr>
                <a:t>𝑄_𝑟𝑜𝑡</a:t>
              </a:r>
              <a:r>
                <a:rPr lang="it-IT" sz="1800" b="0" i="0">
                  <a:solidFill>
                    <a:srgbClr val="FF0000"/>
                  </a:solidFill>
                  <a:latin typeface="Cambria Math" panose="02040503050406030204" pitchFamily="18" charset="0"/>
                  <a:ea typeface="Cambria Math" panose="02040503050406030204" pitchFamily="18" charset="0"/>
                </a:rPr>
                <a:t>× </a:t>
              </a:r>
              <a:r>
                <a:rPr lang="it-IT" sz="1800" b="0" i="0">
                  <a:solidFill>
                    <a:srgbClr val="FF0000"/>
                  </a:solidFill>
                  <a:latin typeface="Cambria Math" panose="02040503050406030204" pitchFamily="18" charset="0"/>
                </a:rPr>
                <a:t>𝑄_𝑒𝑙</a:t>
              </a:r>
              <a:r>
                <a:rPr lang="it-IT" sz="1800" b="0" i="0">
                  <a:solidFill>
                    <a:srgbClr val="FF0000"/>
                  </a:solidFill>
                  <a:latin typeface="Cambria Math" panose="02040503050406030204" pitchFamily="18" charset="0"/>
                  <a:ea typeface="Cambria Math" panose="02040503050406030204" pitchFamily="18" charset="0"/>
                </a:rPr>
                <a:t>  </a:t>
              </a:r>
              <a:endParaRPr lang="en-US" sz="1800">
                <a:solidFill>
                  <a:srgbClr val="FF0000"/>
                </a:solidFill>
              </a:endParaRPr>
            </a:p>
          </xdr:txBody>
        </xdr:sp>
      </mc:Fallback>
    </mc:AlternateContent>
    <xdr:clientData/>
  </xdr:twoCellAnchor>
  <xdr:twoCellAnchor>
    <xdr:from>
      <xdr:col>4</xdr:col>
      <xdr:colOff>460375</xdr:colOff>
      <xdr:row>174</xdr:row>
      <xdr:rowOff>31750</xdr:rowOff>
    </xdr:from>
    <xdr:to>
      <xdr:col>8</xdr:col>
      <xdr:colOff>86942</xdr:colOff>
      <xdr:row>176</xdr:row>
      <xdr:rowOff>254000</xdr:rowOff>
    </xdr:to>
    <xdr:sp macro="" textlink="">
      <xdr:nvSpPr>
        <xdr:cNvPr id="66" name="TextBox 65">
          <a:extLst>
            <a:ext uri="{FF2B5EF4-FFF2-40B4-BE49-F238E27FC236}">
              <a16:creationId xmlns:a16="http://schemas.microsoft.com/office/drawing/2014/main" id="{261CAADB-9274-A84D-B0B5-6A456FA540B7}"/>
            </a:ext>
          </a:extLst>
        </xdr:cNvPr>
        <xdr:cNvSpPr txBox="1"/>
      </xdr:nvSpPr>
      <xdr:spPr>
        <a:xfrm>
          <a:off x="6016625" y="44434125"/>
          <a:ext cx="4230317" cy="714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aseline="0">
              <a:solidFill>
                <a:srgbClr val="FF0000"/>
              </a:solidFill>
            </a:rPr>
            <a:t>Single H atom is a radical. As such, the spin multiplicity is =2 (one upaired electron)</a:t>
          </a:r>
          <a:endParaRPr lang="en-US" sz="1800">
            <a:solidFill>
              <a:srgbClr val="FF0000"/>
            </a:solidFill>
          </a:endParaRPr>
        </a:p>
      </xdr:txBody>
    </xdr:sp>
    <xdr:clientData/>
  </xdr:twoCellAnchor>
  <xdr:twoCellAnchor>
    <xdr:from>
      <xdr:col>16</xdr:col>
      <xdr:colOff>1577878</xdr:colOff>
      <xdr:row>55</xdr:row>
      <xdr:rowOff>0</xdr:rowOff>
    </xdr:from>
    <xdr:to>
      <xdr:col>17</xdr:col>
      <xdr:colOff>1039091</xdr:colOff>
      <xdr:row>195</xdr:row>
      <xdr:rowOff>153939</xdr:rowOff>
    </xdr:to>
    <xdr:sp macro="" textlink="">
      <xdr:nvSpPr>
        <xdr:cNvPr id="79" name="Right Brace 78">
          <a:extLst>
            <a:ext uri="{FF2B5EF4-FFF2-40B4-BE49-F238E27FC236}">
              <a16:creationId xmlns:a16="http://schemas.microsoft.com/office/drawing/2014/main" id="{82D05204-66C2-8147-B2AA-662987CEB768}"/>
            </a:ext>
          </a:extLst>
        </xdr:cNvPr>
        <xdr:cNvSpPr/>
      </xdr:nvSpPr>
      <xdr:spPr>
        <a:xfrm>
          <a:off x="20996178" y="14897100"/>
          <a:ext cx="1061413" cy="35053539"/>
        </a:xfrm>
        <a:prstGeom prst="rightBrace">
          <a:avLst/>
        </a:prstGeom>
        <a:ln w="57150"/>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23</xdr:col>
      <xdr:colOff>359975</xdr:colOff>
      <xdr:row>92</xdr:row>
      <xdr:rowOff>168476</xdr:rowOff>
    </xdr:from>
    <xdr:to>
      <xdr:col>25</xdr:col>
      <xdr:colOff>520551</xdr:colOff>
      <xdr:row>92</xdr:row>
      <xdr:rowOff>183073</xdr:rowOff>
    </xdr:to>
    <xdr:cxnSp macro="">
      <xdr:nvCxnSpPr>
        <xdr:cNvPr id="80" name="Straight Arrow Connector 79">
          <a:extLst>
            <a:ext uri="{FF2B5EF4-FFF2-40B4-BE49-F238E27FC236}">
              <a16:creationId xmlns:a16="http://schemas.microsoft.com/office/drawing/2014/main" id="{44728C5E-32FD-254D-99C0-6FF9345555AF}"/>
            </a:ext>
          </a:extLst>
        </xdr:cNvPr>
        <xdr:cNvCxnSpPr/>
      </xdr:nvCxnSpPr>
      <xdr:spPr>
        <a:xfrm>
          <a:off x="28084075" y="24069876"/>
          <a:ext cx="22814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25</xdr:col>
      <xdr:colOff>708890</xdr:colOff>
      <xdr:row>91</xdr:row>
      <xdr:rowOff>229753</xdr:rowOff>
    </xdr:from>
    <xdr:ext cx="3999878" cy="315856"/>
    <mc:AlternateContent xmlns:mc="http://schemas.openxmlformats.org/markup-compatibility/2006" xmlns:a14="http://schemas.microsoft.com/office/drawing/2010/main">
      <mc:Choice Requires="a14">
        <xdr:sp macro="" textlink="">
          <xdr:nvSpPr>
            <xdr:cNvPr id="81" name="TextBox 80">
              <a:extLst>
                <a:ext uri="{FF2B5EF4-FFF2-40B4-BE49-F238E27FC236}">
                  <a16:creationId xmlns:a16="http://schemas.microsoft.com/office/drawing/2014/main" id="{95708570-B6AF-6144-A4E9-E96E4F4C9E6B}"/>
                </a:ext>
              </a:extLst>
            </xdr:cNvPr>
            <xdr:cNvSpPr txBox="1"/>
          </xdr:nvSpPr>
          <xdr:spPr>
            <a:xfrm>
              <a:off x="30553890" y="23851753"/>
              <a:ext cx="3999878" cy="31585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𝑇𝑂𝑇</m:t>
                      </m:r>
                    </m:sub>
                  </m:sSub>
                  <m:r>
                    <a:rPr lang="it-IT" sz="2000" b="0" i="1">
                      <a:latin typeface="Cambria Math" panose="02040503050406030204" pitchFamily="18" charset="0"/>
                    </a:rPr>
                    <m:t>= </m:t>
                  </m:r>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𝑇𝑅𝐴𝑁𝑆𝐿</m:t>
                      </m:r>
                    </m:sub>
                  </m:sSub>
                  <m:r>
                    <a:rPr lang="it-IT" sz="2000" b="0" i="1">
                      <a:latin typeface="Cambria Math" panose="02040503050406030204" pitchFamily="18" charset="0"/>
                      <a:ea typeface="Cambria Math" panose="02040503050406030204" pitchFamily="18" charset="0"/>
                    </a:rPr>
                    <m:t>× </m:t>
                  </m:r>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𝑉𝐼𝐵</m:t>
                      </m:r>
                    </m:sub>
                  </m:sSub>
                  <m:r>
                    <a:rPr lang="it-IT" sz="2000" b="0" i="1">
                      <a:latin typeface="Cambria Math" panose="02040503050406030204" pitchFamily="18" charset="0"/>
                      <a:ea typeface="Cambria Math" panose="02040503050406030204" pitchFamily="18" charset="0"/>
                    </a:rPr>
                    <m:t>×</m:t>
                  </m:r>
                </m:oMath>
              </a14:m>
              <a:r>
                <a:rPr lang="en-US" sz="2000"/>
                <a:t> </a:t>
              </a:r>
              <a14:m>
                <m:oMath xmlns:m="http://schemas.openxmlformats.org/officeDocument/2006/math">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𝑅𝑂𝑇</m:t>
                      </m:r>
                    </m:sub>
                  </m:sSub>
                  <m:r>
                    <a:rPr lang="it-IT" sz="2000" b="0" i="1">
                      <a:latin typeface="Cambria Math" panose="02040503050406030204" pitchFamily="18" charset="0"/>
                      <a:ea typeface="Cambria Math" panose="02040503050406030204" pitchFamily="18" charset="0"/>
                    </a:rPr>
                    <m:t>×</m:t>
                  </m:r>
                </m:oMath>
              </a14:m>
              <a:r>
                <a:rPr lang="en-US" sz="2000"/>
                <a:t> </a:t>
              </a:r>
              <a14:m>
                <m:oMath xmlns:m="http://schemas.openxmlformats.org/officeDocument/2006/math">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𝐸𝐿</m:t>
                      </m:r>
                    </m:sub>
                  </m:sSub>
                </m:oMath>
              </a14:m>
              <a:endParaRPr lang="en-US" sz="2000"/>
            </a:p>
          </xdr:txBody>
        </xdr:sp>
      </mc:Choice>
      <mc:Fallback xmlns="">
        <xdr:sp macro="" textlink="">
          <xdr:nvSpPr>
            <xdr:cNvPr id="81" name="TextBox 80">
              <a:extLst>
                <a:ext uri="{FF2B5EF4-FFF2-40B4-BE49-F238E27FC236}">
                  <a16:creationId xmlns:a16="http://schemas.microsoft.com/office/drawing/2014/main" id="{95708570-B6AF-6144-A4E9-E96E4F4C9E6B}"/>
                </a:ext>
              </a:extLst>
            </xdr:cNvPr>
            <xdr:cNvSpPr txBox="1"/>
          </xdr:nvSpPr>
          <xdr:spPr>
            <a:xfrm>
              <a:off x="30553890" y="23851753"/>
              <a:ext cx="3999878" cy="31585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2000" b="0" i="0">
                  <a:latin typeface="Cambria Math" panose="02040503050406030204" pitchFamily="18" charset="0"/>
                </a:rPr>
                <a:t>𝑄_𝑇𝑂𝑇= 𝑄_𝑇𝑅𝐴𝑁𝑆𝐿</a:t>
              </a:r>
              <a:r>
                <a:rPr lang="it-IT" sz="2000" b="0" i="0">
                  <a:latin typeface="Cambria Math" panose="02040503050406030204" pitchFamily="18" charset="0"/>
                  <a:ea typeface="Cambria Math" panose="02040503050406030204" pitchFamily="18" charset="0"/>
                </a:rPr>
                <a:t>× </a:t>
              </a:r>
              <a:r>
                <a:rPr lang="it-IT" sz="2000" b="0" i="0">
                  <a:latin typeface="Cambria Math" panose="02040503050406030204" pitchFamily="18" charset="0"/>
                </a:rPr>
                <a:t>𝑄_𝑉𝐼𝐵</a:t>
              </a:r>
              <a:r>
                <a:rPr lang="it-IT" sz="2000" b="0" i="0">
                  <a:latin typeface="Cambria Math" panose="02040503050406030204" pitchFamily="18" charset="0"/>
                  <a:ea typeface="Cambria Math" panose="02040503050406030204" pitchFamily="18" charset="0"/>
                </a:rPr>
                <a:t>×</a:t>
              </a:r>
              <a:r>
                <a:rPr lang="en-US" sz="2000"/>
                <a:t> </a:t>
              </a:r>
              <a:r>
                <a:rPr lang="it-IT" sz="2000" b="0" i="0">
                  <a:latin typeface="Cambria Math" panose="02040503050406030204" pitchFamily="18" charset="0"/>
                </a:rPr>
                <a:t>𝑄_𝑅𝑂𝑇</a:t>
              </a:r>
              <a:r>
                <a:rPr lang="it-IT" sz="2000" b="0" i="0">
                  <a:latin typeface="Cambria Math" panose="02040503050406030204" pitchFamily="18" charset="0"/>
                  <a:ea typeface="Cambria Math" panose="02040503050406030204" pitchFamily="18" charset="0"/>
                </a:rPr>
                <a:t>×</a:t>
              </a:r>
              <a:r>
                <a:rPr lang="en-US" sz="2000"/>
                <a:t> </a:t>
              </a:r>
              <a:r>
                <a:rPr lang="it-IT" sz="2000" b="0" i="0">
                  <a:latin typeface="Cambria Math" panose="02040503050406030204" pitchFamily="18" charset="0"/>
                </a:rPr>
                <a:t>𝑄_𝐸𝐿</a:t>
              </a:r>
              <a:endParaRPr lang="en-US" sz="2000"/>
            </a:p>
          </xdr:txBody>
        </xdr:sp>
      </mc:Fallback>
    </mc:AlternateContent>
    <xdr:clientData/>
  </xdr:oneCellAnchor>
  <xdr:twoCellAnchor>
    <xdr:from>
      <xdr:col>20</xdr:col>
      <xdr:colOff>856511</xdr:colOff>
      <xdr:row>96</xdr:row>
      <xdr:rowOff>14766</xdr:rowOff>
    </xdr:from>
    <xdr:to>
      <xdr:col>25</xdr:col>
      <xdr:colOff>782674</xdr:colOff>
      <xdr:row>99</xdr:row>
      <xdr:rowOff>132906</xdr:rowOff>
    </xdr:to>
    <xdr:sp macro="" textlink="">
      <xdr:nvSpPr>
        <xdr:cNvPr id="82" name="TextBox 81">
          <a:extLst>
            <a:ext uri="{FF2B5EF4-FFF2-40B4-BE49-F238E27FC236}">
              <a16:creationId xmlns:a16="http://schemas.microsoft.com/office/drawing/2014/main" id="{27C8E64C-05E3-C141-AE47-E5311AE2187C}"/>
            </a:ext>
          </a:extLst>
        </xdr:cNvPr>
        <xdr:cNvSpPr txBox="1"/>
      </xdr:nvSpPr>
      <xdr:spPr>
        <a:xfrm>
          <a:off x="25050011" y="25008366"/>
          <a:ext cx="5577663" cy="8674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baseline="0">
              <a:solidFill>
                <a:srgbClr val="FF0000"/>
              </a:solidFill>
            </a:rPr>
            <a:t>NOTE:To compute Q</a:t>
          </a:r>
          <a:r>
            <a:rPr lang="en-US" sz="1600" b="1" baseline="-25000">
              <a:solidFill>
                <a:srgbClr val="FF0000"/>
              </a:solidFill>
            </a:rPr>
            <a:t>tot</a:t>
          </a:r>
          <a:r>
            <a:rPr lang="en-US" sz="1600" b="1" baseline="0">
              <a:solidFill>
                <a:srgbClr val="FF0000"/>
              </a:solidFill>
            </a:rPr>
            <a:t>, the formula used to get Q</a:t>
          </a:r>
          <a:r>
            <a:rPr lang="en-US" sz="1600" b="1" baseline="-25000">
              <a:solidFill>
                <a:srgbClr val="FF0000"/>
              </a:solidFill>
            </a:rPr>
            <a:t>rot</a:t>
          </a:r>
          <a:r>
            <a:rPr lang="en-US" sz="1600" b="1" baseline="0">
              <a:solidFill>
                <a:srgbClr val="FF0000"/>
              </a:solidFill>
            </a:rPr>
            <a:t> is the one taken form the gaussian manual</a:t>
          </a:r>
          <a:endParaRPr lang="en-US" sz="1600" b="1">
            <a:solidFill>
              <a:srgbClr val="FF0000"/>
            </a:solidFill>
          </a:endParaRPr>
        </a:p>
      </xdr:txBody>
    </xdr:sp>
    <xdr:clientData/>
  </xdr:twoCellAnchor>
  <xdr:twoCellAnchor>
    <xdr:from>
      <xdr:col>27</xdr:col>
      <xdr:colOff>810845</xdr:colOff>
      <xdr:row>109</xdr:row>
      <xdr:rowOff>156307</xdr:rowOff>
    </xdr:from>
    <xdr:to>
      <xdr:col>33</xdr:col>
      <xdr:colOff>371230</xdr:colOff>
      <xdr:row>122</xdr:row>
      <xdr:rowOff>72292</xdr:rowOff>
    </xdr:to>
    <xdr:graphicFrame macro="">
      <xdr:nvGraphicFramePr>
        <xdr:cNvPr id="83" name="Chart 82">
          <a:extLst>
            <a:ext uri="{FF2B5EF4-FFF2-40B4-BE49-F238E27FC236}">
              <a16:creationId xmlns:a16="http://schemas.microsoft.com/office/drawing/2014/main" id="{9D6E9985-4DD7-2891-4A78-DCB815BB71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334945</xdr:colOff>
      <xdr:row>26</xdr:row>
      <xdr:rowOff>139561</xdr:rowOff>
    </xdr:from>
    <xdr:to>
      <xdr:col>5</xdr:col>
      <xdr:colOff>181429</xdr:colOff>
      <xdr:row>26</xdr:row>
      <xdr:rowOff>139561</xdr:rowOff>
    </xdr:to>
    <xdr:cxnSp macro="">
      <xdr:nvCxnSpPr>
        <xdr:cNvPr id="2" name="Straight Arrow Connector 1">
          <a:extLst>
            <a:ext uri="{FF2B5EF4-FFF2-40B4-BE49-F238E27FC236}">
              <a16:creationId xmlns:a16="http://schemas.microsoft.com/office/drawing/2014/main" id="{302742A5-67F4-CA4A-8042-6147471ED643}"/>
            </a:ext>
          </a:extLst>
        </xdr:cNvPr>
        <xdr:cNvCxnSpPr/>
      </xdr:nvCxnSpPr>
      <xdr:spPr>
        <a:xfrm>
          <a:off x="5884845" y="7073761"/>
          <a:ext cx="1218084"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4</xdr:col>
      <xdr:colOff>291961</xdr:colOff>
      <xdr:row>30</xdr:row>
      <xdr:rowOff>138445</xdr:rowOff>
    </xdr:from>
    <xdr:to>
      <xdr:col>5</xdr:col>
      <xdr:colOff>138445</xdr:colOff>
      <xdr:row>30</xdr:row>
      <xdr:rowOff>138445</xdr:rowOff>
    </xdr:to>
    <xdr:cxnSp macro="">
      <xdr:nvCxnSpPr>
        <xdr:cNvPr id="3" name="Straight Arrow Connector 2">
          <a:extLst>
            <a:ext uri="{FF2B5EF4-FFF2-40B4-BE49-F238E27FC236}">
              <a16:creationId xmlns:a16="http://schemas.microsoft.com/office/drawing/2014/main" id="{C282DBCC-F07B-4540-A2E4-E9C86AB22A6C}"/>
            </a:ext>
          </a:extLst>
        </xdr:cNvPr>
        <xdr:cNvCxnSpPr/>
      </xdr:nvCxnSpPr>
      <xdr:spPr>
        <a:xfrm>
          <a:off x="5841861" y="8088645"/>
          <a:ext cx="1218084"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5</xdr:col>
      <xdr:colOff>63430</xdr:colOff>
      <xdr:row>29</xdr:row>
      <xdr:rowOff>165101</xdr:rowOff>
    </xdr:from>
    <xdr:ext cx="1638370" cy="401457"/>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AC388BC6-6285-A44F-9966-FDF685C566A1}"/>
                </a:ext>
              </a:extLst>
            </xdr:cNvPr>
            <xdr:cNvSpPr txBox="1"/>
          </xdr:nvSpPr>
          <xdr:spPr>
            <a:xfrm>
              <a:off x="6984930" y="7861301"/>
              <a:ext cx="1638370" cy="4014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300" b="0" i="1">
                            <a:latin typeface="Cambria Math" panose="02040503050406030204" pitchFamily="18" charset="0"/>
                          </a:rPr>
                        </m:ctrlPr>
                      </m:sSubPr>
                      <m:e>
                        <m:r>
                          <a:rPr lang="it-IT" sz="1300" b="0" i="1">
                            <a:latin typeface="Cambria Math" panose="02040503050406030204" pitchFamily="18" charset="0"/>
                          </a:rPr>
                          <m:t>𝐵</m:t>
                        </m:r>
                      </m:e>
                      <m:sub>
                        <m:r>
                          <a:rPr lang="it-IT" sz="1300" b="0" i="1">
                            <a:latin typeface="Cambria Math" panose="02040503050406030204" pitchFamily="18" charset="0"/>
                          </a:rPr>
                          <m:t>𝑟𝑜𝑡</m:t>
                        </m:r>
                      </m:sub>
                    </m:sSub>
                    <m:r>
                      <a:rPr lang="it-IT" sz="1300" b="0" i="1">
                        <a:latin typeface="Cambria Math" panose="02040503050406030204" pitchFamily="18" charset="0"/>
                      </a:rPr>
                      <m:t>= </m:t>
                    </m:r>
                    <m:f>
                      <m:fPr>
                        <m:ctrlPr>
                          <a:rPr lang="it-IT" sz="1300" b="0" i="1">
                            <a:latin typeface="Cambria Math" panose="02040503050406030204" pitchFamily="18" charset="0"/>
                          </a:rPr>
                        </m:ctrlPr>
                      </m:fPr>
                      <m:num>
                        <m:sSup>
                          <m:sSupPr>
                            <m:ctrlPr>
                              <a:rPr lang="it-IT" sz="1300" b="0" i="1">
                                <a:latin typeface="Cambria Math" panose="02040503050406030204" pitchFamily="18" charset="0"/>
                              </a:rPr>
                            </m:ctrlPr>
                          </m:sSupPr>
                          <m:e>
                            <m:r>
                              <a:rPr lang="it-IT" sz="1300" b="0" i="1">
                                <a:latin typeface="Cambria Math" panose="02040503050406030204" pitchFamily="18" charset="0"/>
                              </a:rPr>
                              <m:t>h</m:t>
                            </m:r>
                          </m:e>
                          <m:sup>
                            <m:r>
                              <a:rPr lang="it-IT" sz="1300" b="0" i="1">
                                <a:latin typeface="Cambria Math" panose="02040503050406030204" pitchFamily="18" charset="0"/>
                              </a:rPr>
                              <m:t>2</m:t>
                            </m:r>
                          </m:sup>
                        </m:sSup>
                      </m:num>
                      <m:den>
                        <m:r>
                          <a:rPr lang="it-IT" sz="1300" b="0" i="1">
                            <a:latin typeface="Cambria Math" panose="02040503050406030204" pitchFamily="18" charset="0"/>
                          </a:rPr>
                          <m:t>8</m:t>
                        </m:r>
                        <m:sSup>
                          <m:sSupPr>
                            <m:ctrlPr>
                              <a:rPr lang="it-IT" sz="1300" b="0" i="1">
                                <a:latin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𝜋</m:t>
                            </m:r>
                          </m:e>
                          <m:sup>
                            <m:r>
                              <a:rPr lang="it-IT" sz="1300" b="0" i="1">
                                <a:latin typeface="Cambria Math" panose="02040503050406030204" pitchFamily="18" charset="0"/>
                              </a:rPr>
                              <m:t>2</m:t>
                            </m:r>
                          </m:sup>
                        </m:sSup>
                        <m:r>
                          <a:rPr lang="it-IT" sz="1300" b="0" i="1">
                            <a:latin typeface="Cambria Math" panose="02040503050406030204" pitchFamily="18" charset="0"/>
                            <a:ea typeface="Cambria Math" panose="02040503050406030204" pitchFamily="18" charset="0"/>
                          </a:rPr>
                          <m:t>𝐼</m:t>
                        </m:r>
                      </m:den>
                    </m:f>
                    <m:r>
                      <a:rPr lang="it-IT" sz="1300" b="0" i="1">
                        <a:latin typeface="Cambria Math" panose="02040503050406030204" pitchFamily="18" charset="0"/>
                      </a:rPr>
                      <m:t>=</m:t>
                    </m:r>
                    <m:f>
                      <m:fPr>
                        <m:ctrlPr>
                          <a:rPr lang="it-IT" sz="1300" b="0" i="1">
                            <a:latin typeface="Cambria Math" panose="02040503050406030204" pitchFamily="18" charset="0"/>
                          </a:rPr>
                        </m:ctrlPr>
                      </m:fPr>
                      <m:num>
                        <m:sSup>
                          <m:sSupPr>
                            <m:ctrlPr>
                              <a:rPr lang="it-IT" sz="1300" b="0" i="1">
                                <a:latin typeface="Cambria Math" panose="02040503050406030204" pitchFamily="18" charset="0"/>
                                <a:ea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ℏ</m:t>
                            </m:r>
                          </m:e>
                          <m:sup>
                            <m:r>
                              <a:rPr lang="it-IT" sz="1300" b="0" i="1">
                                <a:latin typeface="Cambria Math" panose="02040503050406030204" pitchFamily="18" charset="0"/>
                                <a:ea typeface="Cambria Math" panose="02040503050406030204" pitchFamily="18" charset="0"/>
                              </a:rPr>
                              <m:t>2</m:t>
                            </m:r>
                          </m:sup>
                        </m:sSup>
                      </m:num>
                      <m:den>
                        <m:r>
                          <a:rPr lang="it-IT" sz="1300" b="0" i="1">
                            <a:latin typeface="Cambria Math" panose="02040503050406030204" pitchFamily="18" charset="0"/>
                          </a:rPr>
                          <m:t>2</m:t>
                        </m:r>
                        <m:r>
                          <a:rPr lang="it-IT" sz="1300" b="0" i="1">
                            <a:latin typeface="Cambria Math" panose="02040503050406030204" pitchFamily="18" charset="0"/>
                          </a:rPr>
                          <m:t>𝐼</m:t>
                        </m:r>
                      </m:den>
                    </m:f>
                  </m:oMath>
                </m:oMathPara>
              </a14:m>
              <a:endParaRPr lang="en-US" sz="1300"/>
            </a:p>
          </xdr:txBody>
        </xdr:sp>
      </mc:Choice>
      <mc:Fallback xmlns="">
        <xdr:sp macro="" textlink="">
          <xdr:nvSpPr>
            <xdr:cNvPr id="4" name="TextBox 3">
              <a:extLst>
                <a:ext uri="{FF2B5EF4-FFF2-40B4-BE49-F238E27FC236}">
                  <a16:creationId xmlns:a16="http://schemas.microsoft.com/office/drawing/2014/main" id="{AC388BC6-6285-A44F-9966-FDF685C566A1}"/>
                </a:ext>
              </a:extLst>
            </xdr:cNvPr>
            <xdr:cNvSpPr txBox="1"/>
          </xdr:nvSpPr>
          <xdr:spPr>
            <a:xfrm>
              <a:off x="6984930" y="7861301"/>
              <a:ext cx="1638370" cy="4014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300" b="0" i="0">
                  <a:latin typeface="Cambria Math" panose="02040503050406030204" pitchFamily="18" charset="0"/>
                </a:rPr>
                <a:t>𝐵_𝑟𝑜𝑡=  ℎ^2/(8</a:t>
              </a:r>
              <a:r>
                <a:rPr lang="it-IT" sz="1300" b="0" i="0">
                  <a:latin typeface="Cambria Math" panose="02040503050406030204" pitchFamily="18" charset="0"/>
                  <a:ea typeface="Cambria Math" panose="02040503050406030204" pitchFamily="18" charset="0"/>
                </a:rPr>
                <a:t>𝜋^</a:t>
              </a:r>
              <a:r>
                <a:rPr lang="it-IT" sz="1300" b="0" i="0">
                  <a:latin typeface="Cambria Math" panose="02040503050406030204" pitchFamily="18" charset="0"/>
                </a:rPr>
                <a:t>2</a:t>
              </a:r>
              <a:r>
                <a:rPr lang="it-IT" sz="1300" b="0" i="0">
                  <a:latin typeface="Cambria Math" panose="02040503050406030204" pitchFamily="18" charset="0"/>
                  <a:ea typeface="Cambria Math" panose="02040503050406030204" pitchFamily="18" charset="0"/>
                </a:rPr>
                <a:t> 𝐼)</a:t>
              </a:r>
              <a:r>
                <a:rPr lang="it-IT" sz="1300" b="0" i="0">
                  <a:latin typeface="Cambria Math" panose="02040503050406030204" pitchFamily="18" charset="0"/>
                </a:rPr>
                <a:t>=</a:t>
              </a:r>
              <a:r>
                <a:rPr lang="it-IT" sz="1300" b="0" i="0">
                  <a:latin typeface="Cambria Math" panose="02040503050406030204" pitchFamily="18" charset="0"/>
                  <a:ea typeface="Cambria Math" panose="02040503050406030204" pitchFamily="18" charset="0"/>
                </a:rPr>
                <a:t>ℏ^2/</a:t>
              </a:r>
              <a:r>
                <a:rPr lang="it-IT" sz="1300" b="0" i="0">
                  <a:latin typeface="Cambria Math" panose="02040503050406030204" pitchFamily="18" charset="0"/>
                </a:rPr>
                <a:t>2𝐼</a:t>
              </a:r>
              <a:endParaRPr lang="en-US" sz="1300"/>
            </a:p>
          </xdr:txBody>
        </xdr:sp>
      </mc:Fallback>
    </mc:AlternateContent>
    <xdr:clientData/>
  </xdr:oneCellAnchor>
  <xdr:oneCellAnchor>
    <xdr:from>
      <xdr:col>5</xdr:col>
      <xdr:colOff>102893</xdr:colOff>
      <xdr:row>25</xdr:row>
      <xdr:rowOff>141854</xdr:rowOff>
    </xdr:from>
    <xdr:ext cx="1638370" cy="434158"/>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935F94D5-003C-E04C-A19D-CEC31748EF74}"/>
                </a:ext>
              </a:extLst>
            </xdr:cNvPr>
            <xdr:cNvSpPr txBox="1"/>
          </xdr:nvSpPr>
          <xdr:spPr>
            <a:xfrm>
              <a:off x="7024393" y="6822054"/>
              <a:ext cx="1638370" cy="4341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300" b="0" i="1">
                            <a:latin typeface="Cambria Math" panose="02040503050406030204" pitchFamily="18" charset="0"/>
                          </a:rPr>
                        </m:ctrlPr>
                      </m:sSubPr>
                      <m:e>
                        <m:r>
                          <a:rPr lang="it-IT" sz="1300" b="0" i="1">
                            <a:latin typeface="Cambria Math" panose="02040503050406030204" pitchFamily="18" charset="0"/>
                            <a:ea typeface="Cambria Math" panose="02040503050406030204" pitchFamily="18" charset="0"/>
                          </a:rPr>
                          <m:t>𝜃</m:t>
                        </m:r>
                      </m:e>
                      <m:sub>
                        <m:r>
                          <a:rPr lang="it-IT" sz="1300" b="0" i="1">
                            <a:latin typeface="Cambria Math" panose="02040503050406030204" pitchFamily="18" charset="0"/>
                          </a:rPr>
                          <m:t>𝑟𝑜𝑡</m:t>
                        </m:r>
                      </m:sub>
                    </m:sSub>
                    <m:r>
                      <a:rPr lang="it-IT" sz="1300" b="0" i="1">
                        <a:latin typeface="Cambria Math" panose="02040503050406030204" pitchFamily="18" charset="0"/>
                      </a:rPr>
                      <m:t>= </m:t>
                    </m:r>
                    <m:f>
                      <m:fPr>
                        <m:ctrlPr>
                          <a:rPr lang="it-IT" sz="1300" b="0" i="1">
                            <a:latin typeface="Cambria Math" panose="02040503050406030204" pitchFamily="18" charset="0"/>
                          </a:rPr>
                        </m:ctrlPr>
                      </m:fPr>
                      <m:num>
                        <m:sSup>
                          <m:sSupPr>
                            <m:ctrlPr>
                              <a:rPr lang="it-IT" sz="1300" b="0" i="1">
                                <a:latin typeface="Cambria Math" panose="02040503050406030204" pitchFamily="18" charset="0"/>
                              </a:rPr>
                            </m:ctrlPr>
                          </m:sSupPr>
                          <m:e>
                            <m:r>
                              <a:rPr lang="it-IT" sz="1300" b="0" i="1">
                                <a:latin typeface="Cambria Math" panose="02040503050406030204" pitchFamily="18" charset="0"/>
                              </a:rPr>
                              <m:t>h</m:t>
                            </m:r>
                          </m:e>
                          <m:sup>
                            <m:r>
                              <a:rPr lang="it-IT" sz="1300" b="0" i="1">
                                <a:latin typeface="Cambria Math" panose="02040503050406030204" pitchFamily="18" charset="0"/>
                              </a:rPr>
                              <m:t>2</m:t>
                            </m:r>
                          </m:sup>
                        </m:sSup>
                      </m:num>
                      <m:den>
                        <m:r>
                          <a:rPr lang="it-IT" sz="1300" b="0" i="1">
                            <a:latin typeface="Cambria Math" panose="02040503050406030204" pitchFamily="18" charset="0"/>
                          </a:rPr>
                          <m:t>8</m:t>
                        </m:r>
                        <m:sSup>
                          <m:sSupPr>
                            <m:ctrlPr>
                              <a:rPr lang="it-IT" sz="1300" b="0" i="1">
                                <a:latin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𝜋</m:t>
                            </m:r>
                          </m:e>
                          <m:sup>
                            <m:r>
                              <a:rPr lang="it-IT" sz="1300" b="0" i="1">
                                <a:latin typeface="Cambria Math" panose="02040503050406030204" pitchFamily="18" charset="0"/>
                              </a:rPr>
                              <m:t>2</m:t>
                            </m:r>
                          </m:sup>
                        </m:sSup>
                        <m:r>
                          <a:rPr lang="it-IT" sz="1300" b="0" i="1">
                            <a:latin typeface="Cambria Math" panose="02040503050406030204" pitchFamily="18" charset="0"/>
                            <a:ea typeface="Cambria Math" panose="02040503050406030204" pitchFamily="18" charset="0"/>
                          </a:rPr>
                          <m:t>𝐼</m:t>
                        </m:r>
                        <m:r>
                          <a:rPr lang="it-IT" sz="1300" b="0" i="1">
                            <a:latin typeface="Cambria Math" panose="02040503050406030204" pitchFamily="18" charset="0"/>
                            <a:ea typeface="Cambria Math" panose="02040503050406030204" pitchFamily="18" charset="0"/>
                          </a:rPr>
                          <m:t> </m:t>
                        </m:r>
                        <m:sSub>
                          <m:sSubPr>
                            <m:ctrlPr>
                              <a:rPr lang="it-IT" sz="1300" b="0" i="1">
                                <a:latin typeface="Cambria Math" panose="02040503050406030204" pitchFamily="18" charset="0"/>
                                <a:ea typeface="Cambria Math" panose="02040503050406030204" pitchFamily="18" charset="0"/>
                              </a:rPr>
                            </m:ctrlPr>
                          </m:sSubPr>
                          <m:e>
                            <m:r>
                              <a:rPr lang="it-IT" sz="1300" b="0" i="1">
                                <a:latin typeface="Cambria Math" panose="02040503050406030204" pitchFamily="18" charset="0"/>
                                <a:ea typeface="Cambria Math" panose="02040503050406030204" pitchFamily="18" charset="0"/>
                              </a:rPr>
                              <m:t>𝑘</m:t>
                            </m:r>
                          </m:e>
                          <m:sub>
                            <m:r>
                              <a:rPr lang="it-IT" sz="1300" b="0" i="1">
                                <a:latin typeface="Cambria Math" panose="02040503050406030204" pitchFamily="18" charset="0"/>
                                <a:ea typeface="Cambria Math" panose="02040503050406030204" pitchFamily="18" charset="0"/>
                              </a:rPr>
                              <m:t>𝑏</m:t>
                            </m:r>
                          </m:sub>
                        </m:sSub>
                      </m:den>
                    </m:f>
                  </m:oMath>
                </m:oMathPara>
              </a14:m>
              <a:endParaRPr lang="en-US" sz="1300"/>
            </a:p>
          </xdr:txBody>
        </xdr:sp>
      </mc:Choice>
      <mc:Fallback xmlns="">
        <xdr:sp macro="" textlink="">
          <xdr:nvSpPr>
            <xdr:cNvPr id="5" name="TextBox 4">
              <a:extLst>
                <a:ext uri="{FF2B5EF4-FFF2-40B4-BE49-F238E27FC236}">
                  <a16:creationId xmlns:a16="http://schemas.microsoft.com/office/drawing/2014/main" id="{935F94D5-003C-E04C-A19D-CEC31748EF74}"/>
                </a:ext>
              </a:extLst>
            </xdr:cNvPr>
            <xdr:cNvSpPr txBox="1"/>
          </xdr:nvSpPr>
          <xdr:spPr>
            <a:xfrm>
              <a:off x="7024393" y="6822054"/>
              <a:ext cx="1638370" cy="4341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300" b="0" i="0">
                  <a:latin typeface="Cambria Math" panose="02040503050406030204" pitchFamily="18" charset="0"/>
                  <a:ea typeface="Cambria Math" panose="02040503050406030204" pitchFamily="18" charset="0"/>
                </a:rPr>
                <a:t>𝜃_</a:t>
              </a:r>
              <a:r>
                <a:rPr lang="it-IT" sz="1300" b="0" i="0">
                  <a:latin typeface="Cambria Math" panose="02040503050406030204" pitchFamily="18" charset="0"/>
                </a:rPr>
                <a:t>𝑟𝑜𝑡=  ℎ^2/(8</a:t>
              </a:r>
              <a:r>
                <a:rPr lang="it-IT" sz="1300" b="0" i="0">
                  <a:latin typeface="Cambria Math" panose="02040503050406030204" pitchFamily="18" charset="0"/>
                  <a:ea typeface="Cambria Math" panose="02040503050406030204" pitchFamily="18" charset="0"/>
                </a:rPr>
                <a:t>𝜋^</a:t>
              </a:r>
              <a:r>
                <a:rPr lang="it-IT" sz="1300" b="0" i="0">
                  <a:latin typeface="Cambria Math" panose="02040503050406030204" pitchFamily="18" charset="0"/>
                </a:rPr>
                <a:t>2</a:t>
              </a:r>
              <a:r>
                <a:rPr lang="it-IT" sz="1300" b="0" i="0">
                  <a:latin typeface="Cambria Math" panose="02040503050406030204" pitchFamily="18" charset="0"/>
                  <a:ea typeface="Cambria Math" panose="02040503050406030204" pitchFamily="18" charset="0"/>
                </a:rPr>
                <a:t> 𝐼 𝑘_𝑏 )</a:t>
              </a:r>
              <a:endParaRPr lang="en-US" sz="1300"/>
            </a:p>
          </xdr:txBody>
        </xdr:sp>
      </mc:Fallback>
    </mc:AlternateContent>
    <xdr:clientData/>
  </xdr:oneCellAnchor>
  <xdr:twoCellAnchor>
    <xdr:from>
      <xdr:col>4</xdr:col>
      <xdr:colOff>452528</xdr:colOff>
      <xdr:row>55</xdr:row>
      <xdr:rowOff>131380</xdr:rowOff>
    </xdr:from>
    <xdr:to>
      <xdr:col>6</xdr:col>
      <xdr:colOff>613104</xdr:colOff>
      <xdr:row>55</xdr:row>
      <xdr:rowOff>145977</xdr:rowOff>
    </xdr:to>
    <xdr:cxnSp macro="">
      <xdr:nvCxnSpPr>
        <xdr:cNvPr id="6" name="Straight Arrow Connector 5">
          <a:extLst>
            <a:ext uri="{FF2B5EF4-FFF2-40B4-BE49-F238E27FC236}">
              <a16:creationId xmlns:a16="http://schemas.microsoft.com/office/drawing/2014/main" id="{32D0D2CB-0B69-8F49-9878-E423F39D53C9}"/>
            </a:ext>
          </a:extLst>
        </xdr:cNvPr>
        <xdr:cNvCxnSpPr/>
      </xdr:nvCxnSpPr>
      <xdr:spPr>
        <a:xfrm>
          <a:off x="6002428" y="150284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125030</xdr:colOff>
      <xdr:row>53</xdr:row>
      <xdr:rowOff>179868</xdr:rowOff>
    </xdr:from>
    <xdr:ext cx="2143857" cy="608821"/>
    <mc:AlternateContent xmlns:mc="http://schemas.openxmlformats.org/markup-compatibility/2006" xmlns:a14="http://schemas.microsoft.com/office/drawing/2010/main">
      <mc:Choice Requires="a14">
        <xdr:sp macro="" textlink="">
          <xdr:nvSpPr>
            <xdr:cNvPr id="7" name="TextBox 6">
              <a:extLst>
                <a:ext uri="{FF2B5EF4-FFF2-40B4-BE49-F238E27FC236}">
                  <a16:creationId xmlns:a16="http://schemas.microsoft.com/office/drawing/2014/main" id="{6F5E93E1-5960-7842-B11A-1DC03BCC3D86}"/>
                </a:ext>
              </a:extLst>
            </xdr:cNvPr>
            <xdr:cNvSpPr txBox="1"/>
          </xdr:nvSpPr>
          <xdr:spPr>
            <a:xfrm>
              <a:off x="9421430" y="14581668"/>
              <a:ext cx="2143857"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sSup>
                      <m:sSupPr>
                        <m:ctrlPr>
                          <a:rPr lang="it-IT" sz="1600" b="0" i="1">
                            <a:latin typeface="Cambria Math" panose="02040503050406030204" pitchFamily="18" charset="0"/>
                          </a:rPr>
                        </m:ctrlPr>
                      </m:sSupPr>
                      <m:e>
                        <m:r>
                          <a:rPr lang="it-IT" sz="1600" b="0" i="1">
                            <a:latin typeface="Cambria Math" panose="02040503050406030204" pitchFamily="18" charset="0"/>
                          </a:rPr>
                          <m:t> </m:t>
                        </m:r>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r>
                                  <a:rPr lang="it-IT" sz="1600" b="0" i="1">
                                    <a:latin typeface="Cambria Math" panose="02040503050406030204" pitchFamily="18" charset="0"/>
                                    <a:ea typeface="Cambria Math" panose="02040503050406030204" pitchFamily="18" charset="0"/>
                                  </a:rPr>
                                  <m:t>𝑚</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num>
                              <m:den>
                                <m:sSup>
                                  <m:sSupPr>
                                    <m:ctrlPr>
                                      <a:rPr lang="it-IT" sz="1600" b="0" i="1">
                                        <a:latin typeface="Cambria Math" panose="02040503050406030204" pitchFamily="18" charset="0"/>
                                      </a:rPr>
                                    </m:ctrlPr>
                                  </m:sSupPr>
                                  <m:e>
                                    <m:r>
                                      <a:rPr lang="it-IT" sz="1600" b="0" i="1">
                                        <a:latin typeface="Cambria Math" panose="02040503050406030204" pitchFamily="18" charset="0"/>
                                      </a:rPr>
                                      <m:t>h</m:t>
                                    </m:r>
                                  </m:e>
                                  <m:sup>
                                    <m:r>
                                      <a:rPr lang="it-IT" sz="1600" b="0" i="1">
                                        <a:latin typeface="Cambria Math" panose="02040503050406030204" pitchFamily="18" charset="0"/>
                                      </a:rPr>
                                      <m:t>2</m:t>
                                    </m:r>
                                  </m:sup>
                                </m:sSup>
                              </m:den>
                            </m:f>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r>
                      <a:rPr lang="it-IT" sz="1600" b="0" i="1">
                        <a:latin typeface="Cambria Math" panose="02040503050406030204" pitchFamily="18" charset="0"/>
                      </a:rPr>
                      <m:t>𝑉</m:t>
                    </m:r>
                  </m:oMath>
                </m:oMathPara>
              </a14:m>
              <a:endParaRPr lang="en-US" sz="1600"/>
            </a:p>
          </xdr:txBody>
        </xdr:sp>
      </mc:Choice>
      <mc:Fallback xmlns="">
        <xdr:sp macro="" textlink="">
          <xdr:nvSpPr>
            <xdr:cNvPr id="7" name="TextBox 6">
              <a:extLst>
                <a:ext uri="{FF2B5EF4-FFF2-40B4-BE49-F238E27FC236}">
                  <a16:creationId xmlns:a16="http://schemas.microsoft.com/office/drawing/2014/main" id="{6F5E93E1-5960-7842-B11A-1DC03BCC3D86}"/>
                </a:ext>
              </a:extLst>
            </xdr:cNvPr>
            <xdr:cNvSpPr txBox="1"/>
          </xdr:nvSpPr>
          <xdr:spPr>
            <a:xfrm>
              <a:off x="9421430" y="14581668"/>
              <a:ext cx="2143857"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 ((2</a:t>
              </a:r>
              <a:r>
                <a:rPr lang="it-IT" sz="1600" b="0" i="0">
                  <a:latin typeface="Cambria Math" panose="02040503050406030204" pitchFamily="18" charset="0"/>
                  <a:ea typeface="Cambria Math" panose="02040503050406030204" pitchFamily="18" charset="0"/>
                </a:rPr>
                <a:t>𝜋𝑚𝑘_𝑏 𝑇)/</a:t>
              </a:r>
              <a:r>
                <a:rPr lang="it-IT" sz="1600" b="0" i="0">
                  <a:latin typeface="Cambria Math" panose="02040503050406030204" pitchFamily="18" charset="0"/>
                </a:rPr>
                <a:t>ℎ^2 )〗^(3/2) 𝑉</a:t>
              </a:r>
              <a:endParaRPr lang="en-US" sz="1600"/>
            </a:p>
          </xdr:txBody>
        </xdr:sp>
      </mc:Fallback>
    </mc:AlternateContent>
    <xdr:clientData/>
  </xdr:oneCellAnchor>
  <xdr:oneCellAnchor>
    <xdr:from>
      <xdr:col>7</xdr:col>
      <xdr:colOff>104790</xdr:colOff>
      <xdr:row>56</xdr:row>
      <xdr:rowOff>61497</xdr:rowOff>
    </xdr:from>
    <xdr:ext cx="2729209" cy="608821"/>
    <mc:AlternateContent xmlns:mc="http://schemas.openxmlformats.org/markup-compatibility/2006" xmlns:a14="http://schemas.microsoft.com/office/drawing/2010/main">
      <mc:Choice Requires="a14">
        <xdr:sp macro="" textlink="">
          <xdr:nvSpPr>
            <xdr:cNvPr id="8" name="TextBox 7">
              <a:extLst>
                <a:ext uri="{FF2B5EF4-FFF2-40B4-BE49-F238E27FC236}">
                  <a16:creationId xmlns:a16="http://schemas.microsoft.com/office/drawing/2014/main" id="{01AE84D3-C37F-4E4F-9B22-B2AB86065FB6}"/>
                </a:ext>
              </a:extLst>
            </xdr:cNvPr>
            <xdr:cNvSpPr txBox="1"/>
          </xdr:nvSpPr>
          <xdr:spPr>
            <a:xfrm>
              <a:off x="9401190" y="15301497"/>
              <a:ext cx="2729209"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n-US" sz="160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up>
                        <m:r>
                          <a:rPr lang="it-IT" sz="1600" b="0" i="1">
                            <a:latin typeface="Cambria Math" panose="02040503050406030204" pitchFamily="18" charset="0"/>
                          </a:rPr>
                          <m:t>𝑢𝑑𝑣</m:t>
                        </m:r>
                      </m:sup>
                    </m:sSubSup>
                    <m:r>
                      <a:rPr lang="it-IT" sz="1600" b="0" i="1">
                        <a:latin typeface="Cambria Math" panose="02040503050406030204" pitchFamily="18" charset="0"/>
                      </a:rPr>
                      <m:t>=</m:t>
                    </m:r>
                    <m:f>
                      <m:fPr>
                        <m:ctrlPr>
                          <a:rPr lang="it-IT" sz="1600" b="0" i="1">
                            <a:latin typeface="Cambria Math" panose="02040503050406030204" pitchFamily="18" charset="0"/>
                          </a:rPr>
                        </m:ctrlPr>
                      </m:fPr>
                      <m:num>
                        <m:sSub>
                          <m:sSubPr>
                            <m:ctrlPr>
                              <a:rPr lang="it-IT" sz="1600" b="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𝑡𝑟𝑎𝑠𝑙</m:t>
                            </m:r>
                          </m:sub>
                        </m:sSub>
                      </m:num>
                      <m:den>
                        <m:r>
                          <a:rPr lang="it-IT" sz="1600" b="0" i="1">
                            <a:latin typeface="Cambria Math" panose="02040503050406030204" pitchFamily="18" charset="0"/>
                          </a:rPr>
                          <m:t>𝑉</m:t>
                        </m:r>
                      </m:den>
                    </m:f>
                    <m:r>
                      <a:rPr lang="it-IT" sz="1600" b="0" i="1">
                        <a:latin typeface="Cambria Math" panose="02040503050406030204" pitchFamily="18" charset="0"/>
                      </a:rPr>
                      <m:t>=</m:t>
                    </m:r>
                    <m:sSup>
                      <m:sSupPr>
                        <m:ctrlPr>
                          <a:rPr lang="it-IT" sz="1600" b="0" i="1">
                            <a:latin typeface="Cambria Math" panose="02040503050406030204" pitchFamily="18" charset="0"/>
                          </a:rPr>
                        </m:ctrlPr>
                      </m:sSupPr>
                      <m:e>
                        <m:r>
                          <a:rPr lang="it-IT" sz="1600" b="0" i="1">
                            <a:latin typeface="Cambria Math" panose="02040503050406030204" pitchFamily="18" charset="0"/>
                          </a:rPr>
                          <m:t> </m:t>
                        </m:r>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r>
                                  <a:rPr lang="it-IT" sz="1600" b="0" i="1">
                                    <a:latin typeface="Cambria Math" panose="02040503050406030204" pitchFamily="18" charset="0"/>
                                    <a:ea typeface="Cambria Math" panose="02040503050406030204" pitchFamily="18" charset="0"/>
                                  </a:rPr>
                                  <m:t>𝑚</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num>
                              <m:den>
                                <m:sSup>
                                  <m:sSupPr>
                                    <m:ctrlPr>
                                      <a:rPr lang="it-IT" sz="1600" b="0" i="1">
                                        <a:latin typeface="Cambria Math" panose="02040503050406030204" pitchFamily="18" charset="0"/>
                                      </a:rPr>
                                    </m:ctrlPr>
                                  </m:sSupPr>
                                  <m:e>
                                    <m:r>
                                      <a:rPr lang="it-IT" sz="1600" b="0" i="1">
                                        <a:latin typeface="Cambria Math" panose="02040503050406030204" pitchFamily="18" charset="0"/>
                                      </a:rPr>
                                      <m:t>h</m:t>
                                    </m:r>
                                  </m:e>
                                  <m:sup>
                                    <m:r>
                                      <a:rPr lang="it-IT" sz="1600" b="0" i="1">
                                        <a:latin typeface="Cambria Math" panose="02040503050406030204" pitchFamily="18" charset="0"/>
                                      </a:rPr>
                                      <m:t>2</m:t>
                                    </m:r>
                                  </m:sup>
                                </m:sSup>
                              </m:den>
                            </m:f>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oMath>
                </m:oMathPara>
              </a14:m>
              <a:endParaRPr lang="en-US" sz="1600"/>
            </a:p>
          </xdr:txBody>
        </xdr:sp>
      </mc:Choice>
      <mc:Fallback xmlns="">
        <xdr:sp macro="" textlink="">
          <xdr:nvSpPr>
            <xdr:cNvPr id="8" name="TextBox 7">
              <a:extLst>
                <a:ext uri="{FF2B5EF4-FFF2-40B4-BE49-F238E27FC236}">
                  <a16:creationId xmlns:a16="http://schemas.microsoft.com/office/drawing/2014/main" id="{01AE84D3-C37F-4E4F-9B22-B2AB86065FB6}"/>
                </a:ext>
              </a:extLst>
            </xdr:cNvPr>
            <xdr:cNvSpPr txBox="1"/>
          </xdr:nvSpPr>
          <xdr:spPr>
            <a:xfrm>
              <a:off x="9401190" y="15301497"/>
              <a:ext cx="2729209"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𝑡𝑟𝑎𝑛𝑠𝑙^𝑢𝑑𝑣=𝑄_𝑡𝑟𝑎𝑠𝑙/𝑉=〖 ((2</a:t>
              </a:r>
              <a:r>
                <a:rPr lang="it-IT" sz="1600" b="0" i="0">
                  <a:latin typeface="Cambria Math" panose="02040503050406030204" pitchFamily="18" charset="0"/>
                  <a:ea typeface="Cambria Math" panose="02040503050406030204" pitchFamily="18" charset="0"/>
                </a:rPr>
                <a:t>𝜋𝑚𝑘_𝑏 𝑇)/</a:t>
              </a:r>
              <a:r>
                <a:rPr lang="it-IT" sz="1600" b="0" i="0">
                  <a:latin typeface="Cambria Math" panose="02040503050406030204" pitchFamily="18" charset="0"/>
                </a:rPr>
                <a:t>ℎ^2 )〗^(3/2)</a:t>
              </a:r>
              <a:endParaRPr lang="en-US" sz="1600"/>
            </a:p>
          </xdr:txBody>
        </xdr:sp>
      </mc:Fallback>
    </mc:AlternateContent>
    <xdr:clientData/>
  </xdr:oneCellAnchor>
  <xdr:twoCellAnchor>
    <xdr:from>
      <xdr:col>6</xdr:col>
      <xdr:colOff>750454</xdr:colOff>
      <xdr:row>54</xdr:row>
      <xdr:rowOff>72159</xdr:rowOff>
    </xdr:from>
    <xdr:to>
      <xdr:col>7</xdr:col>
      <xdr:colOff>137102</xdr:colOff>
      <xdr:row>58</xdr:row>
      <xdr:rowOff>202046</xdr:rowOff>
    </xdr:to>
    <xdr:sp macro="" textlink="">
      <xdr:nvSpPr>
        <xdr:cNvPr id="9" name="Left Brace 8">
          <a:extLst>
            <a:ext uri="{FF2B5EF4-FFF2-40B4-BE49-F238E27FC236}">
              <a16:creationId xmlns:a16="http://schemas.microsoft.com/office/drawing/2014/main" id="{E4A70CD1-ADAF-964C-B1DC-4E87AB79BF65}"/>
            </a:ext>
          </a:extLst>
        </xdr:cNvPr>
        <xdr:cNvSpPr/>
      </xdr:nvSpPr>
      <xdr:spPr>
        <a:xfrm>
          <a:off x="8764154" y="14727959"/>
          <a:ext cx="669348" cy="1196687"/>
        </a:xfrm>
        <a:prstGeom prst="leftBrace">
          <a:avLst>
            <a:gd name="adj1" fmla="val 8333"/>
            <a:gd name="adj2" fmla="val 26786"/>
          </a:avLst>
        </a:prstGeom>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10</xdr:col>
      <xdr:colOff>760147</xdr:colOff>
      <xdr:row>54</xdr:row>
      <xdr:rowOff>185401</xdr:rowOff>
    </xdr:from>
    <xdr:to>
      <xdr:col>14</xdr:col>
      <xdr:colOff>1079500</xdr:colOff>
      <xdr:row>59</xdr:row>
      <xdr:rowOff>83431</xdr:rowOff>
    </xdr:to>
    <mc:AlternateContent xmlns:mc="http://schemas.openxmlformats.org/markup-compatibility/2006" xmlns:a14="http://schemas.microsoft.com/office/drawing/2010/main">
      <mc:Choice Requires="a14">
        <xdr:sp macro="" textlink="">
          <xdr:nvSpPr>
            <xdr:cNvPr id="10" name="Rectangle 9">
              <a:extLst>
                <a:ext uri="{FF2B5EF4-FFF2-40B4-BE49-F238E27FC236}">
                  <a16:creationId xmlns:a16="http://schemas.microsoft.com/office/drawing/2014/main" id="{E94A3924-A3D2-5F4C-89B9-E3E24F6D0B09}"/>
                </a:ext>
              </a:extLst>
            </xdr:cNvPr>
            <xdr:cNvSpPr/>
          </xdr:nvSpPr>
          <xdr:spPr>
            <a:xfrm>
              <a:off x="12863247" y="14841201"/>
              <a:ext cx="4726253" cy="120613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here</a:t>
              </a:r>
              <a:r>
                <a:rPr lang="en-US" sz="1100" baseline="0"/>
                <a:t> V is volume of the system considered (abc for a cubic volume).</a:t>
              </a:r>
            </a:p>
            <a:p>
              <a:pPr algn="l"/>
              <a:endParaRPr lang="en-US" sz="1100" baseline="0"/>
            </a:p>
            <a:p>
              <a:pPr algn="l"/>
              <a:r>
                <a:rPr lang="en-US" sz="1100" b="0" baseline="0"/>
                <a:t>In gaussian, since no volume is specified, the ideal gasses equation is used: </a:t>
              </a:r>
              <a14:m>
                <m:oMath xmlns:m="http://schemas.openxmlformats.org/officeDocument/2006/math">
                  <m:r>
                    <a:rPr lang="it-IT" sz="1100" b="0" i="1" baseline="0">
                      <a:latin typeface="Cambria Math" panose="02040503050406030204" pitchFamily="18" charset="0"/>
                    </a:rPr>
                    <m:t>𝑃𝑉</m:t>
                  </m:r>
                  <m:r>
                    <a:rPr lang="it-IT" sz="1100" b="0" i="1" baseline="0">
                      <a:latin typeface="Cambria Math" panose="02040503050406030204" pitchFamily="18" charset="0"/>
                    </a:rPr>
                    <m:t>=</m:t>
                  </m:r>
                  <m:r>
                    <a:rPr lang="it-IT" sz="1100" b="0" i="1" baseline="0">
                      <a:latin typeface="Cambria Math" panose="02040503050406030204" pitchFamily="18" charset="0"/>
                    </a:rPr>
                    <m:t>𝑁𝑅𝑇</m:t>
                  </m:r>
                  <m:r>
                    <a:rPr lang="it-IT" sz="1100" b="0" i="1" baseline="0">
                      <a:latin typeface="Cambria Math" panose="02040503050406030204" pitchFamily="18" charset="0"/>
                    </a:rPr>
                    <m:t>=</m:t>
                  </m:r>
                  <m:d>
                    <m:dPr>
                      <m:ctrlPr>
                        <a:rPr lang="it-IT" sz="1100" b="0" i="1" baseline="0">
                          <a:latin typeface="Cambria Math" panose="02040503050406030204" pitchFamily="18" charset="0"/>
                        </a:rPr>
                      </m:ctrlPr>
                    </m:dPr>
                    <m:e>
                      <m:f>
                        <m:fPr>
                          <m:ctrlPr>
                            <a:rPr lang="it-IT" sz="1100" b="0" i="1" baseline="0">
                              <a:latin typeface="Cambria Math" panose="02040503050406030204" pitchFamily="18" charset="0"/>
                            </a:rPr>
                          </m:ctrlPr>
                        </m:fPr>
                        <m:num>
                          <m:r>
                            <a:rPr lang="it-IT" sz="1100" b="0" i="1" baseline="0">
                              <a:latin typeface="Cambria Math" panose="02040503050406030204" pitchFamily="18" charset="0"/>
                            </a:rPr>
                            <m:t>𝑛</m:t>
                          </m:r>
                        </m:num>
                        <m:den>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𝑁</m:t>
                              </m:r>
                            </m:e>
                            <m:sub>
                              <m:r>
                                <a:rPr lang="it-IT" sz="1100" b="0" i="1" baseline="0">
                                  <a:latin typeface="Cambria Math" panose="02040503050406030204" pitchFamily="18" charset="0"/>
                                </a:rPr>
                                <m:t>𝐴</m:t>
                              </m:r>
                            </m:sub>
                          </m:sSub>
                        </m:den>
                      </m:f>
                    </m:e>
                  </m:d>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𝑁</m:t>
                      </m:r>
                    </m:e>
                    <m:sub>
                      <m:r>
                        <a:rPr lang="it-IT" sz="1100" b="0" i="1" baseline="0">
                          <a:latin typeface="Cambria Math" panose="02040503050406030204" pitchFamily="18" charset="0"/>
                        </a:rPr>
                        <m:t>𝐴</m:t>
                      </m:r>
                    </m:sub>
                  </m:sSub>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𝑘</m:t>
                      </m:r>
                    </m:e>
                    <m:sub>
                      <m:r>
                        <a:rPr lang="it-IT" sz="1100" b="0" i="1" baseline="0">
                          <a:latin typeface="Cambria Math" panose="02040503050406030204" pitchFamily="18" charset="0"/>
                        </a:rPr>
                        <m:t>𝑏</m:t>
                      </m:r>
                    </m:sub>
                  </m:sSub>
                  <m:r>
                    <a:rPr lang="it-IT" sz="1100" b="0" i="1" baseline="0">
                      <a:latin typeface="Cambria Math" panose="02040503050406030204" pitchFamily="18" charset="0"/>
                    </a:rPr>
                    <m:t>𝑇</m:t>
                  </m:r>
                  <m:r>
                    <a:rPr lang="it-IT" sz="1100" b="0" i="1" baseline="0">
                      <a:latin typeface="Cambria Math" panose="02040503050406030204" pitchFamily="18" charset="0"/>
                    </a:rPr>
                    <m:t> →</m:t>
                  </m:r>
                  <m:r>
                    <a:rPr lang="it-IT" sz="1100" b="0" i="1" baseline="0">
                      <a:latin typeface="Cambria Math" panose="02040503050406030204" pitchFamily="18" charset="0"/>
                      <a:ea typeface="Cambria Math" panose="02040503050406030204" pitchFamily="18" charset="0"/>
                    </a:rPr>
                    <m:t>𝑉</m:t>
                  </m:r>
                  <m:r>
                    <a:rPr lang="it-IT" sz="1100" b="0" i="1" baseline="0">
                      <a:latin typeface="Cambria Math" panose="02040503050406030204" pitchFamily="18" charset="0"/>
                      <a:ea typeface="Cambria Math" panose="02040503050406030204" pitchFamily="18" charset="0"/>
                    </a:rPr>
                    <m:t>=</m:t>
                  </m:r>
                  <m:f>
                    <m:fPr>
                      <m:ctrlPr>
                        <a:rPr lang="it-IT" sz="1100" b="0" i="1" baseline="0">
                          <a:latin typeface="Cambria Math" panose="02040503050406030204" pitchFamily="18" charset="0"/>
                          <a:ea typeface="Cambria Math" panose="02040503050406030204" pitchFamily="18" charset="0"/>
                        </a:rPr>
                      </m:ctrlPr>
                    </m:fPr>
                    <m:num>
                      <m:sSub>
                        <m:sSubPr>
                          <m:ctrlPr>
                            <a:rPr lang="it-IT" sz="1100" b="0" i="1" baseline="0">
                              <a:latin typeface="Cambria Math" panose="02040503050406030204" pitchFamily="18" charset="0"/>
                              <a:ea typeface="Cambria Math" panose="02040503050406030204" pitchFamily="18" charset="0"/>
                            </a:rPr>
                          </m:ctrlPr>
                        </m:sSubPr>
                        <m:e>
                          <m:r>
                            <a:rPr lang="it-IT" sz="1100" b="0" i="1" baseline="0">
                              <a:latin typeface="Cambria Math" panose="02040503050406030204" pitchFamily="18" charset="0"/>
                              <a:ea typeface="Cambria Math" panose="02040503050406030204" pitchFamily="18" charset="0"/>
                            </a:rPr>
                            <m:t>𝑘</m:t>
                          </m:r>
                        </m:e>
                        <m:sub>
                          <m:r>
                            <a:rPr lang="it-IT" sz="1100" b="0" i="1" baseline="0">
                              <a:latin typeface="Cambria Math" panose="02040503050406030204" pitchFamily="18" charset="0"/>
                              <a:ea typeface="Cambria Math" panose="02040503050406030204" pitchFamily="18" charset="0"/>
                            </a:rPr>
                            <m:t>𝑏</m:t>
                          </m:r>
                        </m:sub>
                      </m:sSub>
                      <m:r>
                        <a:rPr lang="it-IT" sz="1100" b="0" i="1" baseline="0">
                          <a:latin typeface="Cambria Math" panose="02040503050406030204" pitchFamily="18" charset="0"/>
                          <a:ea typeface="Cambria Math" panose="02040503050406030204" pitchFamily="18" charset="0"/>
                        </a:rPr>
                        <m:t>𝑇</m:t>
                      </m:r>
                    </m:num>
                    <m:den>
                      <m:r>
                        <a:rPr lang="it-IT" sz="1100" b="0" i="1" baseline="0">
                          <a:latin typeface="Cambria Math" panose="02040503050406030204" pitchFamily="18" charset="0"/>
                          <a:ea typeface="Cambria Math" panose="02040503050406030204" pitchFamily="18" charset="0"/>
                        </a:rPr>
                        <m:t>𝑃</m:t>
                      </m:r>
                    </m:den>
                  </m:f>
                </m:oMath>
              </a14:m>
              <a:r>
                <a:rPr lang="en-US" sz="1100" b="1" baseline="0"/>
                <a:t>  </a:t>
              </a:r>
              <a:endParaRPr lang="en-US" sz="1100" b="1"/>
            </a:p>
          </xdr:txBody>
        </xdr:sp>
      </mc:Choice>
      <mc:Fallback xmlns="">
        <xdr:sp macro="" textlink="">
          <xdr:nvSpPr>
            <xdr:cNvPr id="10" name="Rectangle 9">
              <a:extLst>
                <a:ext uri="{FF2B5EF4-FFF2-40B4-BE49-F238E27FC236}">
                  <a16:creationId xmlns:a16="http://schemas.microsoft.com/office/drawing/2014/main" id="{E94A3924-A3D2-5F4C-89B9-E3E24F6D0B09}"/>
                </a:ext>
              </a:extLst>
            </xdr:cNvPr>
            <xdr:cNvSpPr/>
          </xdr:nvSpPr>
          <xdr:spPr>
            <a:xfrm>
              <a:off x="12863247" y="14841201"/>
              <a:ext cx="4726253" cy="120613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here</a:t>
              </a:r>
              <a:r>
                <a:rPr lang="en-US" sz="1100" baseline="0"/>
                <a:t> V is volume of the system considered (abc for a cubic volume).</a:t>
              </a:r>
            </a:p>
            <a:p>
              <a:pPr algn="l"/>
              <a:endParaRPr lang="en-US" sz="1100" baseline="0"/>
            </a:p>
            <a:p>
              <a:pPr algn="l"/>
              <a:r>
                <a:rPr lang="en-US" sz="1100" b="0" baseline="0"/>
                <a:t>In gaussian, since no volume is specified, the ideal gasses equation is used: </a:t>
              </a:r>
              <a:r>
                <a:rPr lang="it-IT" sz="1100" b="0" i="0" baseline="0">
                  <a:latin typeface="Cambria Math" panose="02040503050406030204" pitchFamily="18" charset="0"/>
                </a:rPr>
                <a:t>𝑃𝑉=𝑁𝑅𝑇=(𝑛/𝑁_𝐴 ) 𝑁_𝐴 𝑘_𝑏 𝑇 →</a:t>
              </a:r>
              <a:r>
                <a:rPr lang="it-IT" sz="1100" b="0" i="0" baseline="0">
                  <a:latin typeface="Cambria Math" panose="02040503050406030204" pitchFamily="18" charset="0"/>
                  <a:ea typeface="Cambria Math" panose="02040503050406030204" pitchFamily="18" charset="0"/>
                </a:rPr>
                <a:t>𝑉=(𝑘_𝑏 𝑇)/𝑃</a:t>
              </a:r>
              <a:r>
                <a:rPr lang="en-US" sz="1100" b="1" baseline="0"/>
                <a:t>  </a:t>
              </a:r>
              <a:endParaRPr lang="en-US" sz="1100" b="1"/>
            </a:p>
          </xdr:txBody>
        </xdr:sp>
      </mc:Fallback>
    </mc:AlternateContent>
    <xdr:clientData/>
  </xdr:twoCellAnchor>
  <xdr:twoCellAnchor>
    <xdr:from>
      <xdr:col>5</xdr:col>
      <xdr:colOff>540926</xdr:colOff>
      <xdr:row>38</xdr:row>
      <xdr:rowOff>35278</xdr:rowOff>
    </xdr:from>
    <xdr:to>
      <xdr:col>5</xdr:col>
      <xdr:colOff>623241</xdr:colOff>
      <xdr:row>39</xdr:row>
      <xdr:rowOff>211666</xdr:rowOff>
    </xdr:to>
    <xdr:cxnSp macro="">
      <xdr:nvCxnSpPr>
        <xdr:cNvPr id="11" name="Straight Arrow Connector 10">
          <a:extLst>
            <a:ext uri="{FF2B5EF4-FFF2-40B4-BE49-F238E27FC236}">
              <a16:creationId xmlns:a16="http://schemas.microsoft.com/office/drawing/2014/main" id="{5D7A4836-8FC8-6646-B8D6-8D5141973A5E}"/>
            </a:ext>
          </a:extLst>
        </xdr:cNvPr>
        <xdr:cNvCxnSpPr/>
      </xdr:nvCxnSpPr>
      <xdr:spPr>
        <a:xfrm flipV="1">
          <a:off x="7462426" y="9992078"/>
          <a:ext cx="82315" cy="417688"/>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4</xdr:col>
      <xdr:colOff>933615</xdr:colOff>
      <xdr:row>35</xdr:row>
      <xdr:rowOff>212608</xdr:rowOff>
    </xdr:from>
    <xdr:ext cx="1638370" cy="591059"/>
    <mc:AlternateContent xmlns:mc="http://schemas.openxmlformats.org/markup-compatibility/2006" xmlns:a14="http://schemas.microsoft.com/office/drawing/2010/main">
      <mc:Choice Requires="a14">
        <xdr:sp macro="" textlink="">
          <xdr:nvSpPr>
            <xdr:cNvPr id="12" name="TextBox 11">
              <a:extLst>
                <a:ext uri="{FF2B5EF4-FFF2-40B4-BE49-F238E27FC236}">
                  <a16:creationId xmlns:a16="http://schemas.microsoft.com/office/drawing/2014/main" id="{020C0D98-A496-4849-AB3D-5BE09904E966}"/>
                </a:ext>
              </a:extLst>
            </xdr:cNvPr>
            <xdr:cNvSpPr txBox="1"/>
          </xdr:nvSpPr>
          <xdr:spPr>
            <a:xfrm>
              <a:off x="6483515" y="9407408"/>
              <a:ext cx="1638370" cy="5910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300" i="1">
                        <a:latin typeface="Cambria Math" panose="02040503050406030204" pitchFamily="18" charset="0"/>
                        <a:ea typeface="Cambria Math" panose="02040503050406030204" pitchFamily="18" charset="0"/>
                      </a:rPr>
                      <m:t>𝜈</m:t>
                    </m:r>
                    <m:r>
                      <a:rPr lang="it-IT" sz="1300" b="0" i="1">
                        <a:latin typeface="Cambria Math" panose="02040503050406030204" pitchFamily="18" charset="0"/>
                        <a:ea typeface="Cambria Math" panose="02040503050406030204" pitchFamily="18" charset="0"/>
                      </a:rPr>
                      <m:t>=</m:t>
                    </m:r>
                    <m:f>
                      <m:fPr>
                        <m:ctrlPr>
                          <a:rPr lang="it-IT" sz="1300" b="0" i="1">
                            <a:latin typeface="Cambria Math" panose="02040503050406030204" pitchFamily="18" charset="0"/>
                            <a:ea typeface="Cambria Math" panose="02040503050406030204" pitchFamily="18" charset="0"/>
                          </a:rPr>
                        </m:ctrlPr>
                      </m:fPr>
                      <m:num>
                        <m:r>
                          <a:rPr lang="it-IT" sz="1300" b="0" i="1">
                            <a:latin typeface="Cambria Math" panose="02040503050406030204" pitchFamily="18" charset="0"/>
                            <a:ea typeface="Cambria Math" panose="02040503050406030204" pitchFamily="18" charset="0"/>
                          </a:rPr>
                          <m:t>1</m:t>
                        </m:r>
                      </m:num>
                      <m:den>
                        <m:r>
                          <a:rPr lang="it-IT" sz="1300" b="0" i="1">
                            <a:latin typeface="Cambria Math" panose="02040503050406030204" pitchFamily="18" charset="0"/>
                            <a:ea typeface="Cambria Math" panose="02040503050406030204" pitchFamily="18" charset="0"/>
                          </a:rPr>
                          <m:t>2</m:t>
                        </m:r>
                        <m:r>
                          <a:rPr lang="it-IT" sz="1300" b="0" i="1">
                            <a:latin typeface="Cambria Math" panose="02040503050406030204" pitchFamily="18" charset="0"/>
                            <a:ea typeface="Cambria Math" panose="02040503050406030204" pitchFamily="18" charset="0"/>
                          </a:rPr>
                          <m:t>𝜋</m:t>
                        </m:r>
                        <m:r>
                          <a:rPr lang="it-IT" sz="1300" b="0" i="1">
                            <a:latin typeface="Cambria Math" panose="02040503050406030204" pitchFamily="18" charset="0"/>
                            <a:ea typeface="Cambria Math" panose="02040503050406030204" pitchFamily="18" charset="0"/>
                          </a:rPr>
                          <m:t>𝑐</m:t>
                        </m:r>
                      </m:den>
                    </m:f>
                    <m:rad>
                      <m:radPr>
                        <m:degHide m:val="on"/>
                        <m:ctrlPr>
                          <a:rPr lang="it-IT" sz="1300" b="0" i="1">
                            <a:latin typeface="Cambria Math" panose="02040503050406030204" pitchFamily="18" charset="0"/>
                            <a:ea typeface="Cambria Math" panose="02040503050406030204" pitchFamily="18" charset="0"/>
                          </a:rPr>
                        </m:ctrlPr>
                      </m:radPr>
                      <m:deg/>
                      <m:e>
                        <m:f>
                          <m:fPr>
                            <m:ctrlPr>
                              <a:rPr lang="it-IT" sz="1300" b="0" i="1">
                                <a:latin typeface="Cambria Math" panose="02040503050406030204" pitchFamily="18" charset="0"/>
                                <a:ea typeface="Cambria Math" panose="02040503050406030204" pitchFamily="18" charset="0"/>
                              </a:rPr>
                            </m:ctrlPr>
                          </m:fPr>
                          <m:num>
                            <m:r>
                              <a:rPr lang="it-IT" sz="1300" b="0" i="1">
                                <a:latin typeface="Cambria Math" panose="02040503050406030204" pitchFamily="18" charset="0"/>
                                <a:ea typeface="Cambria Math" panose="02040503050406030204" pitchFamily="18" charset="0"/>
                              </a:rPr>
                              <m:t>𝑘</m:t>
                            </m:r>
                          </m:num>
                          <m:den>
                            <m:r>
                              <a:rPr lang="it-IT" sz="1300" b="0" i="1">
                                <a:solidFill>
                                  <a:srgbClr val="FF0000"/>
                                </a:solidFill>
                                <a:latin typeface="Cambria Math" panose="02040503050406030204" pitchFamily="18" charset="0"/>
                                <a:ea typeface="Cambria Math" panose="02040503050406030204" pitchFamily="18" charset="0"/>
                              </a:rPr>
                              <m:t>𝜇</m:t>
                            </m:r>
                          </m:den>
                        </m:f>
                      </m:e>
                    </m:rad>
                  </m:oMath>
                </m:oMathPara>
              </a14:m>
              <a:endParaRPr lang="en-US" sz="1300"/>
            </a:p>
          </xdr:txBody>
        </xdr:sp>
      </mc:Choice>
      <mc:Fallback xmlns="">
        <xdr:sp macro="" textlink="">
          <xdr:nvSpPr>
            <xdr:cNvPr id="12" name="TextBox 11">
              <a:extLst>
                <a:ext uri="{FF2B5EF4-FFF2-40B4-BE49-F238E27FC236}">
                  <a16:creationId xmlns:a16="http://schemas.microsoft.com/office/drawing/2014/main" id="{020C0D98-A496-4849-AB3D-5BE09904E966}"/>
                </a:ext>
              </a:extLst>
            </xdr:cNvPr>
            <xdr:cNvSpPr txBox="1"/>
          </xdr:nvSpPr>
          <xdr:spPr>
            <a:xfrm>
              <a:off x="6483515" y="9407408"/>
              <a:ext cx="1638370" cy="5910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300" i="0">
                  <a:latin typeface="Cambria Math" panose="02040503050406030204" pitchFamily="18" charset="0"/>
                  <a:ea typeface="Cambria Math" panose="02040503050406030204" pitchFamily="18" charset="0"/>
                </a:rPr>
                <a:t>𝜈</a:t>
              </a:r>
              <a:r>
                <a:rPr lang="it-IT" sz="1300" b="0" i="0">
                  <a:latin typeface="Cambria Math" panose="02040503050406030204" pitchFamily="18" charset="0"/>
                  <a:ea typeface="Cambria Math" panose="02040503050406030204" pitchFamily="18" charset="0"/>
                </a:rPr>
                <a:t>=1/2𝜋𝑐 √(𝑘/</a:t>
              </a:r>
              <a:r>
                <a:rPr lang="it-IT" sz="1300" b="0" i="0">
                  <a:solidFill>
                    <a:srgbClr val="FF0000"/>
                  </a:solidFill>
                  <a:latin typeface="Cambria Math" panose="02040503050406030204" pitchFamily="18" charset="0"/>
                  <a:ea typeface="Cambria Math" panose="02040503050406030204" pitchFamily="18" charset="0"/>
                </a:rPr>
                <a:t>𝜇)</a:t>
              </a:r>
              <a:endParaRPr lang="en-US" sz="1300"/>
            </a:p>
          </xdr:txBody>
        </xdr:sp>
      </mc:Fallback>
    </mc:AlternateContent>
    <xdr:clientData/>
  </xdr:oneCellAnchor>
  <xdr:twoCellAnchor>
    <xdr:from>
      <xdr:col>5</xdr:col>
      <xdr:colOff>1023055</xdr:colOff>
      <xdr:row>37</xdr:row>
      <xdr:rowOff>223426</xdr:rowOff>
    </xdr:from>
    <xdr:to>
      <xdr:col>6</xdr:col>
      <xdr:colOff>576204</xdr:colOff>
      <xdr:row>39</xdr:row>
      <xdr:rowOff>199907</xdr:rowOff>
    </xdr:to>
    <xdr:cxnSp macro="">
      <xdr:nvCxnSpPr>
        <xdr:cNvPr id="13" name="Straight Arrow Connector 12">
          <a:extLst>
            <a:ext uri="{FF2B5EF4-FFF2-40B4-BE49-F238E27FC236}">
              <a16:creationId xmlns:a16="http://schemas.microsoft.com/office/drawing/2014/main" id="{F429CC7A-C6E5-E54C-9F74-0B0AB45B59A8}"/>
            </a:ext>
          </a:extLst>
        </xdr:cNvPr>
        <xdr:cNvCxnSpPr/>
      </xdr:nvCxnSpPr>
      <xdr:spPr>
        <a:xfrm flipH="1" flipV="1">
          <a:off x="7944555" y="9926226"/>
          <a:ext cx="645349" cy="471781"/>
        </a:xfrm>
        <a:prstGeom prst="straightConnector1">
          <a:avLst/>
        </a:prstGeom>
        <a:ln>
          <a:solidFill>
            <a:srgbClr val="FF0000"/>
          </a:solidFill>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7</xdr:col>
      <xdr:colOff>728134</xdr:colOff>
      <xdr:row>70</xdr:row>
      <xdr:rowOff>222790</xdr:rowOff>
    </xdr:from>
    <xdr:to>
      <xdr:col>14</xdr:col>
      <xdr:colOff>351463</xdr:colOff>
      <xdr:row>85</xdr:row>
      <xdr:rowOff>135466</xdr:rowOff>
    </xdr:to>
    <xdr:graphicFrame macro="">
      <xdr:nvGraphicFramePr>
        <xdr:cNvPr id="14" name="Chart 13">
          <a:extLst>
            <a:ext uri="{FF2B5EF4-FFF2-40B4-BE49-F238E27FC236}">
              <a16:creationId xmlns:a16="http://schemas.microsoft.com/office/drawing/2014/main" id="{FDF64EFC-C4D6-AA49-8488-A3231CE694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359975</xdr:colOff>
      <xdr:row>92</xdr:row>
      <xdr:rowOff>168476</xdr:rowOff>
    </xdr:from>
    <xdr:to>
      <xdr:col>6</xdr:col>
      <xdr:colOff>520551</xdr:colOff>
      <xdr:row>92</xdr:row>
      <xdr:rowOff>183073</xdr:rowOff>
    </xdr:to>
    <xdr:cxnSp macro="">
      <xdr:nvCxnSpPr>
        <xdr:cNvPr id="15" name="Straight Arrow Connector 14">
          <a:extLst>
            <a:ext uri="{FF2B5EF4-FFF2-40B4-BE49-F238E27FC236}">
              <a16:creationId xmlns:a16="http://schemas.microsoft.com/office/drawing/2014/main" id="{AB926BF4-DA0D-A24E-959C-7931D01BFD36}"/>
            </a:ext>
          </a:extLst>
        </xdr:cNvPr>
        <xdr:cNvCxnSpPr/>
      </xdr:nvCxnSpPr>
      <xdr:spPr>
        <a:xfrm>
          <a:off x="5909875" y="24031776"/>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6</xdr:col>
      <xdr:colOff>887238</xdr:colOff>
      <xdr:row>90</xdr:row>
      <xdr:rowOff>194410</xdr:rowOff>
    </xdr:from>
    <xdr:ext cx="2036135" cy="805477"/>
    <mc:AlternateContent xmlns:mc="http://schemas.openxmlformats.org/markup-compatibility/2006" xmlns:a14="http://schemas.microsoft.com/office/drawing/2010/main">
      <mc:Choice Requires="a14">
        <xdr:sp macro="" textlink="">
          <xdr:nvSpPr>
            <xdr:cNvPr id="16" name="TextBox 15">
              <a:extLst>
                <a:ext uri="{FF2B5EF4-FFF2-40B4-BE49-F238E27FC236}">
                  <a16:creationId xmlns:a16="http://schemas.microsoft.com/office/drawing/2014/main" id="{D17BB673-2A2C-2E4F-AED0-BC6F378E1E6C}"/>
                </a:ext>
              </a:extLst>
            </xdr:cNvPr>
            <xdr:cNvSpPr txBox="1"/>
          </xdr:nvSpPr>
          <xdr:spPr>
            <a:xfrm>
              <a:off x="8900938" y="23575110"/>
              <a:ext cx="2036135" cy="8054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𝑣𝑖𝑏</m:t>
                        </m:r>
                      </m:sub>
                    </m:sSub>
                    <m:r>
                      <a:rPr lang="it-IT" sz="1600" b="0" i="1">
                        <a:latin typeface="Cambria Math" panose="02040503050406030204" pitchFamily="18" charset="0"/>
                      </a:rPr>
                      <m:t>=</m:t>
                    </m:r>
                    <m:nary>
                      <m:naryPr>
                        <m:chr m:val="∏"/>
                        <m:ctrlPr>
                          <a:rPr lang="it-IT" sz="1600" b="0" i="1">
                            <a:latin typeface="Cambria Math" panose="02040503050406030204" pitchFamily="18" charset="0"/>
                          </a:rPr>
                        </m:ctrlPr>
                      </m:naryPr>
                      <m:sub>
                        <m:r>
                          <m:rPr>
                            <m:brk m:alnAt="23"/>
                          </m:rPr>
                          <a:rPr lang="it-IT" sz="1600" b="0" i="1">
                            <a:latin typeface="Cambria Math" panose="02040503050406030204" pitchFamily="18" charset="0"/>
                          </a:rPr>
                          <m:t>𝑖</m:t>
                        </m:r>
                        <m:r>
                          <a:rPr lang="it-IT" sz="1600" b="0" i="1">
                            <a:latin typeface="Cambria Math" panose="02040503050406030204" pitchFamily="18" charset="0"/>
                          </a:rPr>
                          <m:t>=1</m:t>
                        </m:r>
                      </m:sub>
                      <m:sup>
                        <m:sSub>
                          <m:sSubPr>
                            <m:ctrlPr>
                              <a:rPr lang="it-IT" sz="1600" b="0" i="1">
                                <a:latin typeface="Cambria Math" panose="02040503050406030204" pitchFamily="18" charset="0"/>
                              </a:rPr>
                            </m:ctrlPr>
                          </m:sSubPr>
                          <m:e>
                            <m:r>
                              <a:rPr lang="it-IT" sz="1600" b="0" i="1">
                                <a:latin typeface="Cambria Math" panose="02040503050406030204" pitchFamily="18" charset="0"/>
                              </a:rPr>
                              <m:t>𝑁</m:t>
                            </m:r>
                          </m:e>
                          <m:sub>
                            <m:r>
                              <a:rPr lang="it-IT" sz="1600" b="0" i="1">
                                <a:latin typeface="Cambria Math" panose="02040503050406030204" pitchFamily="18" charset="0"/>
                              </a:rPr>
                              <m:t>𝑣𝑖𝑏</m:t>
                            </m:r>
                          </m:sub>
                        </m:sSub>
                      </m:sup>
                      <m:e>
                        <m:f>
                          <m:fPr>
                            <m:ctrlPr>
                              <a:rPr lang="it-IT" sz="1600" b="0" i="1">
                                <a:latin typeface="Cambria Math" panose="02040503050406030204" pitchFamily="18" charset="0"/>
                              </a:rPr>
                            </m:ctrlPr>
                          </m:fPr>
                          <m:num>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d>
                                  <m:dPr>
                                    <m:ctrlPr>
                                      <a:rPr lang="it-IT" sz="1600" b="0" i="1">
                                        <a:latin typeface="Cambria Math" panose="02040503050406030204" pitchFamily="18" charset="0"/>
                                      </a:rPr>
                                    </m:ctrlPr>
                                  </m:dPr>
                                  <m:e>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h</m:t>
                                        </m:r>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𝜐</m:t>
                                            </m:r>
                                          </m:e>
                                          <m:sub>
                                            <m:r>
                                              <a:rPr lang="it-IT" sz="1600" b="0" i="1">
                                                <a:latin typeface="Cambria Math" panose="02040503050406030204" pitchFamily="18" charset="0"/>
                                              </a:rPr>
                                              <m:t>𝑖</m:t>
                                            </m:r>
                                          </m:sub>
                                        </m:sSub>
                                      </m:num>
                                      <m:den>
                                        <m:r>
                                          <a:rPr lang="it-IT" sz="1600" b="0" i="1">
                                            <a:latin typeface="Cambria Math" panose="02040503050406030204" pitchFamily="18" charset="0"/>
                                          </a:rPr>
                                          <m:t>2</m:t>
                                        </m:r>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e>
                                </m:d>
                              </m:sup>
                            </m:sSup>
                          </m:num>
                          <m:den>
                            <m:r>
                              <a:rPr lang="it-IT" sz="1600" b="0" i="1">
                                <a:latin typeface="Cambria Math" panose="02040503050406030204" pitchFamily="18" charset="0"/>
                              </a:rPr>
                              <m:t>1−</m:t>
                            </m:r>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d>
                                  <m:dPr>
                                    <m:ctrlPr>
                                      <a:rPr lang="it-IT" sz="1600" b="0" i="1">
                                        <a:latin typeface="Cambria Math" panose="02040503050406030204" pitchFamily="18" charset="0"/>
                                      </a:rPr>
                                    </m:ctrlPr>
                                  </m:dPr>
                                  <m:e>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h</m:t>
                                        </m:r>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𝜐</m:t>
                                            </m:r>
                                          </m:e>
                                          <m:sub>
                                            <m:r>
                                              <a:rPr lang="it-IT" sz="1600" b="0" i="1">
                                                <a:latin typeface="Cambria Math" panose="02040503050406030204" pitchFamily="18" charset="0"/>
                                              </a:rPr>
                                              <m:t>𝑖</m:t>
                                            </m:r>
                                          </m:sub>
                                        </m:sSub>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e>
                                </m:d>
                              </m:sup>
                            </m:sSup>
                          </m:den>
                        </m:f>
                      </m:e>
                    </m:nary>
                  </m:oMath>
                </m:oMathPara>
              </a14:m>
              <a:endParaRPr lang="en-US" sz="1600"/>
            </a:p>
          </xdr:txBody>
        </xdr:sp>
      </mc:Choice>
      <mc:Fallback xmlns="">
        <xdr:sp macro="" textlink="">
          <xdr:nvSpPr>
            <xdr:cNvPr id="16" name="TextBox 15">
              <a:extLst>
                <a:ext uri="{FF2B5EF4-FFF2-40B4-BE49-F238E27FC236}">
                  <a16:creationId xmlns:a16="http://schemas.microsoft.com/office/drawing/2014/main" id="{D17BB673-2A2C-2E4F-AED0-BC6F378E1E6C}"/>
                </a:ext>
              </a:extLst>
            </xdr:cNvPr>
            <xdr:cNvSpPr txBox="1"/>
          </xdr:nvSpPr>
          <xdr:spPr>
            <a:xfrm>
              <a:off x="8900938" y="23575110"/>
              <a:ext cx="2036135" cy="8054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𝑣𝑖𝑏=∏_(𝑖=1)^(𝑁_𝑣𝑖𝑏)▒𝑒^((−(ℎ</a:t>
              </a:r>
              <a:r>
                <a:rPr lang="it-IT" sz="1600" b="0" i="0">
                  <a:latin typeface="Cambria Math" panose="02040503050406030204" pitchFamily="18" charset="0"/>
                  <a:ea typeface="Cambria Math" panose="02040503050406030204" pitchFamily="18" charset="0"/>
                </a:rPr>
                <a:t>𝜐_</a:t>
              </a:r>
              <a:r>
                <a:rPr lang="it-IT" sz="1600" b="0" i="0">
                  <a:latin typeface="Cambria Math" panose="02040503050406030204" pitchFamily="18" charset="0"/>
                </a:rPr>
                <a:t>𝑖)/(2𝑘_𝑏 𝑇)) )/(1−𝑒^((−(ℎ</a:t>
              </a:r>
              <a:r>
                <a:rPr lang="it-IT" sz="1600" b="0" i="0">
                  <a:latin typeface="Cambria Math" panose="02040503050406030204" pitchFamily="18" charset="0"/>
                  <a:ea typeface="Cambria Math" panose="02040503050406030204" pitchFamily="18" charset="0"/>
                </a:rPr>
                <a:t>𝜐_</a:t>
              </a:r>
              <a:r>
                <a:rPr lang="it-IT" sz="1600" b="0" i="0">
                  <a:latin typeface="Cambria Math" panose="02040503050406030204" pitchFamily="18" charset="0"/>
                </a:rPr>
                <a:t>𝑖)/(𝑘_𝑏 𝑇)) ) )</a:t>
              </a:r>
              <a:endParaRPr lang="en-US" sz="1600"/>
            </a:p>
          </xdr:txBody>
        </xdr:sp>
      </mc:Fallback>
    </mc:AlternateContent>
    <xdr:clientData/>
  </xdr:oneCellAnchor>
  <xdr:twoCellAnchor>
    <xdr:from>
      <xdr:col>9</xdr:col>
      <xdr:colOff>445581</xdr:colOff>
      <xdr:row>90</xdr:row>
      <xdr:rowOff>63114</xdr:rowOff>
    </xdr:from>
    <xdr:to>
      <xdr:col>12</xdr:col>
      <xdr:colOff>766140</xdr:colOff>
      <xdr:row>94</xdr:row>
      <xdr:rowOff>220870</xdr:rowOff>
    </xdr:to>
    <xdr:sp macro="" textlink="">
      <xdr:nvSpPr>
        <xdr:cNvPr id="17" name="Rectangle 16">
          <a:extLst>
            <a:ext uri="{FF2B5EF4-FFF2-40B4-BE49-F238E27FC236}">
              <a16:creationId xmlns:a16="http://schemas.microsoft.com/office/drawing/2014/main" id="{64DE6EF1-40C3-6749-AAF8-0F66768BFDB3}"/>
            </a:ext>
          </a:extLst>
        </xdr:cNvPr>
        <xdr:cNvSpPr/>
      </xdr:nvSpPr>
      <xdr:spPr>
        <a:xfrm>
          <a:off x="11431081" y="23443814"/>
          <a:ext cx="3609859" cy="122455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N</a:t>
          </a:r>
          <a:r>
            <a:rPr lang="en-US" sz="1100" b="1" baseline="-25000"/>
            <a:t>vib</a:t>
          </a:r>
          <a:r>
            <a:rPr lang="en-US" sz="1100" b="1" baseline="0"/>
            <a:t> represents the number of vibrational modes of a molecule. Since those only depend from the mass of the atoms in the molecule and are not dependent on the temperature considered, we will use directly the experimental data for the theoretical results calculation</a:t>
          </a:r>
          <a:endParaRPr lang="en-US" sz="1100" b="1" baseline="-25000"/>
        </a:p>
      </xdr:txBody>
    </xdr:sp>
    <xdr:clientData/>
  </xdr:twoCellAnchor>
  <xdr:twoCellAnchor>
    <xdr:from>
      <xdr:col>11</xdr:col>
      <xdr:colOff>558800</xdr:colOff>
      <xdr:row>107</xdr:row>
      <xdr:rowOff>228599</xdr:rowOff>
    </xdr:from>
    <xdr:to>
      <xdr:col>15</xdr:col>
      <xdr:colOff>372533</xdr:colOff>
      <xdr:row>124</xdr:row>
      <xdr:rowOff>50800</xdr:rowOff>
    </xdr:to>
    <xdr:graphicFrame macro="">
      <xdr:nvGraphicFramePr>
        <xdr:cNvPr id="18" name="Chart 17">
          <a:extLst>
            <a:ext uri="{FF2B5EF4-FFF2-40B4-BE49-F238E27FC236}">
              <a16:creationId xmlns:a16="http://schemas.microsoft.com/office/drawing/2014/main" id="{19B9DD72-DE1D-974B-A4EA-A5E3FD159D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452528</xdr:colOff>
      <xdr:row>127</xdr:row>
      <xdr:rowOff>131380</xdr:rowOff>
    </xdr:from>
    <xdr:to>
      <xdr:col>6</xdr:col>
      <xdr:colOff>613104</xdr:colOff>
      <xdr:row>127</xdr:row>
      <xdr:rowOff>145977</xdr:rowOff>
    </xdr:to>
    <xdr:cxnSp macro="">
      <xdr:nvCxnSpPr>
        <xdr:cNvPr id="19" name="Straight Arrow Connector 18">
          <a:extLst>
            <a:ext uri="{FF2B5EF4-FFF2-40B4-BE49-F238E27FC236}">
              <a16:creationId xmlns:a16="http://schemas.microsoft.com/office/drawing/2014/main" id="{3786826A-9C3B-614E-B09D-3F99DB4D9ED5}"/>
            </a:ext>
          </a:extLst>
        </xdr:cNvPr>
        <xdr:cNvCxnSpPr/>
      </xdr:nvCxnSpPr>
      <xdr:spPr>
        <a:xfrm>
          <a:off x="6002428" y="328338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125030</xdr:colOff>
      <xdr:row>125</xdr:row>
      <xdr:rowOff>179868</xdr:rowOff>
    </xdr:from>
    <xdr:ext cx="1504001" cy="494110"/>
    <mc:AlternateContent xmlns:mc="http://schemas.openxmlformats.org/markup-compatibility/2006" xmlns:a14="http://schemas.microsoft.com/office/drawing/2010/main">
      <mc:Choice Requires="a14">
        <xdr:sp macro="" textlink="">
          <xdr:nvSpPr>
            <xdr:cNvPr id="20" name="TextBox 19">
              <a:extLst>
                <a:ext uri="{FF2B5EF4-FFF2-40B4-BE49-F238E27FC236}">
                  <a16:creationId xmlns:a16="http://schemas.microsoft.com/office/drawing/2014/main" id="{2FF40E2F-BC57-6D44-B005-1382F8A9C418}"/>
                </a:ext>
              </a:extLst>
            </xdr:cNvPr>
            <xdr:cNvSpPr txBox="1"/>
          </xdr:nvSpPr>
          <xdr:spPr>
            <a:xfrm>
              <a:off x="9421430" y="32437868"/>
              <a:ext cx="1504001" cy="494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2</m:t>
                        </m:r>
                        <m:r>
                          <a:rPr lang="it-IT" sz="1600" b="0" i="1">
                            <a:latin typeface="Cambria Math" panose="02040503050406030204" pitchFamily="18" charset="0"/>
                          </a:rPr>
                          <m:t>𝐷</m:t>
                        </m:r>
                      </m:sup>
                    </m:sSubSup>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8</m:t>
                        </m:r>
                        <m:sSup>
                          <m:sSupPr>
                            <m:ctrlPr>
                              <a:rPr lang="it-IT" sz="1600" b="0" i="1">
                                <a:latin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𝜋</m:t>
                            </m:r>
                          </m:e>
                          <m:sup>
                            <m:r>
                              <a:rPr lang="it-IT" sz="1600" b="0" i="1">
                                <a:latin typeface="Cambria Math" panose="02040503050406030204" pitchFamily="18" charset="0"/>
                              </a:rPr>
                              <m:t>2</m:t>
                            </m:r>
                          </m:sup>
                        </m:sSup>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𝑇𝐼</m:t>
                        </m:r>
                      </m:num>
                      <m:den>
                        <m:r>
                          <a:rPr lang="it-IT" sz="1600" b="0" i="1">
                            <a:latin typeface="Cambria Math" panose="02040503050406030204" pitchFamily="18" charset="0"/>
                            <a:ea typeface="Cambria Math" panose="02040503050406030204" pitchFamily="18" charset="0"/>
                          </a:rPr>
                          <m:t>𝜎</m:t>
                        </m:r>
                        <m:sSup>
                          <m:sSupPr>
                            <m:ctrlPr>
                              <a:rPr lang="it-IT" sz="1600" b="0" i="1">
                                <a:latin typeface="Cambria Math" panose="02040503050406030204" pitchFamily="18" charset="0"/>
                                <a:ea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h</m:t>
                            </m:r>
                          </m:e>
                          <m:sup>
                            <m:r>
                              <a:rPr lang="it-IT" sz="1600" b="0" i="1">
                                <a:latin typeface="Cambria Math" panose="02040503050406030204" pitchFamily="18" charset="0"/>
                                <a:ea typeface="Cambria Math" panose="02040503050406030204" pitchFamily="18" charset="0"/>
                              </a:rPr>
                              <m:t>2</m:t>
                            </m:r>
                          </m:sup>
                        </m:sSup>
                      </m:den>
                    </m:f>
                  </m:oMath>
                </m:oMathPara>
              </a14:m>
              <a:endParaRPr lang="en-US" sz="1600"/>
            </a:p>
          </xdr:txBody>
        </xdr:sp>
      </mc:Choice>
      <mc:Fallback xmlns="">
        <xdr:sp macro="" textlink="">
          <xdr:nvSpPr>
            <xdr:cNvPr id="20" name="TextBox 19">
              <a:extLst>
                <a:ext uri="{FF2B5EF4-FFF2-40B4-BE49-F238E27FC236}">
                  <a16:creationId xmlns:a16="http://schemas.microsoft.com/office/drawing/2014/main" id="{2FF40E2F-BC57-6D44-B005-1382F8A9C418}"/>
                </a:ext>
              </a:extLst>
            </xdr:cNvPr>
            <xdr:cNvSpPr txBox="1"/>
          </xdr:nvSpPr>
          <xdr:spPr>
            <a:xfrm>
              <a:off x="9421430" y="32437868"/>
              <a:ext cx="1504001" cy="494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𝑄_𝑟𝑜𝑡^2𝐷=(8</a:t>
              </a:r>
              <a:r>
                <a:rPr lang="it-IT" sz="1600" b="0" i="0">
                  <a:latin typeface="Cambria Math" panose="02040503050406030204" pitchFamily="18" charset="0"/>
                  <a:ea typeface="Cambria Math" panose="02040503050406030204" pitchFamily="18" charset="0"/>
                </a:rPr>
                <a:t>𝜋^</a:t>
              </a:r>
              <a:r>
                <a:rPr lang="it-IT" sz="1600" b="0" i="0">
                  <a:latin typeface="Cambria Math" panose="02040503050406030204" pitchFamily="18" charset="0"/>
                </a:rPr>
                <a:t>2 𝑘_𝑏 𝑇𝐼)/(</a:t>
              </a:r>
              <a:r>
                <a:rPr lang="it-IT" sz="1600" b="0" i="0">
                  <a:latin typeface="Cambria Math" panose="02040503050406030204" pitchFamily="18" charset="0"/>
                  <a:ea typeface="Cambria Math" panose="02040503050406030204" pitchFamily="18" charset="0"/>
                </a:rPr>
                <a:t>𝜎ℎ^2 )</a:t>
              </a:r>
              <a:endParaRPr lang="en-US" sz="1600"/>
            </a:p>
          </xdr:txBody>
        </xdr:sp>
      </mc:Fallback>
    </mc:AlternateContent>
    <xdr:clientData/>
  </xdr:oneCellAnchor>
  <xdr:twoCellAnchor>
    <xdr:from>
      <xdr:col>6</xdr:col>
      <xdr:colOff>750454</xdr:colOff>
      <xdr:row>126</xdr:row>
      <xdr:rowOff>72159</xdr:rowOff>
    </xdr:from>
    <xdr:to>
      <xdr:col>7</xdr:col>
      <xdr:colOff>137102</xdr:colOff>
      <xdr:row>130</xdr:row>
      <xdr:rowOff>202046</xdr:rowOff>
    </xdr:to>
    <xdr:sp macro="" textlink="">
      <xdr:nvSpPr>
        <xdr:cNvPr id="21" name="Left Brace 20">
          <a:extLst>
            <a:ext uri="{FF2B5EF4-FFF2-40B4-BE49-F238E27FC236}">
              <a16:creationId xmlns:a16="http://schemas.microsoft.com/office/drawing/2014/main" id="{43C3B6FD-B22D-3E49-AB5E-8AB6498A3DBC}"/>
            </a:ext>
          </a:extLst>
        </xdr:cNvPr>
        <xdr:cNvSpPr/>
      </xdr:nvSpPr>
      <xdr:spPr>
        <a:xfrm>
          <a:off x="8764154" y="32533359"/>
          <a:ext cx="669348" cy="1222087"/>
        </a:xfrm>
        <a:prstGeom prst="leftBrace">
          <a:avLst>
            <a:gd name="adj1" fmla="val 8333"/>
            <a:gd name="adj2" fmla="val 26786"/>
          </a:avLst>
        </a:prstGeom>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10</xdr:col>
      <xdr:colOff>418580</xdr:colOff>
      <xdr:row>125</xdr:row>
      <xdr:rowOff>183035</xdr:rowOff>
    </xdr:from>
    <xdr:to>
      <xdr:col>14</xdr:col>
      <xdr:colOff>737933</xdr:colOff>
      <xdr:row>130</xdr:row>
      <xdr:rowOff>238851</xdr:rowOff>
    </xdr:to>
    <mc:AlternateContent xmlns:mc="http://schemas.openxmlformats.org/markup-compatibility/2006" xmlns:a14="http://schemas.microsoft.com/office/drawing/2010/main">
      <mc:Choice Requires="a14">
        <xdr:sp macro="" textlink="">
          <xdr:nvSpPr>
            <xdr:cNvPr id="22" name="Rectangle 21">
              <a:extLst>
                <a:ext uri="{FF2B5EF4-FFF2-40B4-BE49-F238E27FC236}">
                  <a16:creationId xmlns:a16="http://schemas.microsoft.com/office/drawing/2014/main" id="{5DEB98DA-D16B-7E41-9191-0DAE9A140228}"/>
                </a:ext>
              </a:extLst>
            </xdr:cNvPr>
            <xdr:cNvSpPr/>
          </xdr:nvSpPr>
          <xdr:spPr>
            <a:xfrm>
              <a:off x="12521680" y="32441035"/>
              <a:ext cx="4726253" cy="135121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I</a:t>
              </a:r>
              <a:r>
                <a:rPr lang="en-US" sz="1100" b="1" baseline="-25000"/>
                <a:t>x</a:t>
              </a:r>
              <a:r>
                <a:rPr lang="en-US" sz="1100" b="0"/>
                <a:t>,</a:t>
              </a:r>
              <a:r>
                <a:rPr lang="en-US" sz="1100" b="1" baseline="0"/>
                <a:t> I</a:t>
              </a:r>
              <a:r>
                <a:rPr lang="en-US" sz="1100" b="1" baseline="-25000"/>
                <a:t>y</a:t>
              </a:r>
              <a:r>
                <a:rPr lang="en-US" sz="1100" b="0" baseline="0"/>
                <a:t>,</a:t>
              </a:r>
              <a:r>
                <a:rPr lang="en-US" sz="1100" b="1" baseline="0"/>
                <a:t> I</a:t>
              </a:r>
              <a:r>
                <a:rPr lang="en-US" sz="1100" b="1" baseline="-25000"/>
                <a:t>z</a:t>
              </a:r>
              <a:r>
                <a:rPr lang="en-US" sz="1100" b="1" baseline="0"/>
                <a:t> </a:t>
              </a:r>
              <a:r>
                <a:rPr lang="en-US" sz="1100" b="0" baseline="0"/>
                <a:t>are the principal moments of inertia, while </a:t>
              </a:r>
              <a14:m>
                <m:oMath xmlns:m="http://schemas.openxmlformats.org/officeDocument/2006/math">
                  <m:r>
                    <a:rPr lang="it-IT" sz="1100" b="1" i="1">
                      <a:latin typeface="Cambria Math" panose="02040503050406030204" pitchFamily="18" charset="0"/>
                      <a:ea typeface="Cambria Math" panose="02040503050406030204" pitchFamily="18" charset="0"/>
                    </a:rPr>
                    <m:t>𝝈</m:t>
                  </m:r>
                </m:oMath>
              </a14:m>
              <a:r>
                <a:rPr lang="en-US" sz="1100" b="1" baseline="0"/>
                <a:t> </a:t>
              </a:r>
              <a:r>
                <a:rPr lang="en-US" sz="1100" b="0" baseline="0"/>
                <a:t>is the rotational simmetry number (number of identical configurations obtained by rotation of the molecule around he center of simmetry). </a:t>
              </a:r>
              <a:r>
                <a:rPr lang="en-US" sz="1100" b="0"/>
                <a:t>Furthermore, Gaussian</a:t>
              </a:r>
              <a:r>
                <a:rPr lang="en-US" sz="1100" b="0" baseline="0"/>
                <a:t> internally uses a different formulation for the rotational partition function:</a:t>
              </a:r>
              <a:endParaRPr lang="en-US" sz="1100" b="0"/>
            </a:p>
          </xdr:txBody>
        </xdr:sp>
      </mc:Choice>
      <mc:Fallback xmlns="">
        <xdr:sp macro="" textlink="">
          <xdr:nvSpPr>
            <xdr:cNvPr id="22" name="Rectangle 21">
              <a:extLst>
                <a:ext uri="{FF2B5EF4-FFF2-40B4-BE49-F238E27FC236}">
                  <a16:creationId xmlns:a16="http://schemas.microsoft.com/office/drawing/2014/main" id="{5DEB98DA-D16B-7E41-9191-0DAE9A140228}"/>
                </a:ext>
              </a:extLst>
            </xdr:cNvPr>
            <xdr:cNvSpPr/>
          </xdr:nvSpPr>
          <xdr:spPr>
            <a:xfrm>
              <a:off x="12521680" y="32441035"/>
              <a:ext cx="4726253" cy="135121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I</a:t>
              </a:r>
              <a:r>
                <a:rPr lang="en-US" sz="1100" b="1" baseline="-25000"/>
                <a:t>x</a:t>
              </a:r>
              <a:r>
                <a:rPr lang="en-US" sz="1100" b="0"/>
                <a:t>,</a:t>
              </a:r>
              <a:r>
                <a:rPr lang="en-US" sz="1100" b="1" baseline="0"/>
                <a:t> I</a:t>
              </a:r>
              <a:r>
                <a:rPr lang="en-US" sz="1100" b="1" baseline="-25000"/>
                <a:t>y</a:t>
              </a:r>
              <a:r>
                <a:rPr lang="en-US" sz="1100" b="0" baseline="0"/>
                <a:t>,</a:t>
              </a:r>
              <a:r>
                <a:rPr lang="en-US" sz="1100" b="1" baseline="0"/>
                <a:t> I</a:t>
              </a:r>
              <a:r>
                <a:rPr lang="en-US" sz="1100" b="1" baseline="-25000"/>
                <a:t>z</a:t>
              </a:r>
              <a:r>
                <a:rPr lang="en-US" sz="1100" b="1" baseline="0"/>
                <a:t> </a:t>
              </a:r>
              <a:r>
                <a:rPr lang="en-US" sz="1100" b="0" baseline="0"/>
                <a:t>are the principal moments of inertia, while </a:t>
              </a:r>
              <a:r>
                <a:rPr lang="it-IT" sz="1100" b="1" i="0">
                  <a:latin typeface="Cambria Math" panose="02040503050406030204" pitchFamily="18" charset="0"/>
                  <a:ea typeface="Cambria Math" panose="02040503050406030204" pitchFamily="18" charset="0"/>
                </a:rPr>
                <a:t>𝝈</a:t>
              </a:r>
              <a:r>
                <a:rPr lang="en-US" sz="1100" b="1" baseline="0"/>
                <a:t> </a:t>
              </a:r>
              <a:r>
                <a:rPr lang="en-US" sz="1100" b="0" baseline="0"/>
                <a:t>is the rotational simmetry number (number of identical configurations obtained by rotation of the molecule around he center of simmetry). </a:t>
              </a:r>
              <a:r>
                <a:rPr lang="en-US" sz="1100" b="0"/>
                <a:t>Furthermore, Gaussian</a:t>
              </a:r>
              <a:r>
                <a:rPr lang="en-US" sz="1100" b="0" baseline="0"/>
                <a:t> internally uses a different formulation for the rotational partition function:</a:t>
              </a:r>
              <a:endParaRPr lang="en-US" sz="1100" b="0"/>
            </a:p>
          </xdr:txBody>
        </xdr:sp>
      </mc:Fallback>
    </mc:AlternateContent>
    <xdr:clientData/>
  </xdr:twoCellAnchor>
  <xdr:oneCellAnchor>
    <xdr:from>
      <xdr:col>7</xdr:col>
      <xdr:colOff>62175</xdr:colOff>
      <xdr:row>128</xdr:row>
      <xdr:rowOff>95489</xdr:rowOff>
    </xdr:from>
    <xdr:ext cx="2805896" cy="622543"/>
    <mc:AlternateContent xmlns:mc="http://schemas.openxmlformats.org/markup-compatibility/2006" xmlns:a14="http://schemas.microsoft.com/office/drawing/2010/main">
      <mc:Choice Requires="a14">
        <xdr:sp macro="" textlink="">
          <xdr:nvSpPr>
            <xdr:cNvPr id="23" name="TextBox 22">
              <a:extLst>
                <a:ext uri="{FF2B5EF4-FFF2-40B4-BE49-F238E27FC236}">
                  <a16:creationId xmlns:a16="http://schemas.microsoft.com/office/drawing/2014/main" id="{10BCE27D-9D3E-5248-9DF6-C5D88B658916}"/>
                </a:ext>
              </a:extLst>
            </xdr:cNvPr>
            <xdr:cNvSpPr txBox="1"/>
          </xdr:nvSpPr>
          <xdr:spPr>
            <a:xfrm>
              <a:off x="9358575" y="33140889"/>
              <a:ext cx="2805896" cy="6225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3</m:t>
                        </m:r>
                        <m:r>
                          <a:rPr lang="it-IT" sz="1600" b="0" i="1">
                            <a:latin typeface="Cambria Math" panose="02040503050406030204" pitchFamily="18" charset="0"/>
                          </a:rPr>
                          <m:t>𝐷</m:t>
                        </m:r>
                      </m:sup>
                    </m:sSubSup>
                    <m:r>
                      <a:rPr lang="it-IT" sz="1600" b="0" i="1">
                        <a:latin typeface="Cambria Math" panose="02040503050406030204" pitchFamily="18" charset="0"/>
                      </a:rPr>
                      <m:t>(1)=</m:t>
                    </m:r>
                    <m:f>
                      <m:fPr>
                        <m:ctrlPr>
                          <a:rPr lang="it-IT" sz="1600" b="0" i="1">
                            <a:latin typeface="Cambria Math" panose="02040503050406030204" pitchFamily="18" charset="0"/>
                          </a:rPr>
                        </m:ctrlPr>
                      </m:fPr>
                      <m:num>
                        <m:r>
                          <a:rPr lang="it-IT" sz="1600" b="0" i="1">
                            <a:latin typeface="Cambria Math" panose="02040503050406030204" pitchFamily="18" charset="0"/>
                          </a:rPr>
                          <m:t>8</m:t>
                        </m:r>
                        <m:sSup>
                          <m:sSupPr>
                            <m:ctrlPr>
                              <a:rPr lang="it-IT" sz="1600" b="0" i="1">
                                <a:latin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𝜋</m:t>
                            </m:r>
                          </m:e>
                          <m:sup>
                            <m:r>
                              <a:rPr lang="it-IT" sz="1600" b="0" i="1">
                                <a:latin typeface="Cambria Math" panose="02040503050406030204" pitchFamily="18" charset="0"/>
                              </a:rPr>
                              <m:t>2</m:t>
                            </m:r>
                          </m:sup>
                        </m:sSup>
                        <m:sSup>
                          <m:sSupPr>
                            <m:ctrlPr>
                              <a:rPr lang="it-IT" sz="1600" b="0" i="1">
                                <a:latin typeface="Cambria Math" panose="02040503050406030204" pitchFamily="18" charset="0"/>
                              </a:rPr>
                            </m:ctrlPr>
                          </m:sSupPr>
                          <m:e>
                            <m:d>
                              <m:dPr>
                                <m:ctrlPr>
                                  <a:rPr lang="it-IT" sz="1600" b="0" i="1">
                                    <a:latin typeface="Cambria Math" panose="02040503050406030204" pitchFamily="18" charset="0"/>
                                  </a:rPr>
                                </m:ctrlPr>
                              </m:dPr>
                              <m:e>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rad>
                          <m:radPr>
                            <m:degHide m:val="on"/>
                            <m:ctrlPr>
                              <a:rPr lang="it-IT" sz="1600" b="0" i="1">
                                <a:latin typeface="Cambria Math" panose="02040503050406030204" pitchFamily="18" charset="0"/>
                              </a:rPr>
                            </m:ctrlPr>
                          </m:radPr>
                          <m:deg/>
                          <m:e>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𝑥</m:t>
                                </m:r>
                              </m:sub>
                            </m:sSub>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𝑦</m:t>
                                </m:r>
                              </m:sub>
                            </m:sSub>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𝑧</m:t>
                                </m:r>
                              </m:sub>
                            </m:sSub>
                          </m:e>
                        </m:rad>
                      </m:num>
                      <m:den>
                        <m:r>
                          <a:rPr lang="it-IT" sz="1600" b="0" i="1">
                            <a:latin typeface="Cambria Math" panose="02040503050406030204" pitchFamily="18" charset="0"/>
                            <a:ea typeface="Cambria Math" panose="02040503050406030204" pitchFamily="18" charset="0"/>
                          </a:rPr>
                          <m:t>𝜎</m:t>
                        </m:r>
                        <m:sSup>
                          <m:sSupPr>
                            <m:ctrlPr>
                              <a:rPr lang="it-IT" sz="1600" b="0" i="1">
                                <a:latin typeface="Cambria Math" panose="02040503050406030204" pitchFamily="18" charset="0"/>
                                <a:ea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h</m:t>
                            </m:r>
                          </m:e>
                          <m:sup>
                            <m:r>
                              <a:rPr lang="it-IT" sz="1600" b="0" i="1">
                                <a:latin typeface="Cambria Math" panose="02040503050406030204" pitchFamily="18" charset="0"/>
                                <a:ea typeface="Cambria Math" panose="02040503050406030204" pitchFamily="18" charset="0"/>
                              </a:rPr>
                              <m:t>3</m:t>
                            </m:r>
                          </m:sup>
                        </m:sSup>
                      </m:den>
                    </m:f>
                  </m:oMath>
                </m:oMathPara>
              </a14:m>
              <a:endParaRPr lang="en-US" sz="1600"/>
            </a:p>
          </xdr:txBody>
        </xdr:sp>
      </mc:Choice>
      <mc:Fallback xmlns="">
        <xdr:sp macro="" textlink="">
          <xdr:nvSpPr>
            <xdr:cNvPr id="23" name="TextBox 22">
              <a:extLst>
                <a:ext uri="{FF2B5EF4-FFF2-40B4-BE49-F238E27FC236}">
                  <a16:creationId xmlns:a16="http://schemas.microsoft.com/office/drawing/2014/main" id="{10BCE27D-9D3E-5248-9DF6-C5D88B658916}"/>
                </a:ext>
              </a:extLst>
            </xdr:cNvPr>
            <xdr:cNvSpPr txBox="1"/>
          </xdr:nvSpPr>
          <xdr:spPr>
            <a:xfrm>
              <a:off x="9358575" y="33140889"/>
              <a:ext cx="2805896" cy="6225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𝑄_𝑟𝑜𝑡^3𝐷 (1)=(8</a:t>
              </a:r>
              <a:r>
                <a:rPr lang="it-IT" sz="1600" b="0" i="0">
                  <a:latin typeface="Cambria Math" panose="02040503050406030204" pitchFamily="18" charset="0"/>
                  <a:ea typeface="Cambria Math" panose="02040503050406030204" pitchFamily="18" charset="0"/>
                </a:rPr>
                <a:t>𝜋^</a:t>
              </a:r>
              <a:r>
                <a:rPr lang="it-IT" sz="1600" b="0" i="0">
                  <a:latin typeface="Cambria Math" panose="02040503050406030204" pitchFamily="18" charset="0"/>
                </a:rPr>
                <a:t>2 (2</a:t>
              </a:r>
              <a:r>
                <a:rPr lang="it-IT" sz="1600" b="0" i="0">
                  <a:latin typeface="Cambria Math" panose="02040503050406030204" pitchFamily="18" charset="0"/>
                  <a:ea typeface="Cambria Math" panose="02040503050406030204" pitchFamily="18" charset="0"/>
                </a:rPr>
                <a:t>𝜋𝑘_𝑏 𝑇)^(</a:t>
              </a:r>
              <a:r>
                <a:rPr lang="it-IT" sz="1600" b="0" i="0">
                  <a:latin typeface="Cambria Math" panose="02040503050406030204" pitchFamily="18" charset="0"/>
                </a:rPr>
                <a:t>3/2) √(𝐼_𝑥 𝐼_𝑦 𝐼_𝑧 ))/(</a:t>
              </a:r>
              <a:r>
                <a:rPr lang="it-IT" sz="1600" b="0" i="0">
                  <a:latin typeface="Cambria Math" panose="02040503050406030204" pitchFamily="18" charset="0"/>
                  <a:ea typeface="Cambria Math" panose="02040503050406030204" pitchFamily="18" charset="0"/>
                </a:rPr>
                <a:t>𝜎ℎ^3 )</a:t>
              </a:r>
              <a:endParaRPr lang="en-US" sz="1600"/>
            </a:p>
          </xdr:txBody>
        </xdr:sp>
      </mc:Fallback>
    </mc:AlternateContent>
    <xdr:clientData/>
  </xdr:oneCellAnchor>
  <xdr:twoCellAnchor>
    <xdr:from>
      <xdr:col>7</xdr:col>
      <xdr:colOff>38099</xdr:colOff>
      <xdr:row>128</xdr:row>
      <xdr:rowOff>63500</xdr:rowOff>
    </xdr:from>
    <xdr:to>
      <xdr:col>10</xdr:col>
      <xdr:colOff>362856</xdr:colOff>
      <xdr:row>131</xdr:row>
      <xdr:rowOff>88900</xdr:rowOff>
    </xdr:to>
    <xdr:sp macro="" textlink="">
      <xdr:nvSpPr>
        <xdr:cNvPr id="24" name="Rounded Rectangle 23">
          <a:extLst>
            <a:ext uri="{FF2B5EF4-FFF2-40B4-BE49-F238E27FC236}">
              <a16:creationId xmlns:a16="http://schemas.microsoft.com/office/drawing/2014/main" id="{F34F0189-52F8-B04B-A11A-18EB88270939}"/>
            </a:ext>
          </a:extLst>
        </xdr:cNvPr>
        <xdr:cNvSpPr/>
      </xdr:nvSpPr>
      <xdr:spPr>
        <a:xfrm>
          <a:off x="9334499" y="33108900"/>
          <a:ext cx="3131457" cy="787400"/>
        </a:xfrm>
        <a:prstGeom prst="roundRect">
          <a:avLst/>
        </a:prstGeom>
        <a:noFill/>
        <a:ln w="2857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11</xdr:col>
      <xdr:colOff>213330</xdr:colOff>
      <xdr:row>131</xdr:row>
      <xdr:rowOff>77170</xdr:rowOff>
    </xdr:from>
    <xdr:ext cx="2304349" cy="792718"/>
    <mc:AlternateContent xmlns:mc="http://schemas.openxmlformats.org/markup-compatibility/2006" xmlns:a14="http://schemas.microsoft.com/office/drawing/2010/main">
      <mc:Choice Requires="a14">
        <xdr:sp macro="" textlink="">
          <xdr:nvSpPr>
            <xdr:cNvPr id="25" name="TextBox 24">
              <a:extLst>
                <a:ext uri="{FF2B5EF4-FFF2-40B4-BE49-F238E27FC236}">
                  <a16:creationId xmlns:a16="http://schemas.microsoft.com/office/drawing/2014/main" id="{CA8BDC99-1DC6-F94E-A5FF-D341FA20DACD}"/>
                </a:ext>
              </a:extLst>
            </xdr:cNvPr>
            <xdr:cNvSpPr txBox="1"/>
          </xdr:nvSpPr>
          <xdr:spPr>
            <a:xfrm>
              <a:off x="13408630" y="33884570"/>
              <a:ext cx="2304349" cy="7927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3</m:t>
                        </m:r>
                        <m:r>
                          <a:rPr lang="it-IT" sz="1600" b="0" i="1">
                            <a:latin typeface="Cambria Math" panose="02040503050406030204" pitchFamily="18" charset="0"/>
                          </a:rPr>
                          <m:t>𝐷</m:t>
                        </m:r>
                      </m:sup>
                    </m:sSubSup>
                    <m:r>
                      <a:rPr lang="it-IT" sz="1600" b="0" i="1">
                        <a:latin typeface="Cambria Math" panose="02040503050406030204" pitchFamily="18" charset="0"/>
                      </a:rPr>
                      <m:t>(2)=</m:t>
                    </m:r>
                    <m:f>
                      <m:fPr>
                        <m:ctrlPr>
                          <a:rPr lang="it-IT" sz="1600" b="0" i="1">
                            <a:latin typeface="Cambria Math" panose="02040503050406030204" pitchFamily="18" charset="0"/>
                          </a:rPr>
                        </m:ctrlPr>
                      </m:fPr>
                      <m:num>
                        <m:rad>
                          <m:radPr>
                            <m:degHide m:val="on"/>
                            <m:ctrlPr>
                              <a:rPr lang="it-IT" sz="1600" b="0" i="1">
                                <a:latin typeface="Cambria Math" panose="02040503050406030204" pitchFamily="18" charset="0"/>
                              </a:rPr>
                            </m:ctrlPr>
                          </m:radPr>
                          <m:deg/>
                          <m:e>
                            <m:r>
                              <a:rPr lang="it-IT" sz="1600" b="0" i="1">
                                <a:latin typeface="Cambria Math" panose="02040503050406030204" pitchFamily="18" charset="0"/>
                                <a:ea typeface="Cambria Math" panose="02040503050406030204" pitchFamily="18" charset="0"/>
                              </a:rPr>
                              <m:t>𝜋</m:t>
                            </m:r>
                          </m:e>
                        </m:rad>
                      </m:num>
                      <m:den>
                        <m:r>
                          <a:rPr lang="it-IT" sz="1600" b="0" i="1">
                            <a:latin typeface="Cambria Math" panose="02040503050406030204" pitchFamily="18" charset="0"/>
                            <a:ea typeface="Cambria Math" panose="02040503050406030204" pitchFamily="18" charset="0"/>
                          </a:rPr>
                          <m:t>𝜎</m:t>
                        </m:r>
                      </m:den>
                    </m:f>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sSup>
                              <m:sSupPr>
                                <m:ctrlPr>
                                  <a:rPr lang="it-IT" sz="1600" b="0" i="1">
                                    <a:latin typeface="Cambria Math" panose="02040503050406030204" pitchFamily="18" charset="0"/>
                                  </a:rPr>
                                </m:ctrlPr>
                              </m:sSupPr>
                              <m:e>
                                <m:r>
                                  <a:rPr lang="it-IT" sz="1600" b="0" i="1">
                                    <a:latin typeface="Cambria Math" panose="02040503050406030204" pitchFamily="18" charset="0"/>
                                  </a:rPr>
                                  <m:t>𝑇</m:t>
                                </m:r>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num>
                          <m:den>
                            <m:rad>
                              <m:radPr>
                                <m:degHide m:val="on"/>
                                <m:ctrlPr>
                                  <a:rPr lang="it-IT" sz="1600" b="0" i="1">
                                    <a:latin typeface="Cambria Math" panose="02040503050406030204" pitchFamily="18" charset="0"/>
                                  </a:rPr>
                                </m:ctrlPr>
                              </m:radPr>
                              <m:deg/>
                              <m:e>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rPr>
                                      <m:t>𝑥</m:t>
                                    </m:r>
                                  </m:sub>
                                </m:sSub>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ea typeface="Cambria Math" panose="02040503050406030204" pitchFamily="18" charset="0"/>
                                      </a:rPr>
                                      <m:t>𝑦</m:t>
                                    </m:r>
                                  </m:sub>
                                </m:sSub>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ea typeface="Cambria Math" panose="02040503050406030204" pitchFamily="18" charset="0"/>
                                      </a:rPr>
                                      <m:t>𝑧</m:t>
                                    </m:r>
                                  </m:sub>
                                </m:sSub>
                              </m:e>
                            </m:rad>
                          </m:den>
                        </m:f>
                      </m:e>
                    </m:d>
                  </m:oMath>
                </m:oMathPara>
              </a14:m>
              <a:endParaRPr lang="en-US" sz="1600"/>
            </a:p>
          </xdr:txBody>
        </xdr:sp>
      </mc:Choice>
      <mc:Fallback xmlns="">
        <xdr:sp macro="" textlink="">
          <xdr:nvSpPr>
            <xdr:cNvPr id="25" name="TextBox 24">
              <a:extLst>
                <a:ext uri="{FF2B5EF4-FFF2-40B4-BE49-F238E27FC236}">
                  <a16:creationId xmlns:a16="http://schemas.microsoft.com/office/drawing/2014/main" id="{CA8BDC99-1DC6-F94E-A5FF-D341FA20DACD}"/>
                </a:ext>
              </a:extLst>
            </xdr:cNvPr>
            <xdr:cNvSpPr txBox="1"/>
          </xdr:nvSpPr>
          <xdr:spPr>
            <a:xfrm>
              <a:off x="13408630" y="33884570"/>
              <a:ext cx="2304349" cy="7927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𝑄_𝑟𝑜𝑡^3𝐷 (2)=√</a:t>
              </a:r>
              <a:r>
                <a:rPr lang="it-IT" sz="1600" b="0" i="0">
                  <a:latin typeface="Cambria Math" panose="02040503050406030204" pitchFamily="18" charset="0"/>
                  <a:ea typeface="Cambria Math" panose="02040503050406030204" pitchFamily="18" charset="0"/>
                </a:rPr>
                <a:t>𝜋/𝜎 </a:t>
              </a:r>
              <a:r>
                <a:rPr lang="it-IT" sz="1600" b="0" i="0">
                  <a:latin typeface="Cambria Math" panose="02040503050406030204" pitchFamily="18" charset="0"/>
                </a:rPr>
                <a:t>(𝑇^(3/2)/√(</a:t>
              </a:r>
              <a:r>
                <a:rPr lang="it-IT" sz="1600" b="0" i="0">
                  <a:latin typeface="Cambria Math" panose="02040503050406030204" pitchFamily="18" charset="0"/>
                  <a:ea typeface="Cambria Math" panose="02040503050406030204" pitchFamily="18" charset="0"/>
                </a:rPr>
                <a:t>𝜃_</a:t>
              </a:r>
              <a:r>
                <a:rPr lang="it-IT" sz="1600" b="0" i="0">
                  <a:latin typeface="Cambria Math" panose="02040503050406030204" pitchFamily="18" charset="0"/>
                </a:rPr>
                <a:t>𝑥 </a:t>
              </a:r>
              <a:r>
                <a:rPr lang="it-IT" sz="1600" b="0" i="0">
                  <a:latin typeface="Cambria Math" panose="02040503050406030204" pitchFamily="18" charset="0"/>
                  <a:ea typeface="Cambria Math" panose="02040503050406030204" pitchFamily="18" charset="0"/>
                </a:rPr>
                <a:t>𝜃_𝑦 𝜃_𝑧 ))</a:t>
              </a:r>
              <a:endParaRPr lang="en-US" sz="1600"/>
            </a:p>
          </xdr:txBody>
        </xdr:sp>
      </mc:Fallback>
    </mc:AlternateContent>
    <xdr:clientData/>
  </xdr:oneCellAnchor>
  <xdr:twoCellAnchor>
    <xdr:from>
      <xdr:col>10</xdr:col>
      <xdr:colOff>833739</xdr:colOff>
      <xdr:row>130</xdr:row>
      <xdr:rowOff>126030</xdr:rowOff>
    </xdr:from>
    <xdr:to>
      <xdr:col>11</xdr:col>
      <xdr:colOff>213330</xdr:colOff>
      <xdr:row>132</xdr:row>
      <xdr:rowOff>194408</xdr:rowOff>
    </xdr:to>
    <xdr:cxnSp macro="">
      <xdr:nvCxnSpPr>
        <xdr:cNvPr id="26" name="Curved Connector 25">
          <a:extLst>
            <a:ext uri="{FF2B5EF4-FFF2-40B4-BE49-F238E27FC236}">
              <a16:creationId xmlns:a16="http://schemas.microsoft.com/office/drawing/2014/main" id="{5FEF0578-F02B-A64F-BBE9-2D5F76D11285}"/>
            </a:ext>
          </a:extLst>
        </xdr:cNvPr>
        <xdr:cNvCxnSpPr>
          <a:endCxn id="25" idx="1"/>
        </xdr:cNvCxnSpPr>
      </xdr:nvCxnSpPr>
      <xdr:spPr>
        <a:xfrm rot="16200000" flipH="1">
          <a:off x="12871846" y="33744423"/>
          <a:ext cx="601778" cy="471791"/>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9769</xdr:colOff>
      <xdr:row>142</xdr:row>
      <xdr:rowOff>222807</xdr:rowOff>
    </xdr:from>
    <xdr:to>
      <xdr:col>15</xdr:col>
      <xdr:colOff>824046</xdr:colOff>
      <xdr:row>155</xdr:row>
      <xdr:rowOff>171380</xdr:rowOff>
    </xdr:to>
    <xdr:graphicFrame macro="">
      <xdr:nvGraphicFramePr>
        <xdr:cNvPr id="27" name="Chart 26">
          <a:extLst>
            <a:ext uri="{FF2B5EF4-FFF2-40B4-BE49-F238E27FC236}">
              <a16:creationId xmlns:a16="http://schemas.microsoft.com/office/drawing/2014/main" id="{CC390C61-A505-424B-93D2-C88CDAE7F5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oneCellAnchor>
    <xdr:from>
      <xdr:col>9</xdr:col>
      <xdr:colOff>745958</xdr:colOff>
      <xdr:row>156</xdr:row>
      <xdr:rowOff>38545</xdr:rowOff>
    </xdr:from>
    <xdr:ext cx="65" cy="172227"/>
    <xdr:sp macro="" textlink="">
      <xdr:nvSpPr>
        <xdr:cNvPr id="28" name="TextBox 27">
          <a:extLst>
            <a:ext uri="{FF2B5EF4-FFF2-40B4-BE49-F238E27FC236}">
              <a16:creationId xmlns:a16="http://schemas.microsoft.com/office/drawing/2014/main" id="{10624040-2A79-3F42-99C7-AAFCA61C2D62}"/>
            </a:ext>
          </a:extLst>
        </xdr:cNvPr>
        <xdr:cNvSpPr txBox="1"/>
      </xdr:nvSpPr>
      <xdr:spPr>
        <a:xfrm>
          <a:off x="11731458" y="4000544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twoCellAnchor>
    <xdr:from>
      <xdr:col>4</xdr:col>
      <xdr:colOff>452528</xdr:colOff>
      <xdr:row>163</xdr:row>
      <xdr:rowOff>131380</xdr:rowOff>
    </xdr:from>
    <xdr:to>
      <xdr:col>6</xdr:col>
      <xdr:colOff>613104</xdr:colOff>
      <xdr:row>163</xdr:row>
      <xdr:rowOff>145977</xdr:rowOff>
    </xdr:to>
    <xdr:cxnSp macro="">
      <xdr:nvCxnSpPr>
        <xdr:cNvPr id="29" name="Straight Arrow Connector 28">
          <a:extLst>
            <a:ext uri="{FF2B5EF4-FFF2-40B4-BE49-F238E27FC236}">
              <a16:creationId xmlns:a16="http://schemas.microsoft.com/office/drawing/2014/main" id="{C6C8ABBD-F78E-D944-A4A2-E83AABB7F8D6}"/>
            </a:ext>
          </a:extLst>
        </xdr:cNvPr>
        <xdr:cNvCxnSpPr/>
      </xdr:nvCxnSpPr>
      <xdr:spPr>
        <a:xfrm>
          <a:off x="6002428" y="415968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209696</xdr:colOff>
      <xdr:row>161</xdr:row>
      <xdr:rowOff>239134</xdr:rowOff>
    </xdr:from>
    <xdr:ext cx="1988301" cy="695255"/>
    <mc:AlternateContent xmlns:mc="http://schemas.openxmlformats.org/markup-compatibility/2006" xmlns:a14="http://schemas.microsoft.com/office/drawing/2010/main">
      <mc:Choice Requires="a14">
        <xdr:sp macro="" textlink="">
          <xdr:nvSpPr>
            <xdr:cNvPr id="30" name="TextBox 29">
              <a:extLst>
                <a:ext uri="{FF2B5EF4-FFF2-40B4-BE49-F238E27FC236}">
                  <a16:creationId xmlns:a16="http://schemas.microsoft.com/office/drawing/2014/main" id="{392C21C0-C791-B443-9694-4134869D7D59}"/>
                </a:ext>
              </a:extLst>
            </xdr:cNvPr>
            <xdr:cNvSpPr txBox="1"/>
          </xdr:nvSpPr>
          <xdr:spPr>
            <a:xfrm>
              <a:off x="9506096" y="41222034"/>
              <a:ext cx="1988301" cy="6952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nary>
                      <m:naryPr>
                        <m:chr m:val="∑"/>
                        <m:ctrlPr>
                          <a:rPr lang="it-IT" sz="1600" b="0" i="1">
                            <a:latin typeface="Cambria Math" panose="02040503050406030204" pitchFamily="18" charset="0"/>
                          </a:rPr>
                        </m:ctrlPr>
                      </m:naryPr>
                      <m:sub>
                        <m:r>
                          <m:rPr>
                            <m:brk m:alnAt="23"/>
                          </m:rPr>
                          <a:rPr lang="it-IT" sz="1600" b="0" i="1">
                            <a:latin typeface="Cambria Math" panose="02040503050406030204" pitchFamily="18" charset="0"/>
                          </a:rPr>
                          <m:t>𝑖</m:t>
                        </m:r>
                        <m:r>
                          <a:rPr lang="it-IT" sz="1600" b="0" i="1">
                            <a:latin typeface="Cambria Math" panose="02040503050406030204" pitchFamily="18" charset="0"/>
                          </a:rPr>
                          <m:t>=0</m:t>
                        </m:r>
                      </m:sub>
                      <m:sup>
                        <m:r>
                          <a:rPr lang="it-IT" sz="1600" b="0" i="1">
                            <a:latin typeface="Cambria Math" panose="02040503050406030204" pitchFamily="18" charset="0"/>
                            <a:ea typeface="Cambria Math" panose="02040503050406030204" pitchFamily="18" charset="0"/>
                          </a:rPr>
                          <m:t>∞</m:t>
                        </m:r>
                      </m:sup>
                      <m:e>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𝑖</m:t>
                            </m:r>
                          </m:sup>
                        </m:sSubSup>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r>
                              <a:rPr lang="it-IT" sz="1600" b="0" i="1">
                                <a:latin typeface="Cambria Math" panose="02040503050406030204" pitchFamily="18" charset="0"/>
                              </a:rPr>
                              <m:t>−</m:t>
                            </m:r>
                            <m:f>
                              <m:fPr>
                                <m:ctrlPr>
                                  <a:rPr lang="it-IT" sz="1600" b="0" i="1">
                                    <a:latin typeface="Cambria Math" panose="02040503050406030204" pitchFamily="18" charset="0"/>
                                  </a:rPr>
                                </m:ctrlPr>
                              </m:fPr>
                              <m:num>
                                <m:sSubSup>
                                  <m:sSubSupPr>
                                    <m:ctrlPr>
                                      <a:rPr lang="it-IT" sz="1600" b="0" i="1">
                                        <a:latin typeface="Cambria Math" panose="02040503050406030204" pitchFamily="18" charset="0"/>
                                      </a:rPr>
                                    </m:ctrlPr>
                                  </m:sSubSupPr>
                                  <m:e>
                                    <m:r>
                                      <a:rPr lang="it-IT" sz="1600" b="0" i="1">
                                        <a:latin typeface="Cambria Math" panose="02040503050406030204" pitchFamily="18" charset="0"/>
                                      </a:rPr>
                                      <m:t>𝐸</m:t>
                                    </m:r>
                                  </m:e>
                                  <m:sub>
                                    <m:r>
                                      <a:rPr lang="it-IT" sz="1600" b="0" i="1">
                                        <a:latin typeface="Cambria Math" panose="02040503050406030204" pitchFamily="18" charset="0"/>
                                      </a:rPr>
                                      <m:t>𝑒𝑙</m:t>
                                    </m:r>
                                  </m:sub>
                                  <m:sup>
                                    <m:r>
                                      <a:rPr lang="it-IT" sz="1600" b="0" i="1">
                                        <a:latin typeface="Cambria Math" panose="02040503050406030204" pitchFamily="18" charset="0"/>
                                      </a:rPr>
                                      <m:t>𝑖</m:t>
                                    </m:r>
                                  </m:sup>
                                </m:sSubSup>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sup>
                        </m:sSup>
                      </m:e>
                    </m:nary>
                  </m:oMath>
                </m:oMathPara>
              </a14:m>
              <a:endParaRPr lang="en-US" sz="1600"/>
            </a:p>
          </xdr:txBody>
        </xdr:sp>
      </mc:Choice>
      <mc:Fallback xmlns="">
        <xdr:sp macro="" textlink="">
          <xdr:nvSpPr>
            <xdr:cNvPr id="30" name="TextBox 29">
              <a:extLst>
                <a:ext uri="{FF2B5EF4-FFF2-40B4-BE49-F238E27FC236}">
                  <a16:creationId xmlns:a16="http://schemas.microsoft.com/office/drawing/2014/main" id="{392C21C0-C791-B443-9694-4134869D7D59}"/>
                </a:ext>
              </a:extLst>
            </xdr:cNvPr>
            <xdr:cNvSpPr txBox="1"/>
          </xdr:nvSpPr>
          <xdr:spPr>
            <a:xfrm>
              <a:off x="9506096" y="41222034"/>
              <a:ext cx="1988301" cy="6952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𝑡𝑟𝑎𝑛𝑠𝑙=∑_(𝑖=0)</a:t>
              </a:r>
              <a:r>
                <a:rPr lang="it-IT" sz="1600" b="0" i="0">
                  <a:latin typeface="Cambria Math" panose="02040503050406030204" pitchFamily="18" charset="0"/>
                  <a:ea typeface="Cambria Math" panose="02040503050406030204" pitchFamily="18" charset="0"/>
                </a:rPr>
                <a:t>^∞▒〖</a:t>
              </a:r>
              <a:r>
                <a:rPr lang="it-IT" sz="1600" b="0" i="0">
                  <a:latin typeface="Cambria Math" panose="02040503050406030204" pitchFamily="18" charset="0"/>
                </a:rPr>
                <a:t>𝑔_𝑒𝑙^𝑖 𝑒^(−(𝐸_𝑒𝑙^𝑖)/(𝑘_𝑏 𝑇)) </a:t>
              </a:r>
              <a:r>
                <a:rPr lang="it-IT" sz="1600" b="0" i="0">
                  <a:latin typeface="Cambria Math" panose="02040503050406030204" pitchFamily="18" charset="0"/>
                  <a:ea typeface="Cambria Math" panose="02040503050406030204" pitchFamily="18" charset="0"/>
                </a:rPr>
                <a:t>〗</a:t>
              </a:r>
              <a:endParaRPr lang="en-US" sz="1600"/>
            </a:p>
          </xdr:txBody>
        </xdr:sp>
      </mc:Fallback>
    </mc:AlternateContent>
    <xdr:clientData/>
  </xdr:oneCellAnchor>
  <xdr:twoCellAnchor>
    <xdr:from>
      <xdr:col>10</xdr:col>
      <xdr:colOff>743214</xdr:colOff>
      <xdr:row>162</xdr:row>
      <xdr:rowOff>75335</xdr:rowOff>
    </xdr:from>
    <xdr:to>
      <xdr:col>14</xdr:col>
      <xdr:colOff>1062567</xdr:colOff>
      <xdr:row>166</xdr:row>
      <xdr:rowOff>218898</xdr:rowOff>
    </xdr:to>
    <xdr:sp macro="" textlink="">
      <xdr:nvSpPr>
        <xdr:cNvPr id="31" name="Rectangle 30">
          <a:extLst>
            <a:ext uri="{FF2B5EF4-FFF2-40B4-BE49-F238E27FC236}">
              <a16:creationId xmlns:a16="http://schemas.microsoft.com/office/drawing/2014/main" id="{A63D9E00-DEE0-0647-8285-508B17F20716}"/>
            </a:ext>
          </a:extLst>
        </xdr:cNvPr>
        <xdr:cNvSpPr/>
      </xdr:nvSpPr>
      <xdr:spPr>
        <a:xfrm>
          <a:off x="12846314" y="41299535"/>
          <a:ext cx="4726253" cy="122306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Form</a:t>
          </a:r>
          <a:r>
            <a:rPr lang="en-US" sz="1100" b="1" baseline="0"/>
            <a:t> Gaussian manual:</a:t>
          </a:r>
          <a:br>
            <a:rPr lang="en-US" sz="1100" b="1" baseline="0"/>
          </a:br>
          <a:r>
            <a:rPr lang="en-US"/>
            <a:t>Gaussian assumes that the first electronic excitation energy is much greater than k</a:t>
          </a:r>
          <a:r>
            <a:rPr lang="en-US" baseline="-25000"/>
            <a:t>B</a:t>
          </a:r>
          <a:r>
            <a:rPr lang="en-US"/>
            <a:t>T. Therefore, the first and higher excited states are assumed to be inaccessible at any temperature. Further, the energy of the ground state is set to zero. </a:t>
          </a:r>
          <a:endParaRPr lang="en-US" sz="1100" b="1"/>
        </a:p>
      </xdr:txBody>
    </xdr:sp>
    <xdr:clientData/>
  </xdr:twoCellAnchor>
  <xdr:twoCellAnchor>
    <xdr:from>
      <xdr:col>9</xdr:col>
      <xdr:colOff>711638</xdr:colOff>
      <xdr:row>163</xdr:row>
      <xdr:rowOff>155965</xdr:rowOff>
    </xdr:from>
    <xdr:to>
      <xdr:col>10</xdr:col>
      <xdr:colOff>679561</xdr:colOff>
      <xdr:row>165</xdr:row>
      <xdr:rowOff>43793</xdr:rowOff>
    </xdr:to>
    <xdr:cxnSp macro="">
      <xdr:nvCxnSpPr>
        <xdr:cNvPr id="32" name="Curved Connector 31">
          <a:extLst>
            <a:ext uri="{FF2B5EF4-FFF2-40B4-BE49-F238E27FC236}">
              <a16:creationId xmlns:a16="http://schemas.microsoft.com/office/drawing/2014/main" id="{A1738983-D3D9-2A43-955E-A428CE3AE0F4}"/>
            </a:ext>
          </a:extLst>
        </xdr:cNvPr>
        <xdr:cNvCxnSpPr/>
      </xdr:nvCxnSpPr>
      <xdr:spPr>
        <a:xfrm flipV="1">
          <a:off x="11697138" y="41621465"/>
          <a:ext cx="1085523" cy="472028"/>
        </a:xfrm>
        <a:prstGeom prst="curvedConnector3">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11</xdr:col>
      <xdr:colOff>440267</xdr:colOff>
      <xdr:row>167</xdr:row>
      <xdr:rowOff>135467</xdr:rowOff>
    </xdr:from>
    <xdr:ext cx="2190536" cy="468205"/>
    <mc:AlternateContent xmlns:mc="http://schemas.openxmlformats.org/markup-compatibility/2006" xmlns:a14="http://schemas.microsoft.com/office/drawing/2010/main">
      <mc:Choice Requires="a14">
        <xdr:sp macro="" textlink="">
          <xdr:nvSpPr>
            <xdr:cNvPr id="33" name="TextBox 32">
              <a:extLst>
                <a:ext uri="{FF2B5EF4-FFF2-40B4-BE49-F238E27FC236}">
                  <a16:creationId xmlns:a16="http://schemas.microsoft.com/office/drawing/2014/main" id="{1A2F1A8F-BBB4-BC4C-918E-FEAD4FD55AC1}"/>
                </a:ext>
              </a:extLst>
            </xdr:cNvPr>
            <xdr:cNvSpPr txBox="1"/>
          </xdr:nvSpPr>
          <xdr:spPr>
            <a:xfrm>
              <a:off x="13635567" y="42693167"/>
              <a:ext cx="2190536" cy="468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r>
                        <a:rPr lang="it-IT" sz="1600" b="0" i="1">
                          <a:latin typeface="Cambria Math" panose="02040503050406030204" pitchFamily="18" charset="0"/>
                        </a:rPr>
                        <m:t>−</m:t>
                      </m:r>
                      <m:f>
                        <m:fPr>
                          <m:ctrlPr>
                            <a:rPr lang="it-IT" sz="1600" b="0" i="1">
                              <a:latin typeface="Cambria Math" panose="02040503050406030204" pitchFamily="18" charset="0"/>
                            </a:rPr>
                          </m:ctrlPr>
                        </m:fPr>
                        <m:num>
                          <m:sSubSup>
                            <m:sSubSupPr>
                              <m:ctrlPr>
                                <a:rPr lang="it-IT" sz="1600" b="0" i="1">
                                  <a:latin typeface="Cambria Math" panose="02040503050406030204" pitchFamily="18" charset="0"/>
                                </a:rPr>
                              </m:ctrlPr>
                            </m:sSubSupPr>
                            <m:e>
                              <m:r>
                                <a:rPr lang="it-IT" sz="1600" b="0" i="1">
                                  <a:latin typeface="Cambria Math" panose="02040503050406030204" pitchFamily="18" charset="0"/>
                                </a:rPr>
                                <m:t>𝐸</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sup>
                  </m:sSup>
                  <m:r>
                    <a:rPr lang="it-IT" sz="1600" b="0" i="1">
                      <a:latin typeface="Cambria Math" panose="02040503050406030204" pitchFamily="18" charset="0"/>
                    </a:rPr>
                    <m:t>=</m:t>
                  </m:r>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oMath>
              </a14:m>
              <a:r>
                <a:rPr lang="en-US" sz="1600"/>
                <a:t> </a:t>
              </a:r>
            </a:p>
          </xdr:txBody>
        </xdr:sp>
      </mc:Choice>
      <mc:Fallback xmlns="">
        <xdr:sp macro="" textlink="">
          <xdr:nvSpPr>
            <xdr:cNvPr id="33" name="TextBox 32">
              <a:extLst>
                <a:ext uri="{FF2B5EF4-FFF2-40B4-BE49-F238E27FC236}">
                  <a16:creationId xmlns:a16="http://schemas.microsoft.com/office/drawing/2014/main" id="{1A2F1A8F-BBB4-BC4C-918E-FEAD4FD55AC1}"/>
                </a:ext>
              </a:extLst>
            </xdr:cNvPr>
            <xdr:cNvSpPr txBox="1"/>
          </xdr:nvSpPr>
          <xdr:spPr>
            <a:xfrm>
              <a:off x="13635567" y="42693167"/>
              <a:ext cx="2190536" cy="468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𝑡𝑟𝑎𝑛𝑠𝑙=𝑔_𝑒𝑙^0 𝑒^(−(𝐸_𝑒𝑙^0)/(𝑘_𝑏 𝑇))=𝑔_𝑒𝑙^0</a:t>
              </a:r>
              <a:r>
                <a:rPr lang="en-US" sz="1600"/>
                <a:t> </a:t>
              </a:r>
            </a:p>
          </xdr:txBody>
        </xdr:sp>
      </mc:Fallback>
    </mc:AlternateContent>
    <xdr:clientData/>
  </xdr:oneCellAnchor>
  <xdr:twoCellAnchor>
    <xdr:from>
      <xdr:col>9</xdr:col>
      <xdr:colOff>810879</xdr:colOff>
      <xdr:row>54</xdr:row>
      <xdr:rowOff>177230</xdr:rowOff>
    </xdr:from>
    <xdr:to>
      <xdr:col>10</xdr:col>
      <xdr:colOff>813725</xdr:colOff>
      <xdr:row>55</xdr:row>
      <xdr:rowOff>101443</xdr:rowOff>
    </xdr:to>
    <xdr:cxnSp macro="">
      <xdr:nvCxnSpPr>
        <xdr:cNvPr id="34" name="Curved Connector 33">
          <a:extLst>
            <a:ext uri="{FF2B5EF4-FFF2-40B4-BE49-F238E27FC236}">
              <a16:creationId xmlns:a16="http://schemas.microsoft.com/office/drawing/2014/main" id="{48316249-AEA1-5D42-A7F7-6631031D26DF}"/>
            </a:ext>
          </a:extLst>
        </xdr:cNvPr>
        <xdr:cNvCxnSpPr/>
      </xdr:nvCxnSpPr>
      <xdr:spPr>
        <a:xfrm>
          <a:off x="11796379" y="14833030"/>
          <a:ext cx="1120446" cy="165513"/>
        </a:xfrm>
        <a:prstGeom prst="curvedConnector3">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245533</xdr:colOff>
      <xdr:row>166</xdr:row>
      <xdr:rowOff>118533</xdr:rowOff>
    </xdr:from>
    <xdr:to>
      <xdr:col>11</xdr:col>
      <xdr:colOff>440266</xdr:colOff>
      <xdr:row>168</xdr:row>
      <xdr:rowOff>124036</xdr:rowOff>
    </xdr:to>
    <xdr:cxnSp macro="">
      <xdr:nvCxnSpPr>
        <xdr:cNvPr id="35" name="Curved Connector 34">
          <a:extLst>
            <a:ext uri="{FF2B5EF4-FFF2-40B4-BE49-F238E27FC236}">
              <a16:creationId xmlns:a16="http://schemas.microsoft.com/office/drawing/2014/main" id="{5292D845-70FC-A440-8C5A-EEF3C51D31DC}"/>
            </a:ext>
          </a:extLst>
        </xdr:cNvPr>
        <xdr:cNvCxnSpPr>
          <a:endCxn id="33" idx="1"/>
        </xdr:cNvCxnSpPr>
      </xdr:nvCxnSpPr>
      <xdr:spPr>
        <a:xfrm rot="16200000" flipH="1">
          <a:off x="13281448" y="42581618"/>
          <a:ext cx="513503" cy="194733"/>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8</xdr:col>
      <xdr:colOff>35473</xdr:colOff>
      <xdr:row>164</xdr:row>
      <xdr:rowOff>144956</xdr:rowOff>
    </xdr:from>
    <xdr:ext cx="1272015" cy="578235"/>
    <mc:AlternateContent xmlns:mc="http://schemas.openxmlformats.org/markup-compatibility/2006" xmlns:a14="http://schemas.microsoft.com/office/drawing/2010/main">
      <mc:Choice Requires="a14">
        <xdr:sp macro="" textlink="">
          <xdr:nvSpPr>
            <xdr:cNvPr id="36" name="TextBox 35">
              <a:extLst>
                <a:ext uri="{FF2B5EF4-FFF2-40B4-BE49-F238E27FC236}">
                  <a16:creationId xmlns:a16="http://schemas.microsoft.com/office/drawing/2014/main" id="{579AD478-0BED-9645-8206-8674EE72BC04}"/>
                </a:ext>
              </a:extLst>
            </xdr:cNvPr>
            <xdr:cNvSpPr txBox="1"/>
          </xdr:nvSpPr>
          <xdr:spPr>
            <a:xfrm>
              <a:off x="10195473" y="41953356"/>
              <a:ext cx="1272015" cy="5782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2000" b="0" i="1">
                        <a:latin typeface="Cambria Math" panose="02040503050406030204" pitchFamily="18" charset="0"/>
                      </a:rPr>
                      <m:t>=</m:t>
                    </m:r>
                    <m:sSubSup>
                      <m:sSubSupPr>
                        <m:ctrlPr>
                          <a:rPr lang="it-IT" sz="2000" b="0" i="1">
                            <a:latin typeface="Cambria Math" panose="02040503050406030204" pitchFamily="18" charset="0"/>
                          </a:rPr>
                        </m:ctrlPr>
                      </m:sSubSupPr>
                      <m:e>
                        <m:r>
                          <a:rPr lang="it-IT" sz="2000" b="0" i="1">
                            <a:latin typeface="Cambria Math" panose="02040503050406030204" pitchFamily="18" charset="0"/>
                          </a:rPr>
                          <m:t>𝑔</m:t>
                        </m:r>
                      </m:e>
                      <m:sub>
                        <m:r>
                          <a:rPr lang="it-IT" sz="2000" b="0" i="1">
                            <a:latin typeface="Cambria Math" panose="02040503050406030204" pitchFamily="18" charset="0"/>
                          </a:rPr>
                          <m:t>𝑒𝑙</m:t>
                        </m:r>
                      </m:sub>
                      <m:sup>
                        <m:r>
                          <a:rPr lang="it-IT" sz="2000" b="0" i="1">
                            <a:latin typeface="Cambria Math" panose="02040503050406030204" pitchFamily="18" charset="0"/>
                          </a:rPr>
                          <m:t>0</m:t>
                        </m:r>
                      </m:sup>
                    </m:sSubSup>
                    <m:sSup>
                      <m:sSupPr>
                        <m:ctrlPr>
                          <a:rPr lang="it-IT" sz="2000" b="0" i="1">
                            <a:latin typeface="Cambria Math" panose="02040503050406030204" pitchFamily="18" charset="0"/>
                          </a:rPr>
                        </m:ctrlPr>
                      </m:sSupPr>
                      <m:e>
                        <m:r>
                          <a:rPr lang="it-IT" sz="2000" b="0" i="1">
                            <a:latin typeface="Cambria Math" panose="02040503050406030204" pitchFamily="18" charset="0"/>
                          </a:rPr>
                          <m:t>𝑒</m:t>
                        </m:r>
                      </m:e>
                      <m:sup>
                        <m:r>
                          <a:rPr lang="it-IT" sz="2000" b="0" i="1">
                            <a:latin typeface="Cambria Math" panose="02040503050406030204" pitchFamily="18" charset="0"/>
                          </a:rPr>
                          <m:t>−</m:t>
                        </m:r>
                        <m:f>
                          <m:fPr>
                            <m:ctrlPr>
                              <a:rPr lang="it-IT" sz="2000" b="0" i="1">
                                <a:latin typeface="Cambria Math" panose="02040503050406030204" pitchFamily="18" charset="0"/>
                              </a:rPr>
                            </m:ctrlPr>
                          </m:fPr>
                          <m:num>
                            <m:sSubSup>
                              <m:sSubSupPr>
                                <m:ctrlPr>
                                  <a:rPr lang="it-IT" sz="2000" b="0" i="1">
                                    <a:latin typeface="Cambria Math" panose="02040503050406030204" pitchFamily="18" charset="0"/>
                                  </a:rPr>
                                </m:ctrlPr>
                              </m:sSubSupPr>
                              <m:e>
                                <m:r>
                                  <a:rPr lang="it-IT" sz="2000" b="0" i="1">
                                    <a:latin typeface="Cambria Math" panose="02040503050406030204" pitchFamily="18" charset="0"/>
                                  </a:rPr>
                                  <m:t>𝐸</m:t>
                                </m:r>
                              </m:e>
                              <m:sub>
                                <m:r>
                                  <a:rPr lang="it-IT" sz="2000" b="0" i="1">
                                    <a:latin typeface="Cambria Math" panose="02040503050406030204" pitchFamily="18" charset="0"/>
                                  </a:rPr>
                                  <m:t>𝑒𝑙</m:t>
                                </m:r>
                              </m:sub>
                              <m:sup>
                                <m:r>
                                  <a:rPr lang="it-IT" sz="2000" b="0" i="1">
                                    <a:latin typeface="Cambria Math" panose="02040503050406030204" pitchFamily="18" charset="0"/>
                                  </a:rPr>
                                  <m:t>0</m:t>
                                </m:r>
                              </m:sup>
                            </m:sSubSup>
                          </m:num>
                          <m:den>
                            <m:sSub>
                              <m:sSubPr>
                                <m:ctrlPr>
                                  <a:rPr lang="it-IT" sz="2000" b="0" i="1">
                                    <a:latin typeface="Cambria Math" panose="02040503050406030204" pitchFamily="18" charset="0"/>
                                  </a:rPr>
                                </m:ctrlPr>
                              </m:sSubPr>
                              <m:e>
                                <m:r>
                                  <a:rPr lang="it-IT" sz="2000" b="0" i="1">
                                    <a:latin typeface="Cambria Math" panose="02040503050406030204" pitchFamily="18" charset="0"/>
                                  </a:rPr>
                                  <m:t>𝑘</m:t>
                                </m:r>
                              </m:e>
                              <m:sub>
                                <m:r>
                                  <a:rPr lang="it-IT" sz="2000" b="0" i="1">
                                    <a:latin typeface="Cambria Math" panose="02040503050406030204" pitchFamily="18" charset="0"/>
                                  </a:rPr>
                                  <m:t>𝑏</m:t>
                                </m:r>
                              </m:sub>
                            </m:sSub>
                            <m:r>
                              <a:rPr lang="it-IT" sz="2000" b="0" i="1">
                                <a:latin typeface="Cambria Math" panose="02040503050406030204" pitchFamily="18" charset="0"/>
                              </a:rPr>
                              <m:t>𝑇</m:t>
                            </m:r>
                          </m:den>
                        </m:f>
                      </m:sup>
                    </m:sSup>
                  </m:oMath>
                </m:oMathPara>
              </a14:m>
              <a:endParaRPr lang="en-US" sz="2000"/>
            </a:p>
          </xdr:txBody>
        </xdr:sp>
      </mc:Choice>
      <mc:Fallback xmlns="">
        <xdr:sp macro="" textlink="">
          <xdr:nvSpPr>
            <xdr:cNvPr id="36" name="TextBox 35">
              <a:extLst>
                <a:ext uri="{FF2B5EF4-FFF2-40B4-BE49-F238E27FC236}">
                  <a16:creationId xmlns:a16="http://schemas.microsoft.com/office/drawing/2014/main" id="{579AD478-0BED-9645-8206-8674EE72BC04}"/>
                </a:ext>
              </a:extLst>
            </xdr:cNvPr>
            <xdr:cNvSpPr txBox="1"/>
          </xdr:nvSpPr>
          <xdr:spPr>
            <a:xfrm>
              <a:off x="10195473" y="41953356"/>
              <a:ext cx="1272015" cy="5782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2000" b="0" i="0">
                  <a:latin typeface="Cambria Math" panose="02040503050406030204" pitchFamily="18" charset="0"/>
                </a:rPr>
                <a:t>=𝑔_𝑒𝑙^0 𝑒^(−(𝐸_𝑒𝑙^0)/(𝑘_𝑏 𝑇))</a:t>
              </a:r>
              <a:endParaRPr lang="en-US" sz="2000"/>
            </a:p>
          </xdr:txBody>
        </xdr:sp>
      </mc:Fallback>
    </mc:AlternateContent>
    <xdr:clientData/>
  </xdr:oneCellAnchor>
  <xdr:twoCellAnchor>
    <xdr:from>
      <xdr:col>7</xdr:col>
      <xdr:colOff>592666</xdr:colOff>
      <xdr:row>179</xdr:row>
      <xdr:rowOff>25400</xdr:rowOff>
    </xdr:from>
    <xdr:to>
      <xdr:col>12</xdr:col>
      <xdr:colOff>762000</xdr:colOff>
      <xdr:row>191</xdr:row>
      <xdr:rowOff>67734</xdr:rowOff>
    </xdr:to>
    <xdr:graphicFrame macro="">
      <xdr:nvGraphicFramePr>
        <xdr:cNvPr id="37" name="Chart 36">
          <a:extLst>
            <a:ext uri="{FF2B5EF4-FFF2-40B4-BE49-F238E27FC236}">
              <a16:creationId xmlns:a16="http://schemas.microsoft.com/office/drawing/2014/main" id="{8114B100-C01C-9D4B-B0C5-91FB8BC62E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452528</xdr:colOff>
      <xdr:row>198</xdr:row>
      <xdr:rowOff>131380</xdr:rowOff>
    </xdr:from>
    <xdr:to>
      <xdr:col>6</xdr:col>
      <xdr:colOff>613104</xdr:colOff>
      <xdr:row>198</xdr:row>
      <xdr:rowOff>145977</xdr:rowOff>
    </xdr:to>
    <xdr:cxnSp macro="">
      <xdr:nvCxnSpPr>
        <xdr:cNvPr id="38" name="Straight Arrow Connector 37">
          <a:extLst>
            <a:ext uri="{FF2B5EF4-FFF2-40B4-BE49-F238E27FC236}">
              <a16:creationId xmlns:a16="http://schemas.microsoft.com/office/drawing/2014/main" id="{FFA8A050-F6B3-AE40-AFA8-128C964E98FA}"/>
            </a:ext>
          </a:extLst>
        </xdr:cNvPr>
        <xdr:cNvCxnSpPr/>
      </xdr:nvCxnSpPr>
      <xdr:spPr>
        <a:xfrm>
          <a:off x="6002428" y="502455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6</xdr:col>
      <xdr:colOff>646187</xdr:colOff>
      <xdr:row>200</xdr:row>
      <xdr:rowOff>189278</xdr:rowOff>
    </xdr:from>
    <xdr:ext cx="282578" cy="411278"/>
    <mc:AlternateContent xmlns:mc="http://schemas.openxmlformats.org/markup-compatibility/2006" xmlns:a14="http://schemas.microsoft.com/office/drawing/2010/main">
      <mc:Choice Requires="a14">
        <xdr:sp macro="" textlink="">
          <xdr:nvSpPr>
            <xdr:cNvPr id="39" name="TextBox 38">
              <a:extLst>
                <a:ext uri="{FF2B5EF4-FFF2-40B4-BE49-F238E27FC236}">
                  <a16:creationId xmlns:a16="http://schemas.microsoft.com/office/drawing/2014/main" id="{424F18D3-4243-404E-A69B-D3CB3ACDA2B7}"/>
                </a:ext>
              </a:extLst>
            </xdr:cNvPr>
            <xdr:cNvSpPr txBox="1"/>
          </xdr:nvSpPr>
          <xdr:spPr>
            <a:xfrm>
              <a:off x="8659887" y="50862278"/>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en-US" sz="1400" i="1">
                            <a:latin typeface="Cambria Math" panose="02040503050406030204" pitchFamily="18" charset="0"/>
                          </a:rPr>
                        </m:ctrlPr>
                      </m:fPr>
                      <m:num>
                        <m:r>
                          <a:rPr lang="it-IT" sz="1400" b="0" i="1">
                            <a:latin typeface="Cambria Math" panose="02040503050406030204" pitchFamily="18" charset="0"/>
                          </a:rPr>
                          <m:t>3</m:t>
                        </m:r>
                      </m:num>
                      <m:den>
                        <m:r>
                          <a:rPr lang="it-IT" sz="1400" b="0" i="1">
                            <a:latin typeface="Cambria Math" panose="02040503050406030204" pitchFamily="18" charset="0"/>
                          </a:rPr>
                          <m:t>2</m:t>
                        </m:r>
                      </m:den>
                    </m:f>
                    <m:r>
                      <a:rPr lang="it-IT" sz="1400" b="0" i="1">
                        <a:latin typeface="Cambria Math" panose="02040503050406030204" pitchFamily="18" charset="0"/>
                      </a:rPr>
                      <m:t>𝑅</m:t>
                    </m:r>
                  </m:oMath>
                </m:oMathPara>
              </a14:m>
              <a:endParaRPr lang="en-US" sz="1400"/>
            </a:p>
          </xdr:txBody>
        </xdr:sp>
      </mc:Choice>
      <mc:Fallback xmlns="">
        <xdr:sp macro="" textlink="">
          <xdr:nvSpPr>
            <xdr:cNvPr id="39" name="TextBox 38">
              <a:extLst>
                <a:ext uri="{FF2B5EF4-FFF2-40B4-BE49-F238E27FC236}">
                  <a16:creationId xmlns:a16="http://schemas.microsoft.com/office/drawing/2014/main" id="{424F18D3-4243-404E-A69B-D3CB3ACDA2B7}"/>
                </a:ext>
              </a:extLst>
            </xdr:cNvPr>
            <xdr:cNvSpPr txBox="1"/>
          </xdr:nvSpPr>
          <xdr:spPr>
            <a:xfrm>
              <a:off x="8659887" y="50862278"/>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3</a:t>
              </a:r>
              <a:r>
                <a:rPr lang="en-US" sz="1400" b="0" i="0">
                  <a:latin typeface="Cambria Math" panose="02040503050406030204" pitchFamily="18" charset="0"/>
                </a:rPr>
                <a:t>/</a:t>
              </a:r>
              <a:r>
                <a:rPr lang="it-IT" sz="1400" b="0" i="0">
                  <a:latin typeface="Cambria Math" panose="02040503050406030204" pitchFamily="18" charset="0"/>
                </a:rPr>
                <a:t>2 𝑅</a:t>
              </a:r>
              <a:endParaRPr lang="en-US" sz="1400"/>
            </a:p>
          </xdr:txBody>
        </xdr:sp>
      </mc:Fallback>
    </mc:AlternateContent>
    <xdr:clientData/>
  </xdr:oneCellAnchor>
  <xdr:oneCellAnchor>
    <xdr:from>
      <xdr:col>6</xdr:col>
      <xdr:colOff>1173237</xdr:colOff>
      <xdr:row>203</xdr:row>
      <xdr:rowOff>26280</xdr:rowOff>
    </xdr:from>
    <xdr:ext cx="1932324" cy="755976"/>
    <mc:AlternateContent xmlns:mc="http://schemas.openxmlformats.org/markup-compatibility/2006" xmlns:a14="http://schemas.microsoft.com/office/drawing/2010/main">
      <mc:Choice Requires="a14">
        <xdr:sp macro="" textlink="">
          <xdr:nvSpPr>
            <xdr:cNvPr id="40" name="TextBox 39">
              <a:extLst>
                <a:ext uri="{FF2B5EF4-FFF2-40B4-BE49-F238E27FC236}">
                  <a16:creationId xmlns:a16="http://schemas.microsoft.com/office/drawing/2014/main" id="{770D68F9-85BA-E94C-9EE2-4981C7E24B49}"/>
                </a:ext>
              </a:extLst>
            </xdr:cNvPr>
            <xdr:cNvSpPr txBox="1"/>
          </xdr:nvSpPr>
          <xdr:spPr>
            <a:xfrm>
              <a:off x="9186937" y="51372380"/>
              <a:ext cx="1932324" cy="7559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nary>
                      <m:naryPr>
                        <m:chr m:val="∑"/>
                        <m:supHide m:val="on"/>
                        <m:ctrlPr>
                          <a:rPr lang="it-IT" sz="1400" b="0" i="1">
                            <a:latin typeface="Cambria Math" panose="02040503050406030204" pitchFamily="18" charset="0"/>
                          </a:rPr>
                        </m:ctrlPr>
                      </m:naryPr>
                      <m:sub>
                        <m:r>
                          <m:rPr>
                            <m:brk m:alnAt="7"/>
                          </m:rPr>
                          <a:rPr lang="it-IT" sz="1400" b="0" i="1">
                            <a:latin typeface="Cambria Math" panose="02040503050406030204" pitchFamily="18" charset="0"/>
                          </a:rPr>
                          <m:t>𝑖</m:t>
                        </m:r>
                      </m:sub>
                      <m:sup/>
                      <m:e>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sSubSup>
                                  <m:sSubSupPr>
                                    <m:ctrlPr>
                                      <a:rPr lang="it-IT" sz="1400" b="0" i="1">
                                        <a:latin typeface="Cambria Math" panose="02040503050406030204" pitchFamily="18" charset="0"/>
                                      </a:rPr>
                                    </m:ctrlPr>
                                  </m:sSubSup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up>
                                    <m:r>
                                      <a:rPr lang="it-IT" sz="1400" b="0" i="1">
                                        <a:latin typeface="Cambria Math" panose="02040503050406030204" pitchFamily="18" charset="0"/>
                                      </a:rPr>
                                      <m:t>2</m:t>
                                    </m:r>
                                  </m:sup>
                                </m:sSubSup>
                                <m:sSup>
                                  <m:sSupPr>
                                    <m:ctrlPr>
                                      <a:rPr lang="it-IT" sz="1400" b="0" i="1">
                                        <a:latin typeface="Cambria Math" panose="02040503050406030204" pitchFamily="18" charset="0"/>
                                      </a:rPr>
                                    </m:ctrlPr>
                                  </m:sSupPr>
                                  <m:e>
                                    <m:r>
                                      <a:rPr lang="it-IT" sz="1400" b="0" i="1">
                                        <a:latin typeface="Cambria Math" panose="02040503050406030204" pitchFamily="18" charset="0"/>
                                      </a:rPr>
                                      <m:t> </m:t>
                                    </m:r>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num>
                              <m:den>
                                <m:sSup>
                                  <m:sSupPr>
                                    <m:ctrlPr>
                                      <a:rPr lang="it-IT" sz="1400" b="0" i="1">
                                        <a:latin typeface="Cambria Math" panose="02040503050406030204" pitchFamily="18" charset="0"/>
                                      </a:rPr>
                                    </m:ctrlPr>
                                  </m:sSupPr>
                                  <m:e>
                                    <m:r>
                                      <a:rPr lang="it-IT" sz="1400" b="0" i="1">
                                        <a:latin typeface="Cambria Math" panose="02040503050406030204" pitchFamily="18" charset="0"/>
                                      </a:rPr>
                                      <m:t>𝑇</m:t>
                                    </m:r>
                                  </m:e>
                                  <m:sup>
                                    <m:r>
                                      <a:rPr lang="it-IT" sz="1400" b="0" i="1">
                                        <a:latin typeface="Cambria Math" panose="02040503050406030204" pitchFamily="18" charset="0"/>
                                      </a:rPr>
                                      <m:t>2</m:t>
                                    </m:r>
                                  </m:sup>
                                </m:sSup>
                                <m:sSup>
                                  <m:sSupPr>
                                    <m:ctrlPr>
                                      <a:rPr lang="it-IT" sz="1400" b="0" i="1">
                                        <a:latin typeface="Cambria Math" panose="02040503050406030204" pitchFamily="18" charset="0"/>
                                      </a:rPr>
                                    </m:ctrlPr>
                                  </m:sSupPr>
                                  <m:e>
                                    <m:d>
                                      <m:dPr>
                                        <m:ctrlPr>
                                          <a:rPr lang="it-IT" sz="1400" b="0" i="1">
                                            <a:latin typeface="Cambria Math" panose="02040503050406030204" pitchFamily="18" charset="0"/>
                                          </a:rPr>
                                        </m:ctrlPr>
                                      </m:dPr>
                                      <m:e>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r>
                                          <a:rPr lang="it-IT" sz="1400" b="0" i="1">
                                            <a:latin typeface="Cambria Math" panose="02040503050406030204" pitchFamily="18" charset="0"/>
                                          </a:rPr>
                                          <m:t>−1</m:t>
                                        </m:r>
                                      </m:e>
                                    </m:d>
                                  </m:e>
                                  <m:sup>
                                    <m:r>
                                      <a:rPr lang="it-IT" sz="1400" b="0" i="1">
                                        <a:latin typeface="Cambria Math" panose="02040503050406030204" pitchFamily="18" charset="0"/>
                                      </a:rPr>
                                      <m:t>2</m:t>
                                    </m:r>
                                  </m:sup>
                                </m:sSup>
                              </m:den>
                            </m:f>
                          </m:e>
                        </m:d>
                      </m:e>
                    </m:nary>
                  </m:oMath>
                </m:oMathPara>
              </a14:m>
              <a:endParaRPr lang="en-US" sz="1400"/>
            </a:p>
          </xdr:txBody>
        </xdr:sp>
      </mc:Choice>
      <mc:Fallback xmlns="">
        <xdr:sp macro="" textlink="">
          <xdr:nvSpPr>
            <xdr:cNvPr id="40" name="TextBox 39">
              <a:extLst>
                <a:ext uri="{FF2B5EF4-FFF2-40B4-BE49-F238E27FC236}">
                  <a16:creationId xmlns:a16="http://schemas.microsoft.com/office/drawing/2014/main" id="{770D68F9-85BA-E94C-9EE2-4981C7E24B49}"/>
                </a:ext>
              </a:extLst>
            </xdr:cNvPr>
            <xdr:cNvSpPr txBox="1"/>
          </xdr:nvSpPr>
          <xdr:spPr>
            <a:xfrm>
              <a:off x="9186937" y="51372380"/>
              <a:ext cx="1932324" cy="7559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0" i="0">
                  <a:latin typeface="Cambria Math" panose="02040503050406030204" pitchFamily="18" charset="0"/>
                </a:rPr>
                <a:t>𝑅∑_𝑖▒((</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𝑣𝑖𝑏,𝑖)^2 〖 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𝑣𝑖𝑏,𝑖)/𝑇))/(𝑇^2 (𝑒^(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𝑣𝑖𝑏,𝑖)/𝑇)−1)^2 )) </a:t>
              </a:r>
              <a:endParaRPr lang="en-US" sz="1400"/>
            </a:p>
          </xdr:txBody>
        </xdr:sp>
      </mc:Fallback>
    </mc:AlternateContent>
    <xdr:clientData/>
  </xdr:oneCellAnchor>
  <xdr:oneCellAnchor>
    <xdr:from>
      <xdr:col>10</xdr:col>
      <xdr:colOff>65896</xdr:colOff>
      <xdr:row>202</xdr:row>
      <xdr:rowOff>195140</xdr:rowOff>
    </xdr:from>
    <xdr:ext cx="282578" cy="411278"/>
    <mc:AlternateContent xmlns:mc="http://schemas.openxmlformats.org/markup-compatibility/2006" xmlns:a14="http://schemas.microsoft.com/office/drawing/2010/main">
      <mc:Choice Requires="a14">
        <xdr:sp macro="" textlink="">
          <xdr:nvSpPr>
            <xdr:cNvPr id="41" name="TextBox 40">
              <a:extLst>
                <a:ext uri="{FF2B5EF4-FFF2-40B4-BE49-F238E27FC236}">
                  <a16:creationId xmlns:a16="http://schemas.microsoft.com/office/drawing/2014/main" id="{C410B0BD-C085-2C42-A933-89F85357AF28}"/>
                </a:ext>
              </a:extLst>
            </xdr:cNvPr>
            <xdr:cNvSpPr txBox="1"/>
          </xdr:nvSpPr>
          <xdr:spPr>
            <a:xfrm>
              <a:off x="12168996" y="51287240"/>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en-US" sz="1400" i="1">
                            <a:latin typeface="Cambria Math" panose="02040503050406030204" pitchFamily="18" charset="0"/>
                          </a:rPr>
                        </m:ctrlPr>
                      </m:fPr>
                      <m:num>
                        <m:r>
                          <a:rPr lang="it-IT" sz="1400" b="0" i="1">
                            <a:latin typeface="Cambria Math" panose="02040503050406030204" pitchFamily="18" charset="0"/>
                          </a:rPr>
                          <m:t>3</m:t>
                        </m:r>
                      </m:num>
                      <m:den>
                        <m:r>
                          <a:rPr lang="it-IT" sz="1400" b="0" i="1">
                            <a:latin typeface="Cambria Math" panose="02040503050406030204" pitchFamily="18" charset="0"/>
                          </a:rPr>
                          <m:t>2</m:t>
                        </m:r>
                      </m:den>
                    </m:f>
                    <m:r>
                      <a:rPr lang="it-IT" sz="1400" b="0" i="1">
                        <a:latin typeface="Cambria Math" panose="02040503050406030204" pitchFamily="18" charset="0"/>
                      </a:rPr>
                      <m:t>𝑅</m:t>
                    </m:r>
                  </m:oMath>
                </m:oMathPara>
              </a14:m>
              <a:endParaRPr lang="en-US" sz="1400"/>
            </a:p>
          </xdr:txBody>
        </xdr:sp>
      </mc:Choice>
      <mc:Fallback xmlns="">
        <xdr:sp macro="" textlink="">
          <xdr:nvSpPr>
            <xdr:cNvPr id="41" name="TextBox 40">
              <a:extLst>
                <a:ext uri="{FF2B5EF4-FFF2-40B4-BE49-F238E27FC236}">
                  <a16:creationId xmlns:a16="http://schemas.microsoft.com/office/drawing/2014/main" id="{C410B0BD-C085-2C42-A933-89F85357AF28}"/>
                </a:ext>
              </a:extLst>
            </xdr:cNvPr>
            <xdr:cNvSpPr txBox="1"/>
          </xdr:nvSpPr>
          <xdr:spPr>
            <a:xfrm>
              <a:off x="12168996" y="51287240"/>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3</a:t>
              </a:r>
              <a:r>
                <a:rPr lang="en-US" sz="1400" b="0" i="0">
                  <a:latin typeface="Cambria Math" panose="02040503050406030204" pitchFamily="18" charset="0"/>
                </a:rPr>
                <a:t>/</a:t>
              </a:r>
              <a:r>
                <a:rPr lang="it-IT" sz="1400" b="0" i="0">
                  <a:latin typeface="Cambria Math" panose="02040503050406030204" pitchFamily="18" charset="0"/>
                </a:rPr>
                <a:t>2 𝑅</a:t>
              </a:r>
              <a:endParaRPr lang="en-US" sz="1400"/>
            </a:p>
          </xdr:txBody>
        </xdr:sp>
      </mc:Fallback>
    </mc:AlternateContent>
    <xdr:clientData/>
  </xdr:oneCellAnchor>
  <xdr:oneCellAnchor>
    <xdr:from>
      <xdr:col>11</xdr:col>
      <xdr:colOff>218296</xdr:colOff>
      <xdr:row>200</xdr:row>
      <xdr:rowOff>146049</xdr:rowOff>
    </xdr:from>
    <xdr:ext cx="282578" cy="411278"/>
    <xdr:sp macro="" textlink="">
      <xdr:nvSpPr>
        <xdr:cNvPr id="42" name="TextBox 41">
          <a:extLst>
            <a:ext uri="{FF2B5EF4-FFF2-40B4-BE49-F238E27FC236}">
              <a16:creationId xmlns:a16="http://schemas.microsoft.com/office/drawing/2014/main" id="{884CEA72-40E3-BF4A-96B7-F518A78C25E6}"/>
            </a:ext>
          </a:extLst>
        </xdr:cNvPr>
        <xdr:cNvSpPr txBox="1"/>
      </xdr:nvSpPr>
      <xdr:spPr>
        <a:xfrm>
          <a:off x="13413596" y="50819049"/>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en-US" sz="1400"/>
            <a:t>0</a:t>
          </a:r>
        </a:p>
      </xdr:txBody>
    </xdr:sp>
    <xdr:clientData/>
  </xdr:oneCellAnchor>
  <xdr:twoCellAnchor>
    <xdr:from>
      <xdr:col>6</xdr:col>
      <xdr:colOff>1025769</xdr:colOff>
      <xdr:row>199</xdr:row>
      <xdr:rowOff>61058</xdr:rowOff>
    </xdr:from>
    <xdr:to>
      <xdr:col>7</xdr:col>
      <xdr:colOff>378558</xdr:colOff>
      <xdr:row>201</xdr:row>
      <xdr:rowOff>67164</xdr:rowOff>
    </xdr:to>
    <xdr:cxnSp macro="">
      <xdr:nvCxnSpPr>
        <xdr:cNvPr id="43" name="Straight Arrow Connector 42">
          <a:extLst>
            <a:ext uri="{FF2B5EF4-FFF2-40B4-BE49-F238E27FC236}">
              <a16:creationId xmlns:a16="http://schemas.microsoft.com/office/drawing/2014/main" id="{F72F2FDA-94B9-E742-BAC4-45DDEDD078EC}"/>
            </a:ext>
          </a:extLst>
        </xdr:cNvPr>
        <xdr:cNvCxnSpPr/>
      </xdr:nvCxnSpPr>
      <xdr:spPr>
        <a:xfrm flipH="1">
          <a:off x="9039469" y="50530858"/>
          <a:ext cx="635489" cy="412506"/>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177800</xdr:colOff>
      <xdr:row>199</xdr:row>
      <xdr:rowOff>42496</xdr:rowOff>
    </xdr:from>
    <xdr:to>
      <xdr:col>8</xdr:col>
      <xdr:colOff>390525</xdr:colOff>
      <xdr:row>202</xdr:row>
      <xdr:rowOff>152400</xdr:rowOff>
    </xdr:to>
    <xdr:cxnSp macro="">
      <xdr:nvCxnSpPr>
        <xdr:cNvPr id="44" name="Straight Arrow Connector 43">
          <a:extLst>
            <a:ext uri="{FF2B5EF4-FFF2-40B4-BE49-F238E27FC236}">
              <a16:creationId xmlns:a16="http://schemas.microsoft.com/office/drawing/2014/main" id="{C8D59686-781E-B044-B176-0925C9A3F091}"/>
            </a:ext>
          </a:extLst>
        </xdr:cNvPr>
        <xdr:cNvCxnSpPr/>
      </xdr:nvCxnSpPr>
      <xdr:spPr>
        <a:xfrm flipH="1">
          <a:off x="10337800" y="50512296"/>
          <a:ext cx="212725" cy="732204"/>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427403</xdr:colOff>
      <xdr:row>199</xdr:row>
      <xdr:rowOff>48846</xdr:rowOff>
    </xdr:from>
    <xdr:to>
      <xdr:col>9</xdr:col>
      <xdr:colOff>854807</xdr:colOff>
      <xdr:row>203</xdr:row>
      <xdr:rowOff>42740</xdr:rowOff>
    </xdr:to>
    <xdr:cxnSp macro="">
      <xdr:nvCxnSpPr>
        <xdr:cNvPr id="45" name="Straight Arrow Connector 44">
          <a:extLst>
            <a:ext uri="{FF2B5EF4-FFF2-40B4-BE49-F238E27FC236}">
              <a16:creationId xmlns:a16="http://schemas.microsoft.com/office/drawing/2014/main" id="{BCC0556C-20E0-6345-9E09-4746C34DA12F}"/>
            </a:ext>
          </a:extLst>
        </xdr:cNvPr>
        <xdr:cNvCxnSpPr/>
      </xdr:nvCxnSpPr>
      <xdr:spPr>
        <a:xfrm>
          <a:off x="11412903" y="50518646"/>
          <a:ext cx="427404" cy="870194"/>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500674</xdr:colOff>
      <xdr:row>199</xdr:row>
      <xdr:rowOff>42741</xdr:rowOff>
    </xdr:from>
    <xdr:to>
      <xdr:col>11</xdr:col>
      <xdr:colOff>116010</xdr:colOff>
      <xdr:row>200</xdr:row>
      <xdr:rowOff>195384</xdr:rowOff>
    </xdr:to>
    <xdr:cxnSp macro="">
      <xdr:nvCxnSpPr>
        <xdr:cNvPr id="46" name="Straight Arrow Connector 45">
          <a:extLst>
            <a:ext uri="{FF2B5EF4-FFF2-40B4-BE49-F238E27FC236}">
              <a16:creationId xmlns:a16="http://schemas.microsoft.com/office/drawing/2014/main" id="{F99946FA-02AD-E04B-B504-0716775AC581}"/>
            </a:ext>
          </a:extLst>
        </xdr:cNvPr>
        <xdr:cNvCxnSpPr/>
      </xdr:nvCxnSpPr>
      <xdr:spPr>
        <a:xfrm>
          <a:off x="12603774" y="50512541"/>
          <a:ext cx="707536" cy="355843"/>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11</xdr:col>
      <xdr:colOff>772161</xdr:colOff>
      <xdr:row>198</xdr:row>
      <xdr:rowOff>233681</xdr:rowOff>
    </xdr:from>
    <xdr:to>
      <xdr:col>14</xdr:col>
      <xdr:colOff>650241</xdr:colOff>
      <xdr:row>201</xdr:row>
      <xdr:rowOff>162561</xdr:rowOff>
    </xdr:to>
    <xdr:sp macro="" textlink="">
      <xdr:nvSpPr>
        <xdr:cNvPr id="47" name="Rectangle 46">
          <a:extLst>
            <a:ext uri="{FF2B5EF4-FFF2-40B4-BE49-F238E27FC236}">
              <a16:creationId xmlns:a16="http://schemas.microsoft.com/office/drawing/2014/main" id="{AF1727BC-614B-A142-9741-46F912F078CF}"/>
            </a:ext>
          </a:extLst>
        </xdr:cNvPr>
        <xdr:cNvSpPr/>
      </xdr:nvSpPr>
      <xdr:spPr>
        <a:xfrm>
          <a:off x="13967461" y="50347881"/>
          <a:ext cx="3192780" cy="69088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No</a:t>
          </a:r>
          <a:r>
            <a:rPr lang="en-US" sz="1100" b="1" baseline="0"/>
            <a:t> contribution from the electronic motion, due to the lack of T dependence in the partition function</a:t>
          </a:r>
          <a:endParaRPr lang="en-US" sz="1100" b="1"/>
        </a:p>
      </xdr:txBody>
    </xdr:sp>
    <xdr:clientData/>
  </xdr:twoCellAnchor>
  <xdr:twoCellAnchor>
    <xdr:from>
      <xdr:col>9</xdr:col>
      <xdr:colOff>425450</xdr:colOff>
      <xdr:row>219</xdr:row>
      <xdr:rowOff>88900</xdr:rowOff>
    </xdr:from>
    <xdr:to>
      <xdr:col>14</xdr:col>
      <xdr:colOff>863600</xdr:colOff>
      <xdr:row>232</xdr:row>
      <xdr:rowOff>25400</xdr:rowOff>
    </xdr:to>
    <xdr:graphicFrame macro="">
      <xdr:nvGraphicFramePr>
        <xdr:cNvPr id="48" name="Chart 47">
          <a:extLst>
            <a:ext uri="{FF2B5EF4-FFF2-40B4-BE49-F238E27FC236}">
              <a16:creationId xmlns:a16="http://schemas.microsoft.com/office/drawing/2014/main" id="{B2AC61C0-A50A-7D44-9A16-BA8673A193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452528</xdr:colOff>
      <xdr:row>239</xdr:row>
      <xdr:rowOff>131380</xdr:rowOff>
    </xdr:from>
    <xdr:to>
      <xdr:col>6</xdr:col>
      <xdr:colOff>613104</xdr:colOff>
      <xdr:row>239</xdr:row>
      <xdr:rowOff>145977</xdr:rowOff>
    </xdr:to>
    <xdr:cxnSp macro="">
      <xdr:nvCxnSpPr>
        <xdr:cNvPr id="49" name="Straight Arrow Connector 48">
          <a:extLst>
            <a:ext uri="{FF2B5EF4-FFF2-40B4-BE49-F238E27FC236}">
              <a16:creationId xmlns:a16="http://schemas.microsoft.com/office/drawing/2014/main" id="{D180E163-E115-D541-8B1C-93EF5FB27301}"/>
            </a:ext>
          </a:extLst>
        </xdr:cNvPr>
        <xdr:cNvCxnSpPr/>
      </xdr:nvCxnSpPr>
      <xdr:spPr>
        <a:xfrm>
          <a:off x="6002428" y="603674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5</xdr:col>
      <xdr:colOff>1067016</xdr:colOff>
      <xdr:row>242</xdr:row>
      <xdr:rowOff>105207</xdr:rowOff>
    </xdr:from>
    <xdr:ext cx="1450440" cy="683845"/>
    <mc:AlternateContent xmlns:mc="http://schemas.openxmlformats.org/markup-compatibility/2006" xmlns:a14="http://schemas.microsoft.com/office/drawing/2010/main">
      <mc:Choice Requires="a14">
        <xdr:sp macro="" textlink="">
          <xdr:nvSpPr>
            <xdr:cNvPr id="50" name="TextBox 49">
              <a:extLst>
                <a:ext uri="{FF2B5EF4-FFF2-40B4-BE49-F238E27FC236}">
                  <a16:creationId xmlns:a16="http://schemas.microsoft.com/office/drawing/2014/main" id="{D4207D3B-6AD3-2740-8DDE-4AC05861EB93}"/>
                </a:ext>
              </a:extLst>
            </xdr:cNvPr>
            <xdr:cNvSpPr txBox="1"/>
          </xdr:nvSpPr>
          <xdr:spPr>
            <a:xfrm>
              <a:off x="7988516" y="61103307"/>
              <a:ext cx="1450440" cy="683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r>
                      <a:rPr lang="it-IT" sz="1400" b="0" i="1">
                        <a:latin typeface="Cambria Math" panose="02040503050406030204" pitchFamily="18" charset="0"/>
                      </a:rPr>
                      <m:t> </m:t>
                    </m:r>
                    <m:r>
                      <a:rPr lang="it-IT" sz="1400" b="0" i="1">
                        <a:latin typeface="Cambria Math" panose="02040503050406030204" pitchFamily="18" charset="0"/>
                      </a:rPr>
                      <m:t>𝑙𝑛</m:t>
                    </m:r>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acc>
                              <m:accPr>
                                <m:chr m:val="̃"/>
                                <m:ctrlPr>
                                  <a:rPr lang="it-IT" sz="1400" b="0" i="1">
                                    <a:latin typeface="Cambria Math" panose="02040503050406030204" pitchFamily="18" charset="0"/>
                                  </a:rPr>
                                </m:ctrlPr>
                              </m:accPr>
                              <m:e>
                                <m:r>
                                  <a:rPr lang="it-IT" sz="1400" b="0" i="1">
                                    <a:latin typeface="Cambria Math" panose="02040503050406030204" pitchFamily="18" charset="0"/>
                                  </a:rPr>
                                  <m:t>𝑉</m:t>
                                </m:r>
                              </m:e>
                            </m:acc>
                          </m:num>
                          <m:den>
                            <m:sSub>
                              <m:sSubPr>
                                <m:ctrlPr>
                                  <a:rPr lang="it-IT" sz="1400" b="0" i="1">
                                    <a:latin typeface="Cambria Math" panose="02040503050406030204" pitchFamily="18" charset="0"/>
                                  </a:rPr>
                                </m:ctrlPr>
                              </m:sSubPr>
                              <m:e>
                                <m:r>
                                  <a:rPr lang="it-IT" sz="1400" b="0" i="1">
                                    <a:latin typeface="Cambria Math" panose="02040503050406030204" pitchFamily="18" charset="0"/>
                                  </a:rPr>
                                  <m:t>𝑁</m:t>
                                </m:r>
                              </m:e>
                              <m:sub>
                                <m:r>
                                  <a:rPr lang="it-IT" sz="1400" b="0" i="1">
                                    <a:latin typeface="Cambria Math" panose="02040503050406030204" pitchFamily="18" charset="0"/>
                                  </a:rPr>
                                  <m:t>𝑎𝑣𝑜</m:t>
                                </m:r>
                              </m:sub>
                            </m:sSub>
                          </m:den>
                        </m:f>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r>
                                  <a:rPr lang="it-IT" sz="1400" b="0" i="1">
                                    <a:latin typeface="Cambria Math" panose="02040503050406030204" pitchFamily="18" charset="0"/>
                                  </a:rPr>
                                  <m:t>5</m:t>
                                </m:r>
                              </m:num>
                              <m:den>
                                <m:r>
                                  <a:rPr lang="it-IT" sz="1400" b="0" i="1">
                                    <a:latin typeface="Cambria Math" panose="02040503050406030204" pitchFamily="18" charset="0"/>
                                  </a:rPr>
                                  <m:t>2</m:t>
                                </m:r>
                              </m:den>
                            </m:f>
                          </m:sup>
                        </m:sSup>
                        <m:r>
                          <a:rPr lang="it-IT" sz="1400" b="0" i="1">
                            <a:latin typeface="Cambria Math" panose="02040503050406030204" pitchFamily="18" charset="0"/>
                          </a:rPr>
                          <m:t> </m:t>
                        </m:r>
                        <m:r>
                          <a:rPr lang="it-IT" sz="1400" b="0" i="1">
                            <a:latin typeface="Cambria Math" panose="02040503050406030204" pitchFamily="18" charset="0"/>
                          </a:rPr>
                          <m:t>𝐴</m:t>
                        </m:r>
                      </m:e>
                    </m:d>
                  </m:oMath>
                </m:oMathPara>
              </a14:m>
              <a:endParaRPr lang="en-US" sz="1400"/>
            </a:p>
          </xdr:txBody>
        </xdr:sp>
      </mc:Choice>
      <mc:Fallback xmlns="">
        <xdr:sp macro="" textlink="">
          <xdr:nvSpPr>
            <xdr:cNvPr id="50" name="TextBox 49">
              <a:extLst>
                <a:ext uri="{FF2B5EF4-FFF2-40B4-BE49-F238E27FC236}">
                  <a16:creationId xmlns:a16="http://schemas.microsoft.com/office/drawing/2014/main" id="{D4207D3B-6AD3-2740-8DDE-4AC05861EB93}"/>
                </a:ext>
              </a:extLst>
            </xdr:cNvPr>
            <xdr:cNvSpPr txBox="1"/>
          </xdr:nvSpPr>
          <xdr:spPr>
            <a:xfrm>
              <a:off x="7988516" y="61103307"/>
              <a:ext cx="1450440" cy="683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 𝑙𝑛(𝑉 ̃/𝑁_𝑎𝑣𝑜  𝑒^(5/2)  𝐴)</a:t>
              </a:r>
              <a:endParaRPr lang="en-US" sz="1400"/>
            </a:p>
          </xdr:txBody>
        </xdr:sp>
      </mc:Fallback>
    </mc:AlternateContent>
    <xdr:clientData/>
  </xdr:oneCellAnchor>
  <xdr:oneCellAnchor>
    <xdr:from>
      <xdr:col>6</xdr:col>
      <xdr:colOff>970337</xdr:colOff>
      <xdr:row>244</xdr:row>
      <xdr:rowOff>214150</xdr:rowOff>
    </xdr:from>
    <xdr:ext cx="3071931" cy="829907"/>
    <mc:AlternateContent xmlns:mc="http://schemas.openxmlformats.org/markup-compatibility/2006" xmlns:a14="http://schemas.microsoft.com/office/drawing/2010/main">
      <mc:Choice Requires="a14">
        <xdr:sp macro="" textlink="">
          <xdr:nvSpPr>
            <xdr:cNvPr id="51" name="TextBox 50">
              <a:extLst>
                <a:ext uri="{FF2B5EF4-FFF2-40B4-BE49-F238E27FC236}">
                  <a16:creationId xmlns:a16="http://schemas.microsoft.com/office/drawing/2014/main" id="{C36FAD25-1DF4-DD45-9DD5-5B53F8440B45}"/>
                </a:ext>
              </a:extLst>
            </xdr:cNvPr>
            <xdr:cNvSpPr txBox="1"/>
          </xdr:nvSpPr>
          <xdr:spPr>
            <a:xfrm>
              <a:off x="8984037" y="61669450"/>
              <a:ext cx="3071931" cy="8299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nary>
                      <m:naryPr>
                        <m:chr m:val="∑"/>
                        <m:supHide m:val="on"/>
                        <m:ctrlPr>
                          <a:rPr lang="it-IT" sz="1400" b="0" i="1">
                            <a:latin typeface="Cambria Math" panose="02040503050406030204" pitchFamily="18" charset="0"/>
                          </a:rPr>
                        </m:ctrlPr>
                      </m:naryPr>
                      <m:sub>
                        <m:r>
                          <m:rPr>
                            <m:brk m:alnAt="7"/>
                          </m:rPr>
                          <a:rPr lang="it-IT" sz="1400" b="0" i="1">
                            <a:latin typeface="Cambria Math" panose="02040503050406030204" pitchFamily="18" charset="0"/>
                          </a:rPr>
                          <m:t>𝑖</m:t>
                        </m:r>
                      </m:sub>
                      <m:sup/>
                      <m:e>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num>
                              <m:den>
                                <m:d>
                                  <m:dPr>
                                    <m:ctrlPr>
                                      <a:rPr lang="it-IT" sz="1400" b="0" i="1">
                                        <a:latin typeface="Cambria Math" panose="02040503050406030204" pitchFamily="18" charset="0"/>
                                      </a:rPr>
                                    </m:ctrlPr>
                                  </m:dPr>
                                  <m:e>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r>
                                      <a:rPr lang="it-IT" sz="1400" b="0" i="1">
                                        <a:latin typeface="Cambria Math" panose="02040503050406030204" pitchFamily="18" charset="0"/>
                                      </a:rPr>
                                      <m:t>−1</m:t>
                                    </m:r>
                                  </m:e>
                                </m:d>
                              </m:den>
                            </m:f>
                            <m:r>
                              <a:rPr lang="it-IT" sz="1400" b="0" i="1">
                                <a:latin typeface="Cambria Math" panose="02040503050406030204" pitchFamily="18" charset="0"/>
                              </a:rPr>
                              <m:t>−</m:t>
                            </m:r>
                            <m:r>
                              <a:rPr lang="it-IT" sz="1400" b="0" i="1">
                                <a:latin typeface="Cambria Math" panose="02040503050406030204" pitchFamily="18" charset="0"/>
                              </a:rPr>
                              <m:t>𝑙𝑛</m:t>
                            </m:r>
                            <m:d>
                              <m:dPr>
                                <m:ctrlPr>
                                  <a:rPr lang="it-IT" sz="1400" b="0" i="1">
                                    <a:latin typeface="Cambria Math" panose="02040503050406030204" pitchFamily="18" charset="0"/>
                                  </a:rPr>
                                </m:ctrlPr>
                              </m:dPr>
                              <m:e>
                                <m:r>
                                  <a:rPr lang="it-IT" sz="1400" b="0" i="1">
                                    <a:latin typeface="Cambria Math" panose="02040503050406030204" pitchFamily="18" charset="0"/>
                                  </a:rPr>
                                  <m:t>1−</m:t>
                                </m:r>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r>
                                      <a:rPr lang="it-IT" sz="1400" b="0" i="1">
                                        <a:latin typeface="Cambria Math" panose="02040503050406030204" pitchFamily="18" charset="0"/>
                                      </a:rPr>
                                      <m:t>−</m:t>
                                    </m:r>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e>
                            </m:d>
                          </m:e>
                        </m:d>
                      </m:e>
                    </m:nary>
                  </m:oMath>
                </m:oMathPara>
              </a14:m>
              <a:endParaRPr lang="en-US" sz="1400"/>
            </a:p>
          </xdr:txBody>
        </xdr:sp>
      </mc:Choice>
      <mc:Fallback xmlns="">
        <xdr:sp macro="" textlink="">
          <xdr:nvSpPr>
            <xdr:cNvPr id="51" name="TextBox 50">
              <a:extLst>
                <a:ext uri="{FF2B5EF4-FFF2-40B4-BE49-F238E27FC236}">
                  <a16:creationId xmlns:a16="http://schemas.microsoft.com/office/drawing/2014/main" id="{C36FAD25-1DF4-DD45-9DD5-5B53F8440B45}"/>
                </a:ext>
              </a:extLst>
            </xdr:cNvPr>
            <xdr:cNvSpPr txBox="1"/>
          </xdr:nvSpPr>
          <xdr:spPr>
            <a:xfrm>
              <a:off x="8984037" y="61669450"/>
              <a:ext cx="3071931" cy="8299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0" i="0">
                  <a:latin typeface="Cambria Math" panose="02040503050406030204" pitchFamily="18" charset="0"/>
                </a:rPr>
                <a:t>𝑅∑_𝑖▒((</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𝑣𝑖𝑏,𝑖)/𝑇)−1) )−𝑙𝑛(1−𝑒^(−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 )) </a:t>
              </a:r>
              <a:endParaRPr lang="en-US" sz="1400"/>
            </a:p>
          </xdr:txBody>
        </xdr:sp>
      </mc:Fallback>
    </mc:AlternateContent>
    <xdr:clientData/>
  </xdr:oneCellAnchor>
  <xdr:oneCellAnchor>
    <xdr:from>
      <xdr:col>10</xdr:col>
      <xdr:colOff>65895</xdr:colOff>
      <xdr:row>243</xdr:row>
      <xdr:rowOff>195140</xdr:rowOff>
    </xdr:from>
    <xdr:ext cx="1219133" cy="556340"/>
    <mc:AlternateContent xmlns:mc="http://schemas.openxmlformats.org/markup-compatibility/2006" xmlns:a14="http://schemas.microsoft.com/office/drawing/2010/main">
      <mc:Choice Requires="a14">
        <xdr:sp macro="" textlink="">
          <xdr:nvSpPr>
            <xdr:cNvPr id="52" name="TextBox 51">
              <a:extLst>
                <a:ext uri="{FF2B5EF4-FFF2-40B4-BE49-F238E27FC236}">
                  <a16:creationId xmlns:a16="http://schemas.microsoft.com/office/drawing/2014/main" id="{03331FB7-B8B2-DA4D-A20F-3D101F5D6449}"/>
                </a:ext>
              </a:extLst>
            </xdr:cNvPr>
            <xdr:cNvSpPr txBox="1"/>
          </xdr:nvSpPr>
          <xdr:spPr>
            <a:xfrm>
              <a:off x="12168995" y="61396440"/>
              <a:ext cx="1219133" cy="556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𝑅𝑙𝑛</m:t>
                    </m:r>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r>
                              <a:rPr lang="it-IT" sz="1400" b="0" i="1">
                                <a:latin typeface="Cambria Math" panose="02040503050406030204" pitchFamily="18" charset="0"/>
                              </a:rPr>
                              <m:t>𝑒𝑇</m:t>
                            </m:r>
                          </m:num>
                          <m:den>
                            <m:r>
                              <a:rPr lang="it-IT" sz="1400" b="0" i="1">
                                <a:latin typeface="Cambria Math" panose="02040503050406030204" pitchFamily="18" charset="0"/>
                                <a:ea typeface="Cambria Math" panose="02040503050406030204" pitchFamily="18" charset="0"/>
                              </a:rPr>
                              <m:t>𝜎</m:t>
                            </m:r>
                            <m:r>
                              <a:rPr lang="it-IT" sz="1400" b="0" i="1">
                                <a:latin typeface="Cambria Math" panose="02040503050406030204" pitchFamily="18" charset="0"/>
                                <a:ea typeface="Cambria Math" panose="02040503050406030204" pitchFamily="18" charset="0"/>
                              </a:rPr>
                              <m:t> </m:t>
                            </m:r>
                            <m:sSub>
                              <m:sSubPr>
                                <m:ctrlPr>
                                  <a:rPr lang="it-IT" sz="1400" b="0" i="1">
                                    <a:latin typeface="Cambria Math" panose="02040503050406030204" pitchFamily="18" charset="0"/>
                                    <a:ea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ea typeface="Cambria Math" panose="02040503050406030204" pitchFamily="18" charset="0"/>
                                  </a:rPr>
                                  <m:t>𝑟𝑜𝑡</m:t>
                                </m:r>
                              </m:sub>
                            </m:sSub>
                          </m:den>
                        </m:f>
                      </m:e>
                    </m:d>
                  </m:oMath>
                </m:oMathPara>
              </a14:m>
              <a:endParaRPr lang="en-US" sz="1400"/>
            </a:p>
          </xdr:txBody>
        </xdr:sp>
      </mc:Choice>
      <mc:Fallback xmlns="">
        <xdr:sp macro="" textlink="">
          <xdr:nvSpPr>
            <xdr:cNvPr id="52" name="TextBox 51">
              <a:extLst>
                <a:ext uri="{FF2B5EF4-FFF2-40B4-BE49-F238E27FC236}">
                  <a16:creationId xmlns:a16="http://schemas.microsoft.com/office/drawing/2014/main" id="{03331FB7-B8B2-DA4D-A20F-3D101F5D6449}"/>
                </a:ext>
              </a:extLst>
            </xdr:cNvPr>
            <xdr:cNvSpPr txBox="1"/>
          </xdr:nvSpPr>
          <xdr:spPr>
            <a:xfrm>
              <a:off x="12168995" y="61396440"/>
              <a:ext cx="1219133" cy="556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𝑅𝑙𝑛(𝑒𝑇/(</a:t>
              </a:r>
              <a:r>
                <a:rPr lang="it-IT" sz="1400" b="0" i="0">
                  <a:latin typeface="Cambria Math" panose="02040503050406030204" pitchFamily="18" charset="0"/>
                  <a:ea typeface="Cambria Math" panose="02040503050406030204" pitchFamily="18" charset="0"/>
                </a:rPr>
                <a:t>𝜎 𝜗_𝑟𝑜𝑡 ))</a:t>
              </a:r>
              <a:endParaRPr lang="en-US" sz="1400"/>
            </a:p>
          </xdr:txBody>
        </xdr:sp>
      </mc:Fallback>
    </mc:AlternateContent>
    <xdr:clientData/>
  </xdr:oneCellAnchor>
  <xdr:oneCellAnchor>
    <xdr:from>
      <xdr:col>11</xdr:col>
      <xdr:colOff>218296</xdr:colOff>
      <xdr:row>241</xdr:row>
      <xdr:rowOff>146049</xdr:rowOff>
    </xdr:from>
    <xdr:ext cx="1645372" cy="411278"/>
    <mc:AlternateContent xmlns:mc="http://schemas.openxmlformats.org/markup-compatibility/2006" xmlns:a14="http://schemas.microsoft.com/office/drawing/2010/main">
      <mc:Choice Requires="a14">
        <xdr:sp macro="" textlink="">
          <xdr:nvSpPr>
            <xdr:cNvPr id="53" name="TextBox 52">
              <a:extLst>
                <a:ext uri="{FF2B5EF4-FFF2-40B4-BE49-F238E27FC236}">
                  <a16:creationId xmlns:a16="http://schemas.microsoft.com/office/drawing/2014/main" id="{0732BCAA-05AD-B24C-BCA9-0041E9491E71}"/>
                </a:ext>
              </a:extLst>
            </xdr:cNvPr>
            <xdr:cNvSpPr txBox="1"/>
          </xdr:nvSpPr>
          <xdr:spPr>
            <a:xfrm>
              <a:off x="13413596" y="60940949"/>
              <a:ext cx="1645372"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r>
                      <a:rPr lang="it-IT" sz="1400" b="0" i="1">
                        <a:latin typeface="Cambria Math" panose="02040503050406030204" pitchFamily="18" charset="0"/>
                      </a:rPr>
                      <m:t> </m:t>
                    </m:r>
                    <m:r>
                      <m:rPr>
                        <m:sty m:val="p"/>
                      </m:rPr>
                      <a:rPr lang="it-IT" sz="1400" b="0" i="0">
                        <a:latin typeface="Cambria Math" panose="02040503050406030204" pitchFamily="18" charset="0"/>
                      </a:rPr>
                      <m:t>ln</m:t>
                    </m:r>
                    <m:r>
                      <a:rPr lang="it-IT" sz="1400" b="0" i="0">
                        <a:latin typeface="Cambria Math" panose="02040503050406030204" pitchFamily="18" charset="0"/>
                      </a:rPr>
                      <m:t>⁡(</m:t>
                    </m:r>
                    <m:sSub>
                      <m:sSubPr>
                        <m:ctrlPr>
                          <a:rPr lang="it-IT" sz="1400" b="0" i="1">
                            <a:latin typeface="Cambria Math" panose="02040503050406030204" pitchFamily="18" charset="0"/>
                          </a:rPr>
                        </m:ctrlPr>
                      </m:sSubPr>
                      <m:e>
                        <m:r>
                          <a:rPr lang="it-IT" sz="1400" b="0" i="1">
                            <a:latin typeface="Cambria Math" panose="02040503050406030204" pitchFamily="18" charset="0"/>
                          </a:rPr>
                          <m:t>𝑄</m:t>
                        </m:r>
                      </m:e>
                      <m:sub>
                        <m:r>
                          <a:rPr lang="it-IT" sz="1400" b="0" i="1">
                            <a:latin typeface="Cambria Math" panose="02040503050406030204" pitchFamily="18" charset="0"/>
                          </a:rPr>
                          <m:t>𝑒𝑙</m:t>
                        </m:r>
                      </m:sub>
                    </m:sSub>
                    <m:r>
                      <a:rPr lang="it-IT" sz="1400" b="0" i="0">
                        <a:latin typeface="Cambria Math" panose="02040503050406030204" pitchFamily="18" charset="0"/>
                      </a:rPr>
                      <m:t>)</m:t>
                    </m:r>
                  </m:oMath>
                </m:oMathPara>
              </a14:m>
              <a:endParaRPr lang="en-US" sz="1400"/>
            </a:p>
          </xdr:txBody>
        </xdr:sp>
      </mc:Choice>
      <mc:Fallback xmlns="">
        <xdr:sp macro="" textlink="">
          <xdr:nvSpPr>
            <xdr:cNvPr id="53" name="TextBox 52">
              <a:extLst>
                <a:ext uri="{FF2B5EF4-FFF2-40B4-BE49-F238E27FC236}">
                  <a16:creationId xmlns:a16="http://schemas.microsoft.com/office/drawing/2014/main" id="{0732BCAA-05AD-B24C-BCA9-0041E9491E71}"/>
                </a:ext>
              </a:extLst>
            </xdr:cNvPr>
            <xdr:cNvSpPr txBox="1"/>
          </xdr:nvSpPr>
          <xdr:spPr>
            <a:xfrm>
              <a:off x="13413596" y="60940949"/>
              <a:ext cx="1645372"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 ln⁡(𝑄_𝑒𝑙)</a:t>
              </a:r>
              <a:endParaRPr lang="en-US" sz="1400"/>
            </a:p>
          </xdr:txBody>
        </xdr:sp>
      </mc:Fallback>
    </mc:AlternateContent>
    <xdr:clientData/>
  </xdr:oneCellAnchor>
  <xdr:twoCellAnchor>
    <xdr:from>
      <xdr:col>6</xdr:col>
      <xdr:colOff>1025769</xdr:colOff>
      <xdr:row>240</xdr:row>
      <xdr:rowOff>61058</xdr:rowOff>
    </xdr:from>
    <xdr:to>
      <xdr:col>7</xdr:col>
      <xdr:colOff>378558</xdr:colOff>
      <xdr:row>242</xdr:row>
      <xdr:rowOff>67164</xdr:rowOff>
    </xdr:to>
    <xdr:cxnSp macro="">
      <xdr:nvCxnSpPr>
        <xdr:cNvPr id="54" name="Straight Arrow Connector 53">
          <a:extLst>
            <a:ext uri="{FF2B5EF4-FFF2-40B4-BE49-F238E27FC236}">
              <a16:creationId xmlns:a16="http://schemas.microsoft.com/office/drawing/2014/main" id="{934AB870-76B1-8946-8238-2C917997E22B}"/>
            </a:ext>
          </a:extLst>
        </xdr:cNvPr>
        <xdr:cNvCxnSpPr/>
      </xdr:nvCxnSpPr>
      <xdr:spPr>
        <a:xfrm flipH="1">
          <a:off x="9039469" y="60652758"/>
          <a:ext cx="635489" cy="412506"/>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105207</xdr:colOff>
      <xdr:row>240</xdr:row>
      <xdr:rowOff>42496</xdr:rowOff>
    </xdr:from>
    <xdr:to>
      <xdr:col>8</xdr:col>
      <xdr:colOff>390525</xdr:colOff>
      <xdr:row>244</xdr:row>
      <xdr:rowOff>195385</xdr:rowOff>
    </xdr:to>
    <xdr:cxnSp macro="">
      <xdr:nvCxnSpPr>
        <xdr:cNvPr id="55" name="Straight Arrow Connector 54">
          <a:extLst>
            <a:ext uri="{FF2B5EF4-FFF2-40B4-BE49-F238E27FC236}">
              <a16:creationId xmlns:a16="http://schemas.microsoft.com/office/drawing/2014/main" id="{87090667-663D-014C-8CC9-D07E5F642713}"/>
            </a:ext>
          </a:extLst>
        </xdr:cNvPr>
        <xdr:cNvCxnSpPr/>
      </xdr:nvCxnSpPr>
      <xdr:spPr>
        <a:xfrm flipH="1">
          <a:off x="10265207" y="60634196"/>
          <a:ext cx="285318" cy="1016489"/>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427403</xdr:colOff>
      <xdr:row>240</xdr:row>
      <xdr:rowOff>48846</xdr:rowOff>
    </xdr:from>
    <xdr:to>
      <xdr:col>10</xdr:col>
      <xdr:colOff>172840</xdr:colOff>
      <xdr:row>243</xdr:row>
      <xdr:rowOff>157811</xdr:rowOff>
    </xdr:to>
    <xdr:cxnSp macro="">
      <xdr:nvCxnSpPr>
        <xdr:cNvPr id="56" name="Straight Arrow Connector 55">
          <a:extLst>
            <a:ext uri="{FF2B5EF4-FFF2-40B4-BE49-F238E27FC236}">
              <a16:creationId xmlns:a16="http://schemas.microsoft.com/office/drawing/2014/main" id="{19D679A5-DC2A-3249-A03E-27F8072DAD6B}"/>
            </a:ext>
          </a:extLst>
        </xdr:cNvPr>
        <xdr:cNvCxnSpPr/>
      </xdr:nvCxnSpPr>
      <xdr:spPr>
        <a:xfrm>
          <a:off x="11412903" y="60640546"/>
          <a:ext cx="863037" cy="71856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500674</xdr:colOff>
      <xdr:row>240</xdr:row>
      <xdr:rowOff>42741</xdr:rowOff>
    </xdr:from>
    <xdr:to>
      <xdr:col>11</xdr:col>
      <xdr:colOff>548580</xdr:colOff>
      <xdr:row>241</xdr:row>
      <xdr:rowOff>187869</xdr:rowOff>
    </xdr:to>
    <xdr:cxnSp macro="">
      <xdr:nvCxnSpPr>
        <xdr:cNvPr id="57" name="Straight Arrow Connector 56">
          <a:extLst>
            <a:ext uri="{FF2B5EF4-FFF2-40B4-BE49-F238E27FC236}">
              <a16:creationId xmlns:a16="http://schemas.microsoft.com/office/drawing/2014/main" id="{40376E97-FEA3-3A43-B1DD-C990118DDC3E}"/>
            </a:ext>
          </a:extLst>
        </xdr:cNvPr>
        <xdr:cNvCxnSpPr/>
      </xdr:nvCxnSpPr>
      <xdr:spPr>
        <a:xfrm>
          <a:off x="12603774" y="60634441"/>
          <a:ext cx="1140106" cy="348328"/>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oneCellAnchor>
    <xdr:from>
      <xdr:col>5</xdr:col>
      <xdr:colOff>372532</xdr:colOff>
      <xdr:row>240</xdr:row>
      <xdr:rowOff>101601</xdr:rowOff>
    </xdr:from>
    <xdr:ext cx="1303867" cy="305725"/>
    <mc:AlternateContent xmlns:mc="http://schemas.openxmlformats.org/markup-compatibility/2006" xmlns:a14="http://schemas.microsoft.com/office/drawing/2010/main">
      <mc:Choice Requires="a14">
        <xdr:sp macro="" textlink="">
          <xdr:nvSpPr>
            <xdr:cNvPr id="58" name="CasellaDiTesto 25">
              <a:extLst>
                <a:ext uri="{FF2B5EF4-FFF2-40B4-BE49-F238E27FC236}">
                  <a16:creationId xmlns:a16="http://schemas.microsoft.com/office/drawing/2014/main" id="{0FDB0C4E-74EC-3C44-9850-0873F7A2F1F5}"/>
                </a:ext>
              </a:extLst>
            </xdr:cNvPr>
            <xdr:cNvSpPr txBox="1"/>
          </xdr:nvSpPr>
          <xdr:spPr>
            <a:xfrm>
              <a:off x="7294032" y="60693301"/>
              <a:ext cx="1303867" cy="3057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acc>
                      <m:accPr>
                        <m:chr m:val="̃"/>
                        <m:ctrlPr>
                          <a:rPr lang="it-IT" sz="1050" b="1" i="1">
                            <a:latin typeface="Cambria Math" panose="02040503050406030204" pitchFamily="18" charset="0"/>
                          </a:rPr>
                        </m:ctrlPr>
                      </m:accPr>
                      <m:e>
                        <m:r>
                          <a:rPr lang="it-IT" sz="1050" b="1" i="1">
                            <a:latin typeface="Cambria Math" panose="02040503050406030204" pitchFamily="18" charset="0"/>
                          </a:rPr>
                          <m:t>𝑽</m:t>
                        </m:r>
                      </m:e>
                    </m:acc>
                    <m:r>
                      <a:rPr lang="it-IT" sz="1050" b="1" i="1">
                        <a:latin typeface="Cambria Math" panose="02040503050406030204" pitchFamily="18" charset="0"/>
                      </a:rPr>
                      <m:t>=</m:t>
                    </m:r>
                    <m:f>
                      <m:fPr>
                        <m:ctrlPr>
                          <a:rPr lang="it-IT" sz="1050" b="1" i="1">
                            <a:latin typeface="Cambria Math" panose="02040503050406030204" pitchFamily="18" charset="0"/>
                          </a:rPr>
                        </m:ctrlPr>
                      </m:fPr>
                      <m:num>
                        <m:r>
                          <a:rPr lang="it-IT" sz="1050" b="1" i="1">
                            <a:latin typeface="Cambria Math" panose="02040503050406030204" pitchFamily="18" charset="0"/>
                          </a:rPr>
                          <m:t>𝑹</m:t>
                        </m:r>
                        <m:r>
                          <a:rPr lang="it-IT" sz="1050" b="1" i="1">
                            <a:latin typeface="Cambria Math" panose="02040503050406030204" pitchFamily="18" charset="0"/>
                          </a:rPr>
                          <m:t> </m:t>
                        </m:r>
                        <m:r>
                          <a:rPr lang="it-IT" sz="1050" b="1" i="1">
                            <a:latin typeface="Cambria Math" panose="02040503050406030204" pitchFamily="18" charset="0"/>
                          </a:rPr>
                          <m:t>𝑻</m:t>
                        </m:r>
                      </m:num>
                      <m:den>
                        <m:r>
                          <a:rPr lang="it-IT" sz="1050" b="1" i="1">
                            <a:latin typeface="Cambria Math" panose="02040503050406030204" pitchFamily="18" charset="0"/>
                          </a:rPr>
                          <m:t>𝑷</m:t>
                        </m:r>
                      </m:den>
                    </m:f>
                  </m:oMath>
                </m:oMathPara>
              </a14:m>
              <a:endParaRPr lang="it-IT" sz="1050" b="1"/>
            </a:p>
          </xdr:txBody>
        </xdr:sp>
      </mc:Choice>
      <mc:Fallback xmlns="">
        <xdr:sp macro="" textlink="">
          <xdr:nvSpPr>
            <xdr:cNvPr id="58" name="CasellaDiTesto 25">
              <a:extLst>
                <a:ext uri="{FF2B5EF4-FFF2-40B4-BE49-F238E27FC236}">
                  <a16:creationId xmlns:a16="http://schemas.microsoft.com/office/drawing/2014/main" id="{0FDB0C4E-74EC-3C44-9850-0873F7A2F1F5}"/>
                </a:ext>
              </a:extLst>
            </xdr:cNvPr>
            <xdr:cNvSpPr txBox="1"/>
          </xdr:nvSpPr>
          <xdr:spPr>
            <a:xfrm>
              <a:off x="7294032" y="60693301"/>
              <a:ext cx="1303867" cy="3057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050" b="1" i="0">
                  <a:latin typeface="Cambria Math" panose="02040503050406030204" pitchFamily="18" charset="0"/>
                </a:rPr>
                <a:t>𝑽 ̃=(𝑹 𝑻)/𝑷</a:t>
              </a:r>
              <a:endParaRPr lang="it-IT" sz="1050" b="1"/>
            </a:p>
          </xdr:txBody>
        </xdr:sp>
      </mc:Fallback>
    </mc:AlternateContent>
    <xdr:clientData/>
  </xdr:oneCellAnchor>
  <xdr:twoCellAnchor>
    <xdr:from>
      <xdr:col>6</xdr:col>
      <xdr:colOff>287867</xdr:colOff>
      <xdr:row>240</xdr:row>
      <xdr:rowOff>194733</xdr:rowOff>
    </xdr:from>
    <xdr:to>
      <xdr:col>6</xdr:col>
      <xdr:colOff>700036</xdr:colOff>
      <xdr:row>242</xdr:row>
      <xdr:rowOff>105207</xdr:rowOff>
    </xdr:to>
    <xdr:cxnSp macro="">
      <xdr:nvCxnSpPr>
        <xdr:cNvPr id="59" name="Curved Connector 58">
          <a:extLst>
            <a:ext uri="{FF2B5EF4-FFF2-40B4-BE49-F238E27FC236}">
              <a16:creationId xmlns:a16="http://schemas.microsoft.com/office/drawing/2014/main" id="{8F9BC36E-FE2D-BA4D-B9B9-D931396D2529}"/>
            </a:ext>
          </a:extLst>
        </xdr:cNvPr>
        <xdr:cNvCxnSpPr>
          <a:endCxn id="50" idx="0"/>
        </xdr:cNvCxnSpPr>
      </xdr:nvCxnSpPr>
      <xdr:spPr>
        <a:xfrm>
          <a:off x="8301567" y="60786433"/>
          <a:ext cx="412169" cy="316874"/>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1000646</xdr:colOff>
      <xdr:row>267</xdr:row>
      <xdr:rowOff>177520</xdr:rowOff>
    </xdr:from>
    <xdr:to>
      <xdr:col>17</xdr:col>
      <xdr:colOff>1244599</xdr:colOff>
      <xdr:row>285</xdr:row>
      <xdr:rowOff>41868</xdr:rowOff>
    </xdr:to>
    <xdr:graphicFrame macro="">
      <xdr:nvGraphicFramePr>
        <xdr:cNvPr id="60" name="Chart 59">
          <a:extLst>
            <a:ext uri="{FF2B5EF4-FFF2-40B4-BE49-F238E27FC236}">
              <a16:creationId xmlns:a16="http://schemas.microsoft.com/office/drawing/2014/main" id="{A68A677B-AD25-FE4E-B116-2C0EE24EFE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oneCellAnchor>
    <xdr:from>
      <xdr:col>10</xdr:col>
      <xdr:colOff>642750</xdr:colOff>
      <xdr:row>244</xdr:row>
      <xdr:rowOff>77922</xdr:rowOff>
    </xdr:from>
    <xdr:ext cx="5057090" cy="1166345"/>
    <mc:AlternateContent xmlns:mc="http://schemas.openxmlformats.org/markup-compatibility/2006" xmlns:a14="http://schemas.microsoft.com/office/drawing/2010/main">
      <mc:Choice Requires="a14">
        <xdr:sp macro="" textlink="">
          <xdr:nvSpPr>
            <xdr:cNvPr id="61" name="TextBox 60">
              <a:extLst>
                <a:ext uri="{FF2B5EF4-FFF2-40B4-BE49-F238E27FC236}">
                  <a16:creationId xmlns:a16="http://schemas.microsoft.com/office/drawing/2014/main" id="{79315304-F4D4-F941-963B-A8058D05CFC7}"/>
                </a:ext>
              </a:extLst>
            </xdr:cNvPr>
            <xdr:cNvSpPr txBox="1"/>
          </xdr:nvSpPr>
          <xdr:spPr>
            <a:xfrm>
              <a:off x="12745850" y="61533222"/>
              <a:ext cx="5057090" cy="11663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solidFill>
                          <a:srgbClr val="FF0000"/>
                        </a:solidFill>
                        <a:latin typeface="Cambria Math" panose="02040503050406030204" pitchFamily="18" charset="0"/>
                      </a:rPr>
                      <m:t>𝑏𝑢𝑡</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𝐺𝑎𝑢𝑠𝑠𝑖𝑎𝑛</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𝑢𝑠𝑒𝑠</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𝑓𝑜𝑟</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𝑝𝑜𝑙𝑦𝑎𝑡𝑜𝑚𝑖𝑐</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𝑚𝑜𝑙𝑒𝑐𝑢𝑙𝑒𝑠</m:t>
                    </m:r>
                    <m:r>
                      <a:rPr lang="it-IT" sz="1400" b="0" i="1">
                        <a:solidFill>
                          <a:srgbClr val="FF0000"/>
                        </a:solidFill>
                        <a:latin typeface="Cambria Math" panose="02040503050406030204" pitchFamily="18" charset="0"/>
                      </a:rPr>
                      <m:t>):</m:t>
                    </m:r>
                  </m:oMath>
                </m:oMathPara>
              </a14:m>
              <a:endParaRPr lang="it-IT" sz="1400" b="0">
                <a:solidFill>
                  <a:srgbClr val="FF0000"/>
                </a:solidFill>
              </a:endParaRPr>
            </a:p>
            <a:p>
              <a:endParaRPr lang="en-US" sz="1400">
                <a:solidFill>
                  <a:srgbClr val="FF0000"/>
                </a:solidFill>
              </a:endParaRPr>
            </a:p>
            <a:p>
              <a14:m>
                <m:oMath xmlns:m="http://schemas.openxmlformats.org/officeDocument/2006/math">
                  <m:func>
                    <m:funcPr>
                      <m:ctrlPr>
                        <a:rPr lang="it-IT" sz="1400" b="0" i="1">
                          <a:solidFill>
                            <a:srgbClr val="FF0000"/>
                          </a:solidFill>
                          <a:latin typeface="Cambria Math" panose="02040503050406030204" pitchFamily="18" charset="0"/>
                        </a:rPr>
                      </m:ctrlPr>
                    </m:funcPr>
                    <m:fName>
                      <m:r>
                        <a:rPr lang="it-IT" sz="1400" b="0" i="1">
                          <a:solidFill>
                            <a:srgbClr val="FF0000"/>
                          </a:solidFill>
                          <a:latin typeface="Cambria Math" panose="02040503050406030204" pitchFamily="18" charset="0"/>
                        </a:rPr>
                        <m:t>𝑅</m:t>
                      </m:r>
                    </m:fName>
                    <m:e>
                      <m:d>
                        <m:dPr>
                          <m:ctrlPr>
                            <a:rPr lang="it-IT" sz="1400" b="0" i="1">
                              <a:solidFill>
                                <a:srgbClr val="FF0000"/>
                              </a:solidFill>
                              <a:latin typeface="Cambria Math" panose="02040503050406030204" pitchFamily="18" charset="0"/>
                            </a:rPr>
                          </m:ctrlPr>
                        </m:dPr>
                        <m:e>
                          <m:r>
                            <m:rPr>
                              <m:sty m:val="p"/>
                            </m:rPr>
                            <a:rPr lang="it-IT" sz="1400" b="0" i="0">
                              <a:solidFill>
                                <a:srgbClr val="FF0000"/>
                              </a:solidFill>
                              <a:latin typeface="Cambria Math" panose="02040503050406030204" pitchFamily="18" charset="0"/>
                            </a:rPr>
                            <m:t>ln</m:t>
                          </m:r>
                          <m:d>
                            <m:dPr>
                              <m:ctrlPr>
                                <a:rPr lang="it-IT" sz="1400" b="0" i="1">
                                  <a:solidFill>
                                    <a:srgbClr val="FF0000"/>
                                  </a:solidFill>
                                  <a:latin typeface="Cambria Math" panose="02040503050406030204" pitchFamily="18" charset="0"/>
                                </a:rPr>
                              </m:ctrlPr>
                            </m:dPr>
                            <m:e>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rPr>
                                    <m:t>𝑞</m:t>
                                  </m:r>
                                </m:e>
                                <m:sub>
                                  <m:r>
                                    <a:rPr lang="it-IT" sz="1400" b="0" i="1">
                                      <a:solidFill>
                                        <a:srgbClr val="FF0000"/>
                                      </a:solidFill>
                                      <a:latin typeface="Cambria Math" panose="02040503050406030204" pitchFamily="18" charset="0"/>
                                    </a:rPr>
                                    <m:t>𝑟</m:t>
                                  </m:r>
                                </m:sub>
                              </m:sSub>
                            </m:e>
                          </m:d>
                          <m:r>
                            <a:rPr lang="it-IT" sz="1400" b="0" i="1">
                              <a:solidFill>
                                <a:srgbClr val="FF0000"/>
                              </a:solidFill>
                              <a:latin typeface="Cambria Math" panose="02040503050406030204" pitchFamily="18" charset="0"/>
                            </a:rPr>
                            <m:t>+</m:t>
                          </m:r>
                          <m:f>
                            <m:fPr>
                              <m:ctrlPr>
                                <a:rPr lang="it-IT" sz="1400" b="0" i="1">
                                  <a:solidFill>
                                    <a:srgbClr val="FF0000"/>
                                  </a:solidFill>
                                  <a:latin typeface="Cambria Math" panose="02040503050406030204" pitchFamily="18" charset="0"/>
                                </a:rPr>
                              </m:ctrlPr>
                            </m:fPr>
                            <m:num>
                              <m:r>
                                <a:rPr lang="it-IT" sz="1400" b="0" i="1">
                                  <a:solidFill>
                                    <a:srgbClr val="FF0000"/>
                                  </a:solidFill>
                                  <a:latin typeface="Cambria Math" panose="02040503050406030204" pitchFamily="18" charset="0"/>
                                </a:rPr>
                                <m:t>3</m:t>
                              </m:r>
                            </m:num>
                            <m:den>
                              <m:r>
                                <a:rPr lang="it-IT" sz="1400" b="0" i="1">
                                  <a:solidFill>
                                    <a:srgbClr val="FF0000"/>
                                  </a:solidFill>
                                  <a:latin typeface="Cambria Math" panose="02040503050406030204" pitchFamily="18" charset="0"/>
                                </a:rPr>
                                <m:t>2</m:t>
                              </m:r>
                            </m:den>
                          </m:f>
                        </m:e>
                      </m:d>
                    </m:e>
                  </m:func>
                </m:oMath>
              </a14:m>
              <a:r>
                <a:rPr lang="en-US" sz="1400">
                  <a:solidFill>
                    <a:srgbClr val="FF0000"/>
                  </a:solidFill>
                </a:rPr>
                <a:t> where </a:t>
              </a:r>
              <a14:m>
                <m:oMath xmlns:m="http://schemas.openxmlformats.org/officeDocument/2006/math">
                  <m:sSub>
                    <m:sSubPr>
                      <m:ctrlPr>
                        <a:rPr lang="en-US" sz="140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rPr>
                        <m:t>𝑞</m:t>
                      </m:r>
                    </m:e>
                    <m:sub>
                      <m:r>
                        <a:rPr lang="it-IT" sz="1400" b="0" i="1">
                          <a:solidFill>
                            <a:srgbClr val="FF0000"/>
                          </a:solidFill>
                          <a:latin typeface="Cambria Math" panose="02040503050406030204" pitchFamily="18" charset="0"/>
                        </a:rPr>
                        <m:t>𝑟</m:t>
                      </m:r>
                    </m:sub>
                  </m:sSub>
                  <m:r>
                    <a:rPr lang="it-IT" sz="1400" b="0" i="1">
                      <a:solidFill>
                        <a:srgbClr val="FF0000"/>
                      </a:solidFill>
                      <a:latin typeface="Cambria Math" panose="02040503050406030204" pitchFamily="18" charset="0"/>
                    </a:rPr>
                    <m:t>=</m:t>
                  </m:r>
                  <m:f>
                    <m:fPr>
                      <m:ctrlPr>
                        <a:rPr lang="it-IT" sz="1400" b="0" i="1">
                          <a:solidFill>
                            <a:srgbClr val="FF0000"/>
                          </a:solidFill>
                          <a:latin typeface="Cambria Math" panose="02040503050406030204" pitchFamily="18" charset="0"/>
                        </a:rPr>
                      </m:ctrlPr>
                    </m:fPr>
                    <m:num>
                      <m:rad>
                        <m:radPr>
                          <m:degHide m:val="on"/>
                          <m:ctrlPr>
                            <a:rPr lang="it-IT" sz="1400" b="0" i="1">
                              <a:solidFill>
                                <a:srgbClr val="FF0000"/>
                              </a:solidFill>
                              <a:latin typeface="Cambria Math" panose="02040503050406030204" pitchFamily="18" charset="0"/>
                            </a:rPr>
                          </m:ctrlPr>
                        </m:radPr>
                        <m:deg/>
                        <m:e>
                          <m:r>
                            <a:rPr lang="it-IT" sz="1400" b="0" i="1">
                              <a:solidFill>
                                <a:srgbClr val="FF0000"/>
                              </a:solidFill>
                              <a:latin typeface="Cambria Math" panose="02040503050406030204" pitchFamily="18" charset="0"/>
                              <a:ea typeface="Cambria Math" panose="02040503050406030204" pitchFamily="18" charset="0"/>
                            </a:rPr>
                            <m:t>𝜋</m:t>
                          </m:r>
                        </m:e>
                      </m:rad>
                    </m:num>
                    <m:den>
                      <m:r>
                        <a:rPr lang="it-IT" sz="1400" b="0" i="1">
                          <a:solidFill>
                            <a:srgbClr val="FF0000"/>
                          </a:solidFill>
                          <a:latin typeface="Cambria Math" panose="02040503050406030204" pitchFamily="18" charset="0"/>
                          <a:ea typeface="Cambria Math" panose="02040503050406030204" pitchFamily="18" charset="0"/>
                        </a:rPr>
                        <m:t>𝜎</m:t>
                      </m:r>
                    </m:den>
                  </m:f>
                  <m:d>
                    <m:dPr>
                      <m:ctrlPr>
                        <a:rPr lang="it-IT" sz="1400" b="0" i="1">
                          <a:solidFill>
                            <a:srgbClr val="FF0000"/>
                          </a:solidFill>
                          <a:latin typeface="Cambria Math" panose="02040503050406030204" pitchFamily="18" charset="0"/>
                        </a:rPr>
                      </m:ctrlPr>
                    </m:dPr>
                    <m:e>
                      <m:f>
                        <m:fPr>
                          <m:ctrlPr>
                            <a:rPr lang="it-IT" sz="1400" b="0" i="1">
                              <a:solidFill>
                                <a:srgbClr val="FF0000"/>
                              </a:solidFill>
                              <a:latin typeface="Cambria Math" panose="02040503050406030204" pitchFamily="18" charset="0"/>
                            </a:rPr>
                          </m:ctrlPr>
                        </m:fPr>
                        <m:num>
                          <m:sSup>
                            <m:sSupPr>
                              <m:ctrlPr>
                                <a:rPr lang="it-IT" sz="1400" b="0" i="1">
                                  <a:solidFill>
                                    <a:srgbClr val="FF0000"/>
                                  </a:solidFill>
                                  <a:latin typeface="Cambria Math" panose="02040503050406030204" pitchFamily="18" charset="0"/>
                                </a:rPr>
                              </m:ctrlPr>
                            </m:sSupPr>
                            <m:e>
                              <m:r>
                                <a:rPr lang="it-IT" sz="1400" b="0" i="1">
                                  <a:solidFill>
                                    <a:srgbClr val="FF0000"/>
                                  </a:solidFill>
                                  <a:latin typeface="Cambria Math" panose="02040503050406030204" pitchFamily="18" charset="0"/>
                                </a:rPr>
                                <m:t>𝑇</m:t>
                              </m:r>
                            </m:e>
                            <m:sup>
                              <m:f>
                                <m:fPr>
                                  <m:ctrlPr>
                                    <a:rPr lang="it-IT" sz="1400" b="0" i="1">
                                      <a:solidFill>
                                        <a:srgbClr val="FF0000"/>
                                      </a:solidFill>
                                      <a:latin typeface="Cambria Math" panose="02040503050406030204" pitchFamily="18" charset="0"/>
                                    </a:rPr>
                                  </m:ctrlPr>
                                </m:fPr>
                                <m:num>
                                  <m:r>
                                    <a:rPr lang="it-IT" sz="1400" b="0" i="1">
                                      <a:solidFill>
                                        <a:srgbClr val="FF0000"/>
                                      </a:solidFill>
                                      <a:latin typeface="Cambria Math" panose="02040503050406030204" pitchFamily="18" charset="0"/>
                                    </a:rPr>
                                    <m:t>3</m:t>
                                  </m:r>
                                </m:num>
                                <m:den>
                                  <m:r>
                                    <a:rPr lang="it-IT" sz="1400" b="0" i="1">
                                      <a:solidFill>
                                        <a:srgbClr val="FF0000"/>
                                      </a:solidFill>
                                      <a:latin typeface="Cambria Math" panose="02040503050406030204" pitchFamily="18" charset="0"/>
                                    </a:rPr>
                                    <m:t>2</m:t>
                                  </m:r>
                                </m:den>
                              </m:f>
                            </m:sup>
                          </m:sSup>
                        </m:num>
                        <m:den>
                          <m:rad>
                            <m:radPr>
                              <m:degHide m:val="on"/>
                              <m:ctrlPr>
                                <a:rPr lang="it-IT" sz="1400" b="0" i="1">
                                  <a:solidFill>
                                    <a:srgbClr val="FF0000"/>
                                  </a:solidFill>
                                  <a:latin typeface="Cambria Math" panose="02040503050406030204" pitchFamily="18" charset="0"/>
                                </a:rPr>
                              </m:ctrlPr>
                            </m:radPr>
                            <m:deg/>
                            <m:e>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ea typeface="Cambria Math" panose="02040503050406030204" pitchFamily="18" charset="0"/>
                                    </a:rPr>
                                    <m:t>𝜗</m:t>
                                  </m:r>
                                </m:e>
                                <m:sub>
                                  <m:r>
                                    <a:rPr lang="it-IT" sz="1400" b="0" i="1">
                                      <a:solidFill>
                                        <a:srgbClr val="FF0000"/>
                                      </a:solidFill>
                                      <a:latin typeface="Cambria Math" panose="02040503050406030204" pitchFamily="18" charset="0"/>
                                    </a:rPr>
                                    <m:t>𝑥</m:t>
                                  </m:r>
                                </m:sub>
                              </m:sSub>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ea typeface="Cambria Math" panose="02040503050406030204" pitchFamily="18" charset="0"/>
                                    </a:rPr>
                                    <m:t>𝜗</m:t>
                                  </m:r>
                                </m:e>
                                <m:sub>
                                  <m:r>
                                    <a:rPr lang="it-IT" sz="1400" b="0" i="1">
                                      <a:solidFill>
                                        <a:srgbClr val="FF0000"/>
                                      </a:solidFill>
                                      <a:latin typeface="Cambria Math" panose="02040503050406030204" pitchFamily="18" charset="0"/>
                                      <a:ea typeface="Cambria Math" panose="02040503050406030204" pitchFamily="18" charset="0"/>
                                    </a:rPr>
                                    <m:t>𝑦</m:t>
                                  </m:r>
                                </m:sub>
                              </m:sSub>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ea typeface="Cambria Math" panose="02040503050406030204" pitchFamily="18" charset="0"/>
                                    </a:rPr>
                                    <m:t>𝜗</m:t>
                                  </m:r>
                                </m:e>
                                <m:sub>
                                  <m:r>
                                    <a:rPr lang="it-IT" sz="1400" b="0" i="1">
                                      <a:solidFill>
                                        <a:srgbClr val="FF0000"/>
                                      </a:solidFill>
                                      <a:latin typeface="Cambria Math" panose="02040503050406030204" pitchFamily="18" charset="0"/>
                                      <a:ea typeface="Cambria Math" panose="02040503050406030204" pitchFamily="18" charset="0"/>
                                    </a:rPr>
                                    <m:t>𝑧</m:t>
                                  </m:r>
                                </m:sub>
                              </m:sSub>
                            </m:e>
                          </m:rad>
                        </m:den>
                      </m:f>
                    </m:e>
                  </m:d>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𝑖𝑠</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𝑡h𝑒</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𝑝𝑎𝑟𝑡𝑖𝑡𝑖𝑜𝑛</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𝑓𝑢𝑛𝑐𝑡𝑖𝑜𝑛</m:t>
                  </m:r>
                </m:oMath>
              </a14:m>
              <a:r>
                <a:rPr lang="en-US" sz="1400">
                  <a:solidFill>
                    <a:srgbClr val="FF0000"/>
                  </a:solidFill>
                </a:rPr>
                <a:t> </a:t>
              </a:r>
            </a:p>
            <a:p>
              <a:r>
                <a:rPr lang="en-US" sz="1400">
                  <a:solidFill>
                    <a:srgbClr val="FF0000"/>
                  </a:solidFill>
                </a:rPr>
                <a:t>(this is the one</a:t>
              </a:r>
              <a:r>
                <a:rPr lang="en-US" sz="1400" baseline="0">
                  <a:solidFill>
                    <a:srgbClr val="FF0000"/>
                  </a:solidFill>
                </a:rPr>
                <a:t> we will use</a:t>
              </a:r>
              <a:r>
                <a:rPr lang="en-US" sz="1400">
                  <a:solidFill>
                    <a:srgbClr val="FF0000"/>
                  </a:solidFill>
                </a:rPr>
                <a:t>)</a:t>
              </a:r>
            </a:p>
          </xdr:txBody>
        </xdr:sp>
      </mc:Choice>
      <mc:Fallback xmlns="">
        <xdr:sp macro="" textlink="">
          <xdr:nvSpPr>
            <xdr:cNvPr id="61" name="TextBox 60">
              <a:extLst>
                <a:ext uri="{FF2B5EF4-FFF2-40B4-BE49-F238E27FC236}">
                  <a16:creationId xmlns:a16="http://schemas.microsoft.com/office/drawing/2014/main" id="{79315304-F4D4-F941-963B-A8058D05CFC7}"/>
                </a:ext>
              </a:extLst>
            </xdr:cNvPr>
            <xdr:cNvSpPr txBox="1"/>
          </xdr:nvSpPr>
          <xdr:spPr>
            <a:xfrm>
              <a:off x="12745850" y="61533222"/>
              <a:ext cx="5057090" cy="11663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0" i="0">
                  <a:solidFill>
                    <a:srgbClr val="FF0000"/>
                  </a:solidFill>
                  <a:latin typeface="Cambria Math" panose="02040503050406030204" pitchFamily="18" charset="0"/>
                </a:rPr>
                <a:t>𝑏𝑢𝑡 𝐺𝑎𝑢𝑠𝑠𝑖𝑎𝑛 𝑢𝑠𝑒𝑠 (𝑓𝑜𝑟 𝑝𝑜𝑙𝑦𝑎𝑡𝑜𝑚𝑖𝑐 𝑚𝑜𝑙𝑒𝑐𝑢𝑙𝑒𝑠):</a:t>
              </a:r>
              <a:endParaRPr lang="it-IT" sz="1400" b="0">
                <a:solidFill>
                  <a:srgbClr val="FF0000"/>
                </a:solidFill>
              </a:endParaRPr>
            </a:p>
            <a:p>
              <a:endParaRPr lang="en-US" sz="1400">
                <a:solidFill>
                  <a:srgbClr val="FF0000"/>
                </a:solidFill>
              </a:endParaRPr>
            </a:p>
            <a:p>
              <a:r>
                <a:rPr lang="it-IT" sz="1400" b="0" i="0">
                  <a:solidFill>
                    <a:srgbClr val="FF0000"/>
                  </a:solidFill>
                  <a:latin typeface="Cambria Math" panose="02040503050406030204" pitchFamily="18" charset="0"/>
                </a:rPr>
                <a:t>𝑅⁡(ln(𝑞_𝑟 )+3/2)</a:t>
              </a:r>
              <a:r>
                <a:rPr lang="en-US" sz="1400">
                  <a:solidFill>
                    <a:srgbClr val="FF0000"/>
                  </a:solidFill>
                </a:rPr>
                <a:t> where </a:t>
              </a:r>
              <a:r>
                <a:rPr lang="it-IT" sz="1400" b="0" i="0">
                  <a:solidFill>
                    <a:srgbClr val="FF0000"/>
                  </a:solidFill>
                  <a:latin typeface="Cambria Math" panose="02040503050406030204" pitchFamily="18" charset="0"/>
                </a:rPr>
                <a:t>𝑞</a:t>
              </a:r>
              <a:r>
                <a:rPr lang="en-US" sz="1400" b="0" i="0">
                  <a:solidFill>
                    <a:srgbClr val="FF0000"/>
                  </a:solidFill>
                  <a:latin typeface="Cambria Math" panose="02040503050406030204" pitchFamily="18" charset="0"/>
                </a:rPr>
                <a:t>_</a:t>
              </a:r>
              <a:r>
                <a:rPr lang="it-IT" sz="1400" b="0" i="0">
                  <a:solidFill>
                    <a:srgbClr val="FF0000"/>
                  </a:solidFill>
                  <a:latin typeface="Cambria Math" panose="02040503050406030204" pitchFamily="18" charset="0"/>
                </a:rPr>
                <a:t>𝑟=√</a:t>
              </a:r>
              <a:r>
                <a:rPr lang="it-IT" sz="1400" b="0" i="0">
                  <a:solidFill>
                    <a:srgbClr val="FF0000"/>
                  </a:solidFill>
                  <a:latin typeface="Cambria Math" panose="02040503050406030204" pitchFamily="18" charset="0"/>
                  <a:ea typeface="Cambria Math" panose="02040503050406030204" pitchFamily="18" charset="0"/>
                </a:rPr>
                <a:t>𝜋/𝜎 </a:t>
              </a:r>
              <a:r>
                <a:rPr lang="it-IT" sz="1400" b="0" i="0">
                  <a:solidFill>
                    <a:srgbClr val="FF0000"/>
                  </a:solidFill>
                  <a:latin typeface="Cambria Math" panose="02040503050406030204" pitchFamily="18" charset="0"/>
                </a:rPr>
                <a:t>(𝑇^(3/2)/√(</a:t>
              </a:r>
              <a:r>
                <a:rPr lang="it-IT" sz="1400" b="0" i="0">
                  <a:solidFill>
                    <a:srgbClr val="FF0000"/>
                  </a:solidFill>
                  <a:latin typeface="Cambria Math" panose="02040503050406030204" pitchFamily="18" charset="0"/>
                  <a:ea typeface="Cambria Math" panose="02040503050406030204" pitchFamily="18" charset="0"/>
                </a:rPr>
                <a:t>𝜗_</a:t>
              </a:r>
              <a:r>
                <a:rPr lang="it-IT" sz="1400" b="0" i="0">
                  <a:solidFill>
                    <a:srgbClr val="FF0000"/>
                  </a:solidFill>
                  <a:latin typeface="Cambria Math" panose="02040503050406030204" pitchFamily="18" charset="0"/>
                </a:rPr>
                <a:t>𝑥 </a:t>
              </a:r>
              <a:r>
                <a:rPr lang="it-IT" sz="1400" b="0" i="0">
                  <a:solidFill>
                    <a:srgbClr val="FF0000"/>
                  </a:solidFill>
                  <a:latin typeface="Cambria Math" panose="02040503050406030204" pitchFamily="18" charset="0"/>
                  <a:ea typeface="Cambria Math" panose="02040503050406030204" pitchFamily="18" charset="0"/>
                </a:rPr>
                <a:t>𝜗_𝑦 𝜗_𝑧 )) </a:t>
              </a:r>
              <a:r>
                <a:rPr lang="it-IT" sz="1400" b="0" i="0">
                  <a:solidFill>
                    <a:srgbClr val="FF0000"/>
                  </a:solidFill>
                  <a:latin typeface="Cambria Math" panose="02040503050406030204" pitchFamily="18" charset="0"/>
                </a:rPr>
                <a:t> 𝑖𝑠 𝑡ℎ𝑒 𝑝𝑎𝑟𝑡𝑖𝑡𝑖𝑜𝑛 𝑓𝑢𝑛𝑐𝑡𝑖𝑜𝑛</a:t>
              </a:r>
              <a:r>
                <a:rPr lang="en-US" sz="1400">
                  <a:solidFill>
                    <a:srgbClr val="FF0000"/>
                  </a:solidFill>
                </a:rPr>
                <a:t> </a:t>
              </a:r>
            </a:p>
            <a:p>
              <a:r>
                <a:rPr lang="en-US" sz="1400">
                  <a:solidFill>
                    <a:srgbClr val="FF0000"/>
                  </a:solidFill>
                </a:rPr>
                <a:t>(this is the one</a:t>
              </a:r>
              <a:r>
                <a:rPr lang="en-US" sz="1400" baseline="0">
                  <a:solidFill>
                    <a:srgbClr val="FF0000"/>
                  </a:solidFill>
                </a:rPr>
                <a:t> we will use</a:t>
              </a:r>
              <a:r>
                <a:rPr lang="en-US" sz="1400">
                  <a:solidFill>
                    <a:srgbClr val="FF0000"/>
                  </a:solidFill>
                </a:rPr>
                <a:t>)</a:t>
              </a:r>
            </a:p>
          </xdr:txBody>
        </xdr:sp>
      </mc:Fallback>
    </mc:AlternateContent>
    <xdr:clientData/>
  </xdr:oneCellAnchor>
  <xdr:twoCellAnchor>
    <xdr:from>
      <xdr:col>4</xdr:col>
      <xdr:colOff>628586</xdr:colOff>
      <xdr:row>173</xdr:row>
      <xdr:rowOff>89798</xdr:rowOff>
    </xdr:from>
    <xdr:to>
      <xdr:col>7</xdr:col>
      <xdr:colOff>141111</xdr:colOff>
      <xdr:row>179</xdr:row>
      <xdr:rowOff>179595</xdr:rowOff>
    </xdr:to>
    <mc:AlternateContent xmlns:mc="http://schemas.openxmlformats.org/markup-compatibility/2006" xmlns:a14="http://schemas.microsoft.com/office/drawing/2010/main">
      <mc:Choice Requires="a14">
        <xdr:sp macro="" textlink="">
          <xdr:nvSpPr>
            <xdr:cNvPr id="62" name="TextBox 61">
              <a:extLst>
                <a:ext uri="{FF2B5EF4-FFF2-40B4-BE49-F238E27FC236}">
                  <a16:creationId xmlns:a16="http://schemas.microsoft.com/office/drawing/2014/main" id="{2ADAF95E-824B-4056-D4CB-D4B7D5B7A710}"/>
                </a:ext>
              </a:extLst>
            </xdr:cNvPr>
            <xdr:cNvSpPr txBox="1"/>
          </xdr:nvSpPr>
          <xdr:spPr>
            <a:xfrm>
              <a:off x="6183232" y="44668081"/>
              <a:ext cx="3258384" cy="16420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rgbClr val="FF0000"/>
                  </a:solidFill>
                </a:rPr>
                <a:t>CH3 is a radical.</a:t>
              </a:r>
              <a:r>
                <a:rPr lang="en-US" sz="1600" baseline="0">
                  <a:solidFill>
                    <a:srgbClr val="FF0000"/>
                  </a:solidFill>
                </a:rPr>
                <a:t> As such, it as an unpaired electron. The spin multiplicity then becomes:</a:t>
              </a:r>
            </a:p>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r>
                      <a:rPr lang="en-US" sz="1600" i="1" baseline="0">
                        <a:solidFill>
                          <a:srgbClr val="FF0000"/>
                        </a:solidFill>
                        <a:latin typeface="Cambria Math" panose="02040503050406030204" pitchFamily="18" charset="0"/>
                      </a:rPr>
                      <m:t>2</m:t>
                    </m:r>
                    <m:r>
                      <m:rPr>
                        <m:sty m:val="p"/>
                      </m:rPr>
                      <a:rPr lang="en-US" sz="1600" i="1" baseline="0">
                        <a:solidFill>
                          <a:srgbClr val="FF0000"/>
                        </a:solidFill>
                        <a:latin typeface="Cambria Math" panose="02040503050406030204" pitchFamily="18" charset="0"/>
                      </a:rPr>
                      <m:t>S</m:t>
                    </m:r>
                    <m:r>
                      <a:rPr lang="en-US" sz="1600" i="1" baseline="0">
                        <a:solidFill>
                          <a:srgbClr val="FF0000"/>
                        </a:solidFill>
                        <a:latin typeface="Cambria Math" panose="02040503050406030204" pitchFamily="18" charset="0"/>
                      </a:rPr>
                      <m:t> + 1 = 1 +1 =2</m:t>
                    </m:r>
                  </m:oMath>
                </m:oMathPara>
              </a14:m>
              <a:endParaRPr lang="en-US" sz="1600" baseline="0">
                <a:solidFill>
                  <a:srgbClr val="FF0000"/>
                </a:solidFill>
              </a:endParaRPr>
            </a:p>
            <a:p>
              <a:pPr marL="0" marR="0" lvl="0" indent="0" defTabSz="914400" eaLnBrk="1" fontAlgn="auto" latinLnBrk="0" hangingPunct="1">
                <a:lnSpc>
                  <a:spcPct val="100000"/>
                </a:lnSpc>
                <a:spcBef>
                  <a:spcPts val="0"/>
                </a:spcBef>
                <a:spcAft>
                  <a:spcPts val="0"/>
                </a:spcAft>
                <a:buClrTx/>
                <a:buSzTx/>
                <a:buFontTx/>
                <a:buNone/>
                <a:tabLst/>
                <a:defRPr/>
              </a:pPr>
              <a:r>
                <a:rPr lang="en-US" sz="1600" baseline="0">
                  <a:solidFill>
                    <a:srgbClr val="FF0000"/>
                  </a:solidFill>
                </a:rPr>
                <a:t>with S the total number of unpaired electrons</a:t>
              </a:r>
            </a:p>
            <a:p>
              <a:endParaRPr lang="en-US" sz="1600">
                <a:solidFill>
                  <a:srgbClr val="FF0000"/>
                </a:solidFill>
              </a:endParaRPr>
            </a:p>
          </xdr:txBody>
        </xdr:sp>
      </mc:Choice>
      <mc:Fallback xmlns="">
        <xdr:sp macro="" textlink="">
          <xdr:nvSpPr>
            <xdr:cNvPr id="62" name="TextBox 61">
              <a:extLst>
                <a:ext uri="{FF2B5EF4-FFF2-40B4-BE49-F238E27FC236}">
                  <a16:creationId xmlns:a16="http://schemas.microsoft.com/office/drawing/2014/main" id="{2ADAF95E-824B-4056-D4CB-D4B7D5B7A710}"/>
                </a:ext>
              </a:extLst>
            </xdr:cNvPr>
            <xdr:cNvSpPr txBox="1"/>
          </xdr:nvSpPr>
          <xdr:spPr>
            <a:xfrm>
              <a:off x="6183232" y="44668081"/>
              <a:ext cx="3258384" cy="16420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rgbClr val="FF0000"/>
                  </a:solidFill>
                </a:rPr>
                <a:t>CH3 is a radical.</a:t>
              </a:r>
              <a:r>
                <a:rPr lang="en-US" sz="1600" baseline="0">
                  <a:solidFill>
                    <a:srgbClr val="FF0000"/>
                  </a:solidFill>
                </a:rPr>
                <a:t> As such, it as an unpaired electron. The spin multiplicity then becomes:</a:t>
              </a:r>
            </a:p>
            <a:p>
              <a:pPr marL="0" marR="0" lvl="0" indent="0" defTabSz="914400" eaLnBrk="1" fontAlgn="auto" latinLnBrk="0" hangingPunct="1">
                <a:lnSpc>
                  <a:spcPct val="100000"/>
                </a:lnSpc>
                <a:spcBef>
                  <a:spcPts val="0"/>
                </a:spcBef>
                <a:spcAft>
                  <a:spcPts val="0"/>
                </a:spcAft>
                <a:buClrTx/>
                <a:buSzTx/>
                <a:buFontTx/>
                <a:buNone/>
                <a:tabLst/>
                <a:defRPr/>
              </a:pPr>
              <a:r>
                <a:rPr lang="en-US" sz="1600" i="0" baseline="0">
                  <a:solidFill>
                    <a:srgbClr val="FF0000"/>
                  </a:solidFill>
                  <a:latin typeface="Cambria Math" panose="02040503050406030204" pitchFamily="18" charset="0"/>
                </a:rPr>
                <a:t>2S + 1 = 1 +1 =2</a:t>
              </a:r>
              <a:endParaRPr lang="en-US" sz="1600" baseline="0">
                <a:solidFill>
                  <a:srgbClr val="FF0000"/>
                </a:solidFill>
              </a:endParaRPr>
            </a:p>
            <a:p>
              <a:pPr marL="0" marR="0" lvl="0" indent="0" defTabSz="914400" eaLnBrk="1" fontAlgn="auto" latinLnBrk="0" hangingPunct="1">
                <a:lnSpc>
                  <a:spcPct val="100000"/>
                </a:lnSpc>
                <a:spcBef>
                  <a:spcPts val="0"/>
                </a:spcBef>
                <a:spcAft>
                  <a:spcPts val="0"/>
                </a:spcAft>
                <a:buClrTx/>
                <a:buSzTx/>
                <a:buFontTx/>
                <a:buNone/>
                <a:tabLst/>
                <a:defRPr/>
              </a:pPr>
              <a:r>
                <a:rPr lang="en-US" sz="1600" baseline="0">
                  <a:solidFill>
                    <a:srgbClr val="FF0000"/>
                  </a:solidFill>
                </a:rPr>
                <a:t>with S the total number of unpaired electrons</a:t>
              </a:r>
            </a:p>
            <a:p>
              <a:endParaRPr lang="en-US" sz="1600">
                <a:solidFill>
                  <a:srgbClr val="FF0000"/>
                </a:solidFill>
              </a:endParaRPr>
            </a:p>
          </xdr:txBody>
        </xdr:sp>
      </mc:Fallback>
    </mc:AlternateContent>
    <xdr:clientData/>
  </xdr:twoCellAnchor>
  <xdr:twoCellAnchor>
    <xdr:from>
      <xdr:col>16</xdr:col>
      <xdr:colOff>1577878</xdr:colOff>
      <xdr:row>55</xdr:row>
      <xdr:rowOff>0</xdr:rowOff>
    </xdr:from>
    <xdr:to>
      <xdr:col>17</xdr:col>
      <xdr:colOff>1039091</xdr:colOff>
      <xdr:row>195</xdr:row>
      <xdr:rowOff>153939</xdr:rowOff>
    </xdr:to>
    <xdr:sp macro="" textlink="">
      <xdr:nvSpPr>
        <xdr:cNvPr id="63" name="Right Brace 62">
          <a:extLst>
            <a:ext uri="{FF2B5EF4-FFF2-40B4-BE49-F238E27FC236}">
              <a16:creationId xmlns:a16="http://schemas.microsoft.com/office/drawing/2014/main" id="{41B1F707-D5B3-C58E-24F2-73B2F99985F0}"/>
            </a:ext>
          </a:extLst>
        </xdr:cNvPr>
        <xdr:cNvSpPr/>
      </xdr:nvSpPr>
      <xdr:spPr>
        <a:xfrm>
          <a:off x="20974242" y="15009091"/>
          <a:ext cx="1077576" cy="34174545"/>
        </a:xfrm>
        <a:prstGeom prst="rightBrace">
          <a:avLst/>
        </a:prstGeom>
        <a:ln w="57150"/>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23</xdr:col>
      <xdr:colOff>359975</xdr:colOff>
      <xdr:row>92</xdr:row>
      <xdr:rowOff>168476</xdr:rowOff>
    </xdr:from>
    <xdr:to>
      <xdr:col>25</xdr:col>
      <xdr:colOff>520551</xdr:colOff>
      <xdr:row>92</xdr:row>
      <xdr:rowOff>183073</xdr:rowOff>
    </xdr:to>
    <xdr:cxnSp macro="">
      <xdr:nvCxnSpPr>
        <xdr:cNvPr id="64" name="Straight Arrow Connector 63">
          <a:extLst>
            <a:ext uri="{FF2B5EF4-FFF2-40B4-BE49-F238E27FC236}">
              <a16:creationId xmlns:a16="http://schemas.microsoft.com/office/drawing/2014/main" id="{DE5A21D2-2DF4-C046-9D97-81975F96AD5B}"/>
            </a:ext>
          </a:extLst>
        </xdr:cNvPr>
        <xdr:cNvCxnSpPr/>
      </xdr:nvCxnSpPr>
      <xdr:spPr>
        <a:xfrm>
          <a:off x="5901793" y="24090658"/>
          <a:ext cx="2631303"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25</xdr:col>
      <xdr:colOff>708890</xdr:colOff>
      <xdr:row>91</xdr:row>
      <xdr:rowOff>229753</xdr:rowOff>
    </xdr:from>
    <xdr:ext cx="3999878" cy="315856"/>
    <mc:AlternateContent xmlns:mc="http://schemas.openxmlformats.org/markup-compatibility/2006" xmlns:a14="http://schemas.microsoft.com/office/drawing/2010/main">
      <mc:Choice Requires="a14">
        <xdr:sp macro="" textlink="">
          <xdr:nvSpPr>
            <xdr:cNvPr id="65" name="TextBox 64">
              <a:extLst>
                <a:ext uri="{FF2B5EF4-FFF2-40B4-BE49-F238E27FC236}">
                  <a16:creationId xmlns:a16="http://schemas.microsoft.com/office/drawing/2014/main" id="{A360B48A-EE9E-D6B3-582C-4523A8699ACF}"/>
                </a:ext>
              </a:extLst>
            </xdr:cNvPr>
            <xdr:cNvSpPr txBox="1"/>
          </xdr:nvSpPr>
          <xdr:spPr>
            <a:xfrm>
              <a:off x="29099163" y="23874844"/>
              <a:ext cx="3999878" cy="31585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𝑇𝑂𝑇</m:t>
                      </m:r>
                    </m:sub>
                  </m:sSub>
                  <m:r>
                    <a:rPr lang="it-IT" sz="2000" b="0" i="1">
                      <a:latin typeface="Cambria Math" panose="02040503050406030204" pitchFamily="18" charset="0"/>
                    </a:rPr>
                    <m:t>= </m:t>
                  </m:r>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𝑇𝑅𝐴𝑁𝑆𝐿</m:t>
                      </m:r>
                    </m:sub>
                  </m:sSub>
                  <m:r>
                    <a:rPr lang="it-IT" sz="2000" b="0" i="1">
                      <a:latin typeface="Cambria Math" panose="02040503050406030204" pitchFamily="18" charset="0"/>
                      <a:ea typeface="Cambria Math" panose="02040503050406030204" pitchFamily="18" charset="0"/>
                    </a:rPr>
                    <m:t>× </m:t>
                  </m:r>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𝑉𝐼𝐵</m:t>
                      </m:r>
                    </m:sub>
                  </m:sSub>
                  <m:r>
                    <a:rPr lang="it-IT" sz="2000" b="0" i="1">
                      <a:latin typeface="Cambria Math" panose="02040503050406030204" pitchFamily="18" charset="0"/>
                      <a:ea typeface="Cambria Math" panose="02040503050406030204" pitchFamily="18" charset="0"/>
                    </a:rPr>
                    <m:t>×</m:t>
                  </m:r>
                </m:oMath>
              </a14:m>
              <a:r>
                <a:rPr lang="en-US" sz="2000"/>
                <a:t> </a:t>
              </a:r>
              <a14:m>
                <m:oMath xmlns:m="http://schemas.openxmlformats.org/officeDocument/2006/math">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𝑅𝑂𝑇</m:t>
                      </m:r>
                    </m:sub>
                  </m:sSub>
                  <m:r>
                    <a:rPr lang="it-IT" sz="2000" b="0" i="1">
                      <a:latin typeface="Cambria Math" panose="02040503050406030204" pitchFamily="18" charset="0"/>
                      <a:ea typeface="Cambria Math" panose="02040503050406030204" pitchFamily="18" charset="0"/>
                    </a:rPr>
                    <m:t>×</m:t>
                  </m:r>
                </m:oMath>
              </a14:m>
              <a:r>
                <a:rPr lang="en-US" sz="2000"/>
                <a:t> </a:t>
              </a:r>
              <a14:m>
                <m:oMath xmlns:m="http://schemas.openxmlformats.org/officeDocument/2006/math">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𝐸𝐿</m:t>
                      </m:r>
                    </m:sub>
                  </m:sSub>
                </m:oMath>
              </a14:m>
              <a:endParaRPr lang="en-US" sz="2000"/>
            </a:p>
          </xdr:txBody>
        </xdr:sp>
      </mc:Choice>
      <mc:Fallback xmlns="">
        <xdr:sp macro="" textlink="">
          <xdr:nvSpPr>
            <xdr:cNvPr id="65" name="TextBox 64">
              <a:extLst>
                <a:ext uri="{FF2B5EF4-FFF2-40B4-BE49-F238E27FC236}">
                  <a16:creationId xmlns:a16="http://schemas.microsoft.com/office/drawing/2014/main" id="{A360B48A-EE9E-D6B3-582C-4523A8699ACF}"/>
                </a:ext>
              </a:extLst>
            </xdr:cNvPr>
            <xdr:cNvSpPr txBox="1"/>
          </xdr:nvSpPr>
          <xdr:spPr>
            <a:xfrm>
              <a:off x="29099163" y="23874844"/>
              <a:ext cx="3999878" cy="31585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2000" b="0" i="0">
                  <a:latin typeface="Cambria Math" panose="02040503050406030204" pitchFamily="18" charset="0"/>
                </a:rPr>
                <a:t>𝑄_𝑇𝑂𝑇= 𝑄_𝑇𝑅𝐴𝑁𝑆𝐿</a:t>
              </a:r>
              <a:r>
                <a:rPr lang="it-IT" sz="2000" b="0" i="0">
                  <a:latin typeface="Cambria Math" panose="02040503050406030204" pitchFamily="18" charset="0"/>
                  <a:ea typeface="Cambria Math" panose="02040503050406030204" pitchFamily="18" charset="0"/>
                </a:rPr>
                <a:t>× </a:t>
              </a:r>
              <a:r>
                <a:rPr lang="it-IT" sz="2000" b="0" i="0">
                  <a:latin typeface="Cambria Math" panose="02040503050406030204" pitchFamily="18" charset="0"/>
                </a:rPr>
                <a:t>𝑄_𝑉𝐼𝐵</a:t>
              </a:r>
              <a:r>
                <a:rPr lang="it-IT" sz="2000" b="0" i="0">
                  <a:latin typeface="Cambria Math" panose="02040503050406030204" pitchFamily="18" charset="0"/>
                  <a:ea typeface="Cambria Math" panose="02040503050406030204" pitchFamily="18" charset="0"/>
                </a:rPr>
                <a:t>×</a:t>
              </a:r>
              <a:r>
                <a:rPr lang="en-US" sz="2000"/>
                <a:t> </a:t>
              </a:r>
              <a:r>
                <a:rPr lang="it-IT" sz="2000" b="0" i="0">
                  <a:latin typeface="Cambria Math" panose="02040503050406030204" pitchFamily="18" charset="0"/>
                </a:rPr>
                <a:t>𝑄_𝑅𝑂𝑇</a:t>
              </a:r>
              <a:r>
                <a:rPr lang="it-IT" sz="2000" b="0" i="0">
                  <a:latin typeface="Cambria Math" panose="02040503050406030204" pitchFamily="18" charset="0"/>
                  <a:ea typeface="Cambria Math" panose="02040503050406030204" pitchFamily="18" charset="0"/>
                </a:rPr>
                <a:t>×</a:t>
              </a:r>
              <a:r>
                <a:rPr lang="en-US" sz="2000"/>
                <a:t> </a:t>
              </a:r>
              <a:r>
                <a:rPr lang="it-IT" sz="2000" b="0" i="0">
                  <a:latin typeface="Cambria Math" panose="02040503050406030204" pitchFamily="18" charset="0"/>
                </a:rPr>
                <a:t>𝑄_𝐸𝐿</a:t>
              </a:r>
              <a:endParaRPr lang="en-US" sz="2000"/>
            </a:p>
          </xdr:txBody>
        </xdr:sp>
      </mc:Fallback>
    </mc:AlternateContent>
    <xdr:clientData/>
  </xdr:oneCellAnchor>
  <xdr:twoCellAnchor>
    <xdr:from>
      <xdr:col>20</xdr:col>
      <xdr:colOff>856511</xdr:colOff>
      <xdr:row>96</xdr:row>
      <xdr:rowOff>14766</xdr:rowOff>
    </xdr:from>
    <xdr:to>
      <xdr:col>25</xdr:col>
      <xdr:colOff>782674</xdr:colOff>
      <xdr:row>99</xdr:row>
      <xdr:rowOff>132906</xdr:rowOff>
    </xdr:to>
    <xdr:sp macro="" textlink="">
      <xdr:nvSpPr>
        <xdr:cNvPr id="66" name="TextBox 65">
          <a:extLst>
            <a:ext uri="{FF2B5EF4-FFF2-40B4-BE49-F238E27FC236}">
              <a16:creationId xmlns:a16="http://schemas.microsoft.com/office/drawing/2014/main" id="{2C6753E9-19BF-D338-176E-5E22B9FE2341}"/>
            </a:ext>
          </a:extLst>
        </xdr:cNvPr>
        <xdr:cNvSpPr txBox="1"/>
      </xdr:nvSpPr>
      <xdr:spPr>
        <a:xfrm>
          <a:off x="25060348" y="24809301"/>
          <a:ext cx="5582093" cy="87127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baseline="0">
              <a:solidFill>
                <a:srgbClr val="FF0000"/>
              </a:solidFill>
            </a:rPr>
            <a:t>NOTE:To compute Q</a:t>
          </a:r>
          <a:r>
            <a:rPr lang="en-US" sz="1600" b="1" baseline="-25000">
              <a:solidFill>
                <a:srgbClr val="FF0000"/>
              </a:solidFill>
            </a:rPr>
            <a:t>tot</a:t>
          </a:r>
          <a:r>
            <a:rPr lang="en-US" sz="1600" b="1" baseline="0">
              <a:solidFill>
                <a:srgbClr val="FF0000"/>
              </a:solidFill>
            </a:rPr>
            <a:t>, the formula used to get Q</a:t>
          </a:r>
          <a:r>
            <a:rPr lang="en-US" sz="1600" b="1" baseline="-25000">
              <a:solidFill>
                <a:srgbClr val="FF0000"/>
              </a:solidFill>
            </a:rPr>
            <a:t>rot</a:t>
          </a:r>
          <a:r>
            <a:rPr lang="en-US" sz="1600" b="1" baseline="0">
              <a:solidFill>
                <a:srgbClr val="FF0000"/>
              </a:solidFill>
            </a:rPr>
            <a:t> is the one taken form the gaussian manual</a:t>
          </a:r>
          <a:endParaRPr lang="en-US" sz="1600" b="1">
            <a:solidFill>
              <a:srgbClr val="FF0000"/>
            </a:solidFill>
          </a:endParaRPr>
        </a:p>
      </xdr:txBody>
    </xdr:sp>
    <xdr:clientData/>
  </xdr:twoCellAnchor>
  <xdr:twoCellAnchor>
    <xdr:from>
      <xdr:col>27</xdr:col>
      <xdr:colOff>831850</xdr:colOff>
      <xdr:row>110</xdr:row>
      <xdr:rowOff>133349</xdr:rowOff>
    </xdr:from>
    <xdr:to>
      <xdr:col>33</xdr:col>
      <xdr:colOff>756596</xdr:colOff>
      <xdr:row>125</xdr:row>
      <xdr:rowOff>189148</xdr:rowOff>
    </xdr:to>
    <xdr:graphicFrame macro="">
      <xdr:nvGraphicFramePr>
        <xdr:cNvPr id="67" name="Chart 66">
          <a:extLst>
            <a:ext uri="{FF2B5EF4-FFF2-40B4-BE49-F238E27FC236}">
              <a16:creationId xmlns:a16="http://schemas.microsoft.com/office/drawing/2014/main" id="{60686E98-0B5A-D52D-3367-01710E22A2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406400</xdr:colOff>
      <xdr:row>2</xdr:row>
      <xdr:rowOff>215900</xdr:rowOff>
    </xdr:from>
    <xdr:to>
      <xdr:col>7</xdr:col>
      <xdr:colOff>38100</xdr:colOff>
      <xdr:row>2</xdr:row>
      <xdr:rowOff>228600</xdr:rowOff>
    </xdr:to>
    <xdr:cxnSp macro="">
      <xdr:nvCxnSpPr>
        <xdr:cNvPr id="3" name="Straight Arrow Connector 2">
          <a:extLst>
            <a:ext uri="{FF2B5EF4-FFF2-40B4-BE49-F238E27FC236}">
              <a16:creationId xmlns:a16="http://schemas.microsoft.com/office/drawing/2014/main" id="{6590617D-4EE4-AB8E-FF39-705634716F2E}"/>
            </a:ext>
          </a:extLst>
        </xdr:cNvPr>
        <xdr:cNvCxnSpPr/>
      </xdr:nvCxnSpPr>
      <xdr:spPr>
        <a:xfrm>
          <a:off x="3708400" y="622300"/>
          <a:ext cx="2108200" cy="1270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5</xdr:col>
      <xdr:colOff>215900</xdr:colOff>
      <xdr:row>1</xdr:row>
      <xdr:rowOff>38100</xdr:rowOff>
    </xdr:from>
    <xdr:to>
      <xdr:col>6</xdr:col>
      <xdr:colOff>571500</xdr:colOff>
      <xdr:row>2</xdr:row>
      <xdr:rowOff>114300</xdr:rowOff>
    </xdr:to>
    <xdr:sp macro="" textlink="">
      <xdr:nvSpPr>
        <xdr:cNvPr id="4" name="TextBox 3">
          <a:extLst>
            <a:ext uri="{FF2B5EF4-FFF2-40B4-BE49-F238E27FC236}">
              <a16:creationId xmlns:a16="http://schemas.microsoft.com/office/drawing/2014/main" id="{E76DD5A9-5472-F328-4204-42BBFF3F2EDB}"/>
            </a:ext>
          </a:extLst>
        </xdr:cNvPr>
        <xdr:cNvSpPr txBox="1"/>
      </xdr:nvSpPr>
      <xdr:spPr>
        <a:xfrm>
          <a:off x="4343400" y="241300"/>
          <a:ext cx="1181100" cy="279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from theory...</a:t>
          </a:r>
        </a:p>
      </xdr:txBody>
    </xdr:sp>
    <xdr:clientData/>
  </xdr:twoCellAnchor>
  <xdr:oneCellAnchor>
    <xdr:from>
      <xdr:col>7</xdr:col>
      <xdr:colOff>334523</xdr:colOff>
      <xdr:row>0</xdr:row>
      <xdr:rowOff>85501</xdr:rowOff>
    </xdr:from>
    <xdr:ext cx="8984062" cy="1636217"/>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3098C7F4-1E9B-4DF1-28BC-6D9E9D3B4CE1}"/>
                </a:ext>
              </a:extLst>
            </xdr:cNvPr>
            <xdr:cNvSpPr txBox="1"/>
          </xdr:nvSpPr>
          <xdr:spPr>
            <a:xfrm>
              <a:off x="6150411" y="85501"/>
              <a:ext cx="8984062" cy="16362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2000" b="0" i="1">
                            <a:latin typeface="Cambria Math" panose="02040503050406030204" pitchFamily="18" charset="0"/>
                          </a:rPr>
                        </m:ctrlPr>
                      </m:sSubPr>
                      <m:e>
                        <m:r>
                          <a:rPr lang="it-IT" sz="2000" b="0" i="1">
                            <a:latin typeface="Cambria Math" panose="02040503050406030204" pitchFamily="18" charset="0"/>
                          </a:rPr>
                          <m:t>𝑘</m:t>
                        </m:r>
                      </m:e>
                      <m:sub>
                        <m:r>
                          <a:rPr lang="it-IT" sz="2000" b="0" i="1">
                            <a:latin typeface="Cambria Math" panose="02040503050406030204" pitchFamily="18" charset="0"/>
                          </a:rPr>
                          <m:t>𝑒𝑞</m:t>
                        </m:r>
                      </m:sub>
                    </m:sSub>
                    <m:r>
                      <a:rPr lang="it-IT" sz="2000" b="0" i="1">
                        <a:latin typeface="Cambria Math" panose="02040503050406030204" pitchFamily="18" charset="0"/>
                      </a:rPr>
                      <m:t>=</m:t>
                    </m:r>
                    <m:r>
                      <a:rPr lang="it-IT" sz="2000" b="0" i="1">
                        <a:latin typeface="Cambria Math" panose="02040503050406030204" pitchFamily="18" charset="0"/>
                      </a:rPr>
                      <m:t>𝑒𝑥𝑝</m:t>
                    </m:r>
                    <m:d>
                      <m:dPr>
                        <m:ctrlPr>
                          <a:rPr lang="it-IT" sz="2000" b="0" i="1">
                            <a:latin typeface="Cambria Math" panose="02040503050406030204" pitchFamily="18" charset="0"/>
                          </a:rPr>
                        </m:ctrlPr>
                      </m:dPr>
                      <m:e>
                        <m:f>
                          <m:fPr>
                            <m:ctrlPr>
                              <a:rPr lang="it-IT" sz="2000" b="0" i="1">
                                <a:latin typeface="Cambria Math" panose="02040503050406030204" pitchFamily="18" charset="0"/>
                              </a:rPr>
                            </m:ctrlPr>
                          </m:fPr>
                          <m:num>
                            <m:nary>
                              <m:naryPr>
                                <m:chr m:val="∑"/>
                                <m:ctrlPr>
                                  <a:rPr lang="it-IT" sz="2000" b="0" i="1">
                                    <a:latin typeface="Cambria Math" panose="02040503050406030204" pitchFamily="18" charset="0"/>
                                  </a:rPr>
                                </m:ctrlPr>
                              </m:naryPr>
                              <m:sub>
                                <m:r>
                                  <m:rPr>
                                    <m:brk m:alnAt="23"/>
                                  </m:rPr>
                                  <a:rPr lang="it-IT" sz="2000" b="0" i="1">
                                    <a:latin typeface="Cambria Math" panose="02040503050406030204" pitchFamily="18" charset="0"/>
                                  </a:rPr>
                                  <m:t>𝑖</m:t>
                                </m:r>
                                <m:r>
                                  <a:rPr lang="it-IT" sz="2000" b="0" i="1">
                                    <a:latin typeface="Cambria Math" panose="02040503050406030204" pitchFamily="18" charset="0"/>
                                  </a:rPr>
                                  <m:t>=1</m:t>
                                </m:r>
                              </m:sub>
                              <m:sup>
                                <m:sSub>
                                  <m:sSubPr>
                                    <m:ctrlPr>
                                      <a:rPr lang="it-IT" sz="2000" b="0" i="1">
                                        <a:latin typeface="Cambria Math" panose="02040503050406030204" pitchFamily="18" charset="0"/>
                                      </a:rPr>
                                    </m:ctrlPr>
                                  </m:sSubPr>
                                  <m:e>
                                    <m:r>
                                      <a:rPr lang="it-IT" sz="2000" b="0" i="1">
                                        <a:latin typeface="Cambria Math" panose="02040503050406030204" pitchFamily="18" charset="0"/>
                                      </a:rPr>
                                      <m:t>𝑁</m:t>
                                    </m:r>
                                  </m:e>
                                  <m:sub>
                                    <m:r>
                                      <a:rPr lang="it-IT" sz="2000" b="0" i="1">
                                        <a:latin typeface="Cambria Math" panose="02040503050406030204" pitchFamily="18" charset="0"/>
                                      </a:rPr>
                                      <m:t>𝑐𝑜𝑚𝑝</m:t>
                                    </m:r>
                                  </m:sub>
                                </m:sSub>
                              </m:sup>
                              <m:e>
                                <m:sSub>
                                  <m:sSubPr>
                                    <m:ctrlPr>
                                      <a:rPr lang="it-IT" sz="2000" b="0" i="1">
                                        <a:latin typeface="Cambria Math" panose="02040503050406030204" pitchFamily="18" charset="0"/>
                                      </a:rPr>
                                    </m:ctrlPr>
                                  </m:sSubPr>
                                  <m:e>
                                    <m:r>
                                      <a:rPr lang="it-IT" sz="2000" b="0" i="1">
                                        <a:latin typeface="Cambria Math" panose="02040503050406030204" pitchFamily="18" charset="0"/>
                                        <a:ea typeface="Cambria Math" panose="02040503050406030204" pitchFamily="18" charset="0"/>
                                      </a:rPr>
                                      <m:t>𝜐</m:t>
                                    </m:r>
                                  </m:e>
                                  <m:sub>
                                    <m:r>
                                      <a:rPr lang="it-IT" sz="2000" b="0" i="1">
                                        <a:latin typeface="Cambria Math" panose="02040503050406030204" pitchFamily="18" charset="0"/>
                                      </a:rPr>
                                      <m:t>𝑖</m:t>
                                    </m:r>
                                  </m:sub>
                                </m:sSub>
                                <m:sSubSup>
                                  <m:sSubSupPr>
                                    <m:ctrlPr>
                                      <a:rPr lang="it-IT" sz="2000" b="0" i="1">
                                        <a:latin typeface="Cambria Math" panose="02040503050406030204" pitchFamily="18" charset="0"/>
                                      </a:rPr>
                                    </m:ctrlPr>
                                  </m:sSubSupPr>
                                  <m:e>
                                    <m:r>
                                      <a:rPr lang="it-IT" sz="2000" b="0" i="1">
                                        <a:latin typeface="Cambria Math" panose="02040503050406030204" pitchFamily="18" charset="0"/>
                                      </a:rPr>
                                      <m:t>𝐺</m:t>
                                    </m:r>
                                  </m:e>
                                  <m:sub>
                                    <m:r>
                                      <a:rPr lang="it-IT" sz="2000" b="0" i="1">
                                        <a:latin typeface="Cambria Math" panose="02040503050406030204" pitchFamily="18" charset="0"/>
                                      </a:rPr>
                                      <m:t>𝑖</m:t>
                                    </m:r>
                                  </m:sub>
                                  <m:sup>
                                    <m:r>
                                      <a:rPr lang="it-IT" sz="2000" b="0" i="1">
                                        <a:latin typeface="Cambria Math" panose="02040503050406030204" pitchFamily="18" charset="0"/>
                                      </a:rPr>
                                      <m:t>0</m:t>
                                    </m:r>
                                  </m:sup>
                                </m:sSubSup>
                                <m:d>
                                  <m:dPr>
                                    <m:ctrlPr>
                                      <a:rPr lang="it-IT" sz="2000" b="0" i="1">
                                        <a:latin typeface="Cambria Math" panose="02040503050406030204" pitchFamily="18" charset="0"/>
                                      </a:rPr>
                                    </m:ctrlPr>
                                  </m:dPr>
                                  <m:e>
                                    <m:r>
                                      <a:rPr lang="it-IT" sz="2000" b="0" i="1">
                                        <a:latin typeface="Cambria Math" panose="02040503050406030204" pitchFamily="18" charset="0"/>
                                      </a:rPr>
                                      <m:t>𝑇</m:t>
                                    </m:r>
                                    <m:r>
                                      <a:rPr lang="it-IT" sz="2000" b="0" i="1">
                                        <a:latin typeface="Cambria Math" panose="02040503050406030204" pitchFamily="18" charset="0"/>
                                      </a:rPr>
                                      <m:t>,</m:t>
                                    </m:r>
                                    <m:sSub>
                                      <m:sSubPr>
                                        <m:ctrlPr>
                                          <a:rPr lang="it-IT" sz="2000" b="0" i="1">
                                            <a:latin typeface="Cambria Math" panose="02040503050406030204" pitchFamily="18" charset="0"/>
                                          </a:rPr>
                                        </m:ctrlPr>
                                      </m:sSubPr>
                                      <m:e>
                                        <m:r>
                                          <a:rPr lang="it-IT" sz="2000" b="0" i="1">
                                            <a:latin typeface="Cambria Math" panose="02040503050406030204" pitchFamily="18" charset="0"/>
                                          </a:rPr>
                                          <m:t>𝑃</m:t>
                                        </m:r>
                                      </m:e>
                                      <m:sub>
                                        <m:r>
                                          <a:rPr lang="it-IT" sz="2000" b="0" i="1">
                                            <a:latin typeface="Cambria Math" panose="02040503050406030204" pitchFamily="18" charset="0"/>
                                          </a:rPr>
                                          <m:t>𝑟𝑖𝑓</m:t>
                                        </m:r>
                                      </m:sub>
                                    </m:sSub>
                                  </m:e>
                                </m:d>
                              </m:e>
                            </m:nary>
                          </m:num>
                          <m:den>
                            <m:r>
                              <a:rPr lang="it-IT" sz="2000" b="0" i="1">
                                <a:latin typeface="Cambria Math" panose="02040503050406030204" pitchFamily="18" charset="0"/>
                              </a:rPr>
                              <m:t>𝑅𝑇</m:t>
                            </m:r>
                          </m:den>
                        </m:f>
                      </m:e>
                    </m:d>
                    <m:r>
                      <a:rPr lang="it-IT" sz="2000" b="0" i="1">
                        <a:latin typeface="Cambria Math" panose="02040503050406030204" pitchFamily="18" charset="0"/>
                      </a:rPr>
                      <m:t>=</m:t>
                    </m:r>
                    <m:r>
                      <a:rPr lang="it-IT" sz="2000" b="0" i="1">
                        <a:latin typeface="Cambria Math" panose="02040503050406030204" pitchFamily="18" charset="0"/>
                      </a:rPr>
                      <m:t>𝑒𝑥𝑝</m:t>
                    </m:r>
                    <m:d>
                      <m:dPr>
                        <m:ctrlPr>
                          <a:rPr lang="it-IT" sz="2000" b="0" i="1">
                            <a:latin typeface="Cambria Math" panose="02040503050406030204" pitchFamily="18" charset="0"/>
                          </a:rPr>
                        </m:ctrlPr>
                      </m:dPr>
                      <m:e>
                        <m:nary>
                          <m:naryPr>
                            <m:chr m:val="∑"/>
                            <m:ctrlPr>
                              <a:rPr lang="it-IT" sz="2000" b="0" i="1">
                                <a:latin typeface="Cambria Math" panose="02040503050406030204" pitchFamily="18" charset="0"/>
                              </a:rPr>
                            </m:ctrlPr>
                          </m:naryPr>
                          <m:sub>
                            <m:r>
                              <m:rPr>
                                <m:brk m:alnAt="23"/>
                              </m:rPr>
                              <a:rPr lang="it-IT" sz="2000" b="0" i="1">
                                <a:latin typeface="Cambria Math" panose="02040503050406030204" pitchFamily="18" charset="0"/>
                              </a:rPr>
                              <m:t>𝑖</m:t>
                            </m:r>
                            <m:r>
                              <a:rPr lang="it-IT" sz="2000" b="0" i="1">
                                <a:latin typeface="Cambria Math" panose="02040503050406030204" pitchFamily="18" charset="0"/>
                              </a:rPr>
                              <m:t>=1</m:t>
                            </m:r>
                          </m:sub>
                          <m:sup>
                            <m:sSub>
                              <m:sSubPr>
                                <m:ctrlPr>
                                  <a:rPr lang="it-IT" sz="2000" b="0" i="1">
                                    <a:latin typeface="Cambria Math" panose="02040503050406030204" pitchFamily="18" charset="0"/>
                                  </a:rPr>
                                </m:ctrlPr>
                              </m:sSubPr>
                              <m:e>
                                <m:r>
                                  <a:rPr lang="it-IT" sz="2000" b="0" i="1">
                                    <a:latin typeface="Cambria Math" panose="02040503050406030204" pitchFamily="18" charset="0"/>
                                  </a:rPr>
                                  <m:t>𝑁</m:t>
                                </m:r>
                              </m:e>
                              <m:sub>
                                <m:r>
                                  <a:rPr lang="it-IT" sz="2000" b="0" i="1">
                                    <a:latin typeface="Cambria Math" panose="02040503050406030204" pitchFamily="18" charset="0"/>
                                  </a:rPr>
                                  <m:t>𝑐𝑜𝑚𝑝</m:t>
                                </m:r>
                              </m:sub>
                            </m:sSub>
                          </m:sup>
                          <m:e>
                            <m:sSub>
                              <m:sSubPr>
                                <m:ctrlPr>
                                  <a:rPr lang="it-IT" sz="2000" b="0" i="1">
                                    <a:latin typeface="Cambria Math" panose="02040503050406030204" pitchFamily="18" charset="0"/>
                                  </a:rPr>
                                </m:ctrlPr>
                              </m:sSubPr>
                              <m:e>
                                <m:r>
                                  <a:rPr lang="it-IT" sz="2000" b="0" i="1">
                                    <a:latin typeface="Cambria Math" panose="02040503050406030204" pitchFamily="18" charset="0"/>
                                    <a:ea typeface="Cambria Math" panose="02040503050406030204" pitchFamily="18" charset="0"/>
                                  </a:rPr>
                                  <m:t>𝜐</m:t>
                                </m:r>
                              </m:e>
                              <m:sub>
                                <m:r>
                                  <a:rPr lang="it-IT" sz="2000" b="0" i="1">
                                    <a:latin typeface="Cambria Math" panose="02040503050406030204" pitchFamily="18" charset="0"/>
                                  </a:rPr>
                                  <m:t>𝑖</m:t>
                                </m:r>
                              </m:sub>
                            </m:sSub>
                            <m:r>
                              <a:rPr lang="it-IT" sz="2000" b="0" i="1">
                                <a:latin typeface="Cambria Math" panose="02040503050406030204" pitchFamily="18" charset="0"/>
                              </a:rPr>
                              <m:t>𝑙𝑛</m:t>
                            </m:r>
                            <m:d>
                              <m:dPr>
                                <m:ctrlPr>
                                  <a:rPr lang="it-IT" sz="2000" b="0" i="1">
                                    <a:latin typeface="Cambria Math" panose="02040503050406030204" pitchFamily="18" charset="0"/>
                                  </a:rPr>
                                </m:ctrlPr>
                              </m:dPr>
                              <m:e>
                                <m:f>
                                  <m:fPr>
                                    <m:ctrlPr>
                                      <a:rPr lang="it-IT" sz="2000" b="0" i="1">
                                        <a:latin typeface="Cambria Math" panose="02040503050406030204" pitchFamily="18" charset="0"/>
                                      </a:rPr>
                                    </m:ctrlPr>
                                  </m:fPr>
                                  <m:num>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𝑖</m:t>
                                        </m:r>
                                      </m:sub>
                                    </m:sSub>
                                  </m:num>
                                  <m:den>
                                    <m:sSub>
                                      <m:sSubPr>
                                        <m:ctrlPr>
                                          <a:rPr lang="it-IT" sz="2000" b="0" i="1">
                                            <a:latin typeface="Cambria Math" panose="02040503050406030204" pitchFamily="18" charset="0"/>
                                          </a:rPr>
                                        </m:ctrlPr>
                                      </m:sSubPr>
                                      <m:e>
                                        <m:r>
                                          <a:rPr lang="it-IT" sz="2000" b="0" i="1">
                                            <a:latin typeface="Cambria Math" panose="02040503050406030204" pitchFamily="18" charset="0"/>
                                          </a:rPr>
                                          <m:t>𝑁</m:t>
                                        </m:r>
                                      </m:e>
                                      <m:sub>
                                        <m:r>
                                          <a:rPr lang="it-IT" sz="2000" b="0" i="1">
                                            <a:latin typeface="Cambria Math" panose="02040503050406030204" pitchFamily="18" charset="0"/>
                                          </a:rPr>
                                          <m:t>𝑖𝑟𝑖𝑓</m:t>
                                        </m:r>
                                      </m:sub>
                                    </m:sSub>
                                  </m:den>
                                </m:f>
                              </m:e>
                            </m:d>
                          </m:e>
                        </m:nary>
                      </m:e>
                    </m:d>
                    <m:r>
                      <a:rPr lang="it-IT" sz="2000" b="0" i="1">
                        <a:latin typeface="Cambria Math" panose="02040503050406030204" pitchFamily="18" charset="0"/>
                      </a:rPr>
                      <m:t>=</m:t>
                    </m:r>
                    <m:nary>
                      <m:naryPr>
                        <m:chr m:val="∏"/>
                        <m:ctrlPr>
                          <a:rPr lang="it-IT" sz="2000" b="0" i="1">
                            <a:latin typeface="Cambria Math" panose="02040503050406030204" pitchFamily="18" charset="0"/>
                          </a:rPr>
                        </m:ctrlPr>
                      </m:naryPr>
                      <m:sub>
                        <m:r>
                          <m:rPr>
                            <m:brk m:alnAt="23"/>
                          </m:rPr>
                          <a:rPr lang="it-IT" sz="2000" b="0" i="1">
                            <a:latin typeface="Cambria Math" panose="02040503050406030204" pitchFamily="18" charset="0"/>
                          </a:rPr>
                          <m:t>𝑖</m:t>
                        </m:r>
                        <m:r>
                          <a:rPr lang="it-IT" sz="2000" b="0" i="1">
                            <a:latin typeface="Cambria Math" panose="02040503050406030204" pitchFamily="18" charset="0"/>
                          </a:rPr>
                          <m:t>=1</m:t>
                        </m:r>
                      </m:sub>
                      <m:sup>
                        <m:sSub>
                          <m:sSubPr>
                            <m:ctrlPr>
                              <a:rPr lang="it-IT" sz="2000" b="0" i="1">
                                <a:latin typeface="Cambria Math" panose="02040503050406030204" pitchFamily="18" charset="0"/>
                              </a:rPr>
                            </m:ctrlPr>
                          </m:sSubPr>
                          <m:e>
                            <m:r>
                              <a:rPr lang="it-IT" sz="2000" b="0" i="1">
                                <a:latin typeface="Cambria Math" panose="02040503050406030204" pitchFamily="18" charset="0"/>
                              </a:rPr>
                              <m:t>𝑁</m:t>
                            </m:r>
                          </m:e>
                          <m:sub>
                            <m:r>
                              <a:rPr lang="it-IT" sz="2000" b="0" i="1">
                                <a:latin typeface="Cambria Math" panose="02040503050406030204" pitchFamily="18" charset="0"/>
                              </a:rPr>
                              <m:t>𝑐𝑜𝑚𝑝</m:t>
                            </m:r>
                          </m:sub>
                        </m:sSub>
                      </m:sup>
                      <m:e>
                        <m:eqArr>
                          <m:eqArrPr>
                            <m:ctrlPr>
                              <a:rPr lang="it-IT" sz="2000" b="0" i="1">
                                <a:latin typeface="Cambria Math" panose="02040503050406030204" pitchFamily="18" charset="0"/>
                              </a:rPr>
                            </m:ctrlPr>
                          </m:eqArrPr>
                          <m:e>
                            <m:sSup>
                              <m:sSupPr>
                                <m:ctrlPr>
                                  <a:rPr lang="it-IT" sz="2000" b="0" i="1">
                                    <a:latin typeface="Cambria Math" panose="02040503050406030204" pitchFamily="18" charset="0"/>
                                  </a:rPr>
                                </m:ctrlPr>
                              </m:sSupPr>
                              <m:e>
                                <m:d>
                                  <m:dPr>
                                    <m:ctrlPr>
                                      <a:rPr lang="it-IT" sz="2000" b="0" i="1">
                                        <a:latin typeface="Cambria Math" panose="02040503050406030204" pitchFamily="18" charset="0"/>
                                      </a:rPr>
                                    </m:ctrlPr>
                                  </m:dPr>
                                  <m:e>
                                    <m:f>
                                      <m:fPr>
                                        <m:ctrlPr>
                                          <a:rPr lang="it-IT" sz="2000" b="0" i="1">
                                            <a:latin typeface="Cambria Math" panose="02040503050406030204" pitchFamily="18" charset="0"/>
                                          </a:rPr>
                                        </m:ctrlPr>
                                      </m:fPr>
                                      <m:num>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𝑖</m:t>
                                            </m:r>
                                          </m:sub>
                                        </m:sSub>
                                      </m:num>
                                      <m:den>
                                        <m:sSub>
                                          <m:sSubPr>
                                            <m:ctrlPr>
                                              <a:rPr lang="it-IT" sz="2000" b="0" i="1">
                                                <a:latin typeface="Cambria Math" panose="02040503050406030204" pitchFamily="18" charset="0"/>
                                              </a:rPr>
                                            </m:ctrlPr>
                                          </m:sSubPr>
                                          <m:e>
                                            <m:r>
                                              <a:rPr lang="it-IT" sz="2000" b="0" i="1">
                                                <a:latin typeface="Cambria Math" panose="02040503050406030204" pitchFamily="18" charset="0"/>
                                              </a:rPr>
                                              <m:t>𝑁</m:t>
                                            </m:r>
                                          </m:e>
                                          <m:sub>
                                            <m:r>
                                              <a:rPr lang="it-IT" sz="2000" b="0" i="1">
                                                <a:latin typeface="Cambria Math" panose="02040503050406030204" pitchFamily="18" charset="0"/>
                                              </a:rPr>
                                              <m:t>𝑖𝑟𝑖𝑓</m:t>
                                            </m:r>
                                          </m:sub>
                                        </m:sSub>
                                      </m:den>
                                    </m:f>
                                  </m:e>
                                </m:d>
                              </m:e>
                              <m:sup>
                                <m:sSub>
                                  <m:sSubPr>
                                    <m:ctrlPr>
                                      <a:rPr lang="it-IT" sz="2000" b="0" i="1">
                                        <a:latin typeface="Cambria Math" panose="02040503050406030204" pitchFamily="18" charset="0"/>
                                      </a:rPr>
                                    </m:ctrlPr>
                                  </m:sSubPr>
                                  <m:e>
                                    <m:r>
                                      <a:rPr lang="it-IT" sz="2000" b="0" i="1">
                                        <a:latin typeface="Cambria Math" panose="02040503050406030204" pitchFamily="18" charset="0"/>
                                        <a:ea typeface="Cambria Math" panose="02040503050406030204" pitchFamily="18" charset="0"/>
                                      </a:rPr>
                                      <m:t>𝜐</m:t>
                                    </m:r>
                                  </m:e>
                                  <m:sub>
                                    <m:r>
                                      <a:rPr lang="it-IT" sz="2000" b="0" i="1">
                                        <a:latin typeface="Cambria Math" panose="02040503050406030204" pitchFamily="18" charset="0"/>
                                      </a:rPr>
                                      <m:t>𝑖</m:t>
                                    </m:r>
                                  </m:sub>
                                </m:sSub>
                              </m:sup>
                            </m:sSup>
                          </m:e>
                          <m:e>
                            <m:r>
                              <a:rPr lang="it-IT" sz="2000" b="0" i="1">
                                <a:latin typeface="Cambria Math" panose="02040503050406030204" pitchFamily="18" charset="0"/>
                              </a:rPr>
                              <m:t>  </m:t>
                            </m:r>
                          </m:e>
                        </m:eqArr>
                      </m:e>
                    </m:nary>
                  </m:oMath>
                </m:oMathPara>
              </a14:m>
              <a:endParaRPr lang="it-IT" sz="2000" b="0"/>
            </a:p>
            <a:p>
              <a:r>
                <a:rPr lang="en-US" sz="2000"/>
                <a:t>where </a:t>
              </a:r>
              <a14:m>
                <m:oMath xmlns:m="http://schemas.openxmlformats.org/officeDocument/2006/math">
                  <m:sSub>
                    <m:sSubPr>
                      <m:ctrlPr>
                        <a:rPr lang="en-US" sz="2000" i="1">
                          <a:latin typeface="Cambria Math" panose="02040503050406030204" pitchFamily="18" charset="0"/>
                        </a:rPr>
                      </m:ctrlPr>
                    </m:sSubPr>
                    <m:e>
                      <m:r>
                        <a:rPr lang="it-IT" sz="2000" b="0" i="1">
                          <a:latin typeface="Cambria Math" panose="02040503050406030204" pitchFamily="18" charset="0"/>
                        </a:rPr>
                        <m:t>𝑁</m:t>
                      </m:r>
                    </m:e>
                    <m:sub>
                      <m:r>
                        <a:rPr lang="it-IT" sz="2000" b="0" i="1">
                          <a:latin typeface="Cambria Math" panose="02040503050406030204" pitchFamily="18" charset="0"/>
                        </a:rPr>
                        <m:t>𝑖𝑟𝑖𝑓</m:t>
                      </m:r>
                    </m:sub>
                  </m:sSub>
                  <m:r>
                    <a:rPr lang="it-IT" sz="2000" b="0" i="1">
                      <a:latin typeface="Cambria Math" panose="02040503050406030204" pitchFamily="18" charset="0"/>
                    </a:rPr>
                    <m:t>=</m:t>
                  </m:r>
                  <m:sSub>
                    <m:sSubPr>
                      <m:ctrlPr>
                        <a:rPr lang="it-IT" sz="2000" b="0" i="1">
                          <a:latin typeface="Cambria Math" panose="02040503050406030204" pitchFamily="18" charset="0"/>
                        </a:rPr>
                      </m:ctrlPr>
                    </m:sSubPr>
                    <m:e>
                      <m:r>
                        <a:rPr lang="it-IT" sz="2000" b="0" i="1">
                          <a:latin typeface="Cambria Math" panose="02040503050406030204" pitchFamily="18" charset="0"/>
                        </a:rPr>
                        <m:t>𝑁</m:t>
                      </m:r>
                    </m:e>
                    <m:sub>
                      <m:r>
                        <a:rPr lang="it-IT" sz="2000" b="0" i="1">
                          <a:latin typeface="Cambria Math" panose="02040503050406030204" pitchFamily="18" charset="0"/>
                        </a:rPr>
                        <m:t>𝑎𝑣𝑜</m:t>
                      </m:r>
                    </m:sub>
                  </m:sSub>
                  <m:sSub>
                    <m:sSubPr>
                      <m:ctrlPr>
                        <a:rPr lang="it-IT" sz="2000" b="0" i="1">
                          <a:latin typeface="Cambria Math" panose="02040503050406030204" pitchFamily="18" charset="0"/>
                        </a:rPr>
                      </m:ctrlPr>
                    </m:sSubPr>
                    <m:e>
                      <m:r>
                        <a:rPr lang="it-IT" sz="2000" b="0" i="1">
                          <a:latin typeface="Cambria Math" panose="02040503050406030204" pitchFamily="18" charset="0"/>
                        </a:rPr>
                        <m:t>𝑃</m:t>
                      </m:r>
                    </m:e>
                    <m:sub>
                      <m:r>
                        <a:rPr lang="it-IT" sz="2000" b="0" i="1">
                          <a:latin typeface="Cambria Math" panose="02040503050406030204" pitchFamily="18" charset="0"/>
                        </a:rPr>
                        <m:t>𝑟𝑖𝑓</m:t>
                      </m:r>
                    </m:sub>
                  </m:sSub>
                  <m:r>
                    <a:rPr lang="it-IT" sz="2000" b="0" i="1">
                      <a:latin typeface="Cambria Math" panose="02040503050406030204" pitchFamily="18" charset="0"/>
                    </a:rPr>
                    <m:t>𝑉</m:t>
                  </m:r>
                  <m:r>
                    <a:rPr lang="it-IT" sz="2000" b="0" i="1">
                      <a:latin typeface="Cambria Math" panose="02040503050406030204" pitchFamily="18" charset="0"/>
                    </a:rPr>
                    <m:t>/</m:t>
                  </m:r>
                  <m:r>
                    <a:rPr lang="it-IT" sz="2000" b="0" i="1">
                      <a:latin typeface="Cambria Math" panose="02040503050406030204" pitchFamily="18" charset="0"/>
                    </a:rPr>
                    <m:t>𝑅𝑇</m:t>
                  </m:r>
                </m:oMath>
              </a14:m>
              <a:r>
                <a:rPr lang="en-US" sz="2000"/>
                <a:t> </a:t>
              </a:r>
              <a:r>
                <a:rPr lang="en-US" sz="2000" baseline="0"/>
                <a:t> is based on the standard state pressure for gasses (1 bar)</a:t>
              </a:r>
            </a:p>
            <a:p>
              <a:r>
                <a:rPr lang="en-US" sz="2000" baseline="0"/>
                <a:t>and </a:t>
              </a:r>
              <a14:m>
                <m:oMath xmlns:m="http://schemas.openxmlformats.org/officeDocument/2006/math">
                  <m:sSub>
                    <m:sSubPr>
                      <m:ctrlPr>
                        <a:rPr lang="en-US" sz="2000" i="1" baseline="0">
                          <a:latin typeface="Cambria Math" panose="02040503050406030204" pitchFamily="18" charset="0"/>
                          <a:ea typeface="Cambria Math" panose="02040503050406030204" pitchFamily="18" charset="0"/>
                        </a:rPr>
                      </m:ctrlPr>
                    </m:sSubPr>
                    <m:e>
                      <m:r>
                        <a:rPr lang="en-US" sz="2000" i="1" baseline="0">
                          <a:latin typeface="Cambria Math" panose="02040503050406030204" pitchFamily="18" charset="0"/>
                          <a:ea typeface="Cambria Math" panose="02040503050406030204" pitchFamily="18" charset="0"/>
                        </a:rPr>
                        <m:t>𝜐</m:t>
                      </m:r>
                    </m:e>
                    <m:sub>
                      <m:r>
                        <a:rPr lang="it-IT" sz="2000" b="0" i="1" baseline="0">
                          <a:latin typeface="Cambria Math" panose="02040503050406030204" pitchFamily="18" charset="0"/>
                          <a:ea typeface="Cambria Math" panose="02040503050406030204" pitchFamily="18" charset="0"/>
                        </a:rPr>
                        <m:t>𝑖</m:t>
                      </m:r>
                    </m:sub>
                  </m:sSub>
                </m:oMath>
              </a14:m>
              <a:r>
                <a:rPr lang="en-US" sz="2000"/>
                <a:t> are the stoichiometric</a:t>
              </a:r>
              <a:r>
                <a:rPr lang="en-US" sz="2000" baseline="0"/>
                <a:t> coefficients</a:t>
              </a:r>
              <a:endParaRPr lang="en-US" sz="2000"/>
            </a:p>
          </xdr:txBody>
        </xdr:sp>
      </mc:Choice>
      <mc:Fallback xmlns="">
        <xdr:sp macro="" textlink="">
          <xdr:nvSpPr>
            <xdr:cNvPr id="5" name="TextBox 4">
              <a:extLst>
                <a:ext uri="{FF2B5EF4-FFF2-40B4-BE49-F238E27FC236}">
                  <a16:creationId xmlns:a16="http://schemas.microsoft.com/office/drawing/2014/main" id="{3098C7F4-1E9B-4DF1-28BC-6D9E9D3B4CE1}"/>
                </a:ext>
              </a:extLst>
            </xdr:cNvPr>
            <xdr:cNvSpPr txBox="1"/>
          </xdr:nvSpPr>
          <xdr:spPr>
            <a:xfrm>
              <a:off x="6150411" y="85501"/>
              <a:ext cx="8984062" cy="16362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2000" b="0" i="0">
                  <a:latin typeface="Cambria Math" panose="02040503050406030204" pitchFamily="18" charset="0"/>
                </a:rPr>
                <a:t>𝑘_𝑒𝑞=𝑒𝑥𝑝((∑_(𝑖=1)^(𝑁_𝑐𝑜𝑚𝑝)▒〖</a:t>
              </a:r>
              <a:r>
                <a:rPr lang="it-IT" sz="2000" b="0" i="0">
                  <a:latin typeface="Cambria Math" panose="02040503050406030204" pitchFamily="18" charset="0"/>
                  <a:ea typeface="Cambria Math" panose="02040503050406030204" pitchFamily="18" charset="0"/>
                </a:rPr>
                <a:t>𝜐_</a:t>
              </a:r>
              <a:r>
                <a:rPr lang="it-IT" sz="2000" b="0" i="0">
                  <a:latin typeface="Cambria Math" panose="02040503050406030204" pitchFamily="18" charset="0"/>
                </a:rPr>
                <a:t>𝑖 𝐺_𝑖^0 (𝑇,𝑃_𝑟𝑖𝑓 ) 〗)/𝑅𝑇)=𝑒𝑥𝑝(∑_(𝑖=1)^(𝑁_𝑐𝑜𝑚𝑝)▒〖</a:t>
              </a:r>
              <a:r>
                <a:rPr lang="it-IT" sz="2000" b="0" i="0">
                  <a:latin typeface="Cambria Math" panose="02040503050406030204" pitchFamily="18" charset="0"/>
                  <a:ea typeface="Cambria Math" panose="02040503050406030204" pitchFamily="18" charset="0"/>
                </a:rPr>
                <a:t>𝜐_</a:t>
              </a:r>
              <a:r>
                <a:rPr lang="it-IT" sz="2000" b="0" i="0">
                  <a:latin typeface="Cambria Math" panose="02040503050406030204" pitchFamily="18" charset="0"/>
                </a:rPr>
                <a:t>𝑖 𝑙𝑛(𝑄_𝑖/𝑁_𝑖𝑟𝑖𝑓 ) 〗)=∏_(𝑖=1)^(𝑁_𝑐𝑜𝑚𝑝)▒█((𝑄_𝑖/𝑁_𝑖𝑟𝑖𝑓 )^(</a:t>
              </a:r>
              <a:r>
                <a:rPr lang="it-IT" sz="2000" b="0" i="0">
                  <a:latin typeface="Cambria Math" panose="02040503050406030204" pitchFamily="18" charset="0"/>
                  <a:ea typeface="Cambria Math" panose="02040503050406030204" pitchFamily="18" charset="0"/>
                </a:rPr>
                <a:t>𝜐_</a:t>
              </a:r>
              <a:r>
                <a:rPr lang="it-IT" sz="2000" b="0" i="0">
                  <a:latin typeface="Cambria Math" panose="02040503050406030204" pitchFamily="18" charset="0"/>
                </a:rPr>
                <a:t>𝑖 )@  )</a:t>
              </a:r>
              <a:endParaRPr lang="it-IT" sz="2000" b="0"/>
            </a:p>
            <a:p>
              <a:pPr/>
              <a:r>
                <a:rPr lang="en-US" sz="2000"/>
                <a:t>where </a:t>
              </a:r>
              <a:r>
                <a:rPr lang="it-IT" sz="2000" b="0" i="0">
                  <a:latin typeface="Cambria Math" panose="02040503050406030204" pitchFamily="18" charset="0"/>
                </a:rPr>
                <a:t>𝑁</a:t>
              </a:r>
              <a:r>
                <a:rPr lang="en-US" sz="2000" b="0" i="0">
                  <a:latin typeface="Cambria Math" panose="02040503050406030204" pitchFamily="18" charset="0"/>
                </a:rPr>
                <a:t>_</a:t>
              </a:r>
              <a:r>
                <a:rPr lang="it-IT" sz="2000" b="0" i="0">
                  <a:latin typeface="Cambria Math" panose="02040503050406030204" pitchFamily="18" charset="0"/>
                </a:rPr>
                <a:t>𝑖𝑟𝑖𝑓=𝑁_𝑎𝑣𝑜 𝑃_𝑟𝑖𝑓 𝑉/𝑅𝑇</a:t>
              </a:r>
              <a:r>
                <a:rPr lang="en-US" sz="2000"/>
                <a:t> </a:t>
              </a:r>
              <a:r>
                <a:rPr lang="en-US" sz="2000" baseline="0"/>
                <a:t> is based on the standard state pressure for gasses (1 bar)</a:t>
              </a:r>
            </a:p>
            <a:p>
              <a:pPr/>
              <a:r>
                <a:rPr lang="en-US" sz="2000" baseline="0"/>
                <a:t>and </a:t>
              </a:r>
              <a:r>
                <a:rPr lang="en-US" sz="2000" i="0" baseline="0">
                  <a:latin typeface="Cambria Math" panose="02040503050406030204" pitchFamily="18" charset="0"/>
                  <a:ea typeface="Cambria Math" panose="02040503050406030204" pitchFamily="18" charset="0"/>
                </a:rPr>
                <a:t>𝜐_</a:t>
              </a:r>
              <a:r>
                <a:rPr lang="it-IT" sz="2000" b="0" i="0" baseline="0">
                  <a:latin typeface="Cambria Math" panose="02040503050406030204" pitchFamily="18" charset="0"/>
                  <a:ea typeface="Cambria Math" panose="02040503050406030204" pitchFamily="18" charset="0"/>
                </a:rPr>
                <a:t>𝑖</a:t>
              </a:r>
              <a:r>
                <a:rPr lang="en-US" sz="2000"/>
                <a:t> are the stoichiometric</a:t>
              </a:r>
              <a:r>
                <a:rPr lang="en-US" sz="2000" baseline="0"/>
                <a:t> coefficients</a:t>
              </a:r>
              <a:endParaRPr lang="en-US" sz="2000"/>
            </a:p>
          </xdr:txBody>
        </xdr:sp>
      </mc:Fallback>
    </mc:AlternateContent>
    <xdr:clientData/>
  </xdr:oneCellAnchor>
  <xdr:twoCellAnchor editAs="oneCell">
    <xdr:from>
      <xdr:col>9</xdr:col>
      <xdr:colOff>759434</xdr:colOff>
      <xdr:row>10</xdr:row>
      <xdr:rowOff>103651</xdr:rowOff>
    </xdr:from>
    <xdr:to>
      <xdr:col>17</xdr:col>
      <xdr:colOff>548136</xdr:colOff>
      <xdr:row>31</xdr:row>
      <xdr:rowOff>65680</xdr:rowOff>
    </xdr:to>
    <xdr:pic>
      <xdr:nvPicPr>
        <xdr:cNvPr id="7" name="Picture 6">
          <a:extLst>
            <a:ext uri="{FF2B5EF4-FFF2-40B4-BE49-F238E27FC236}">
              <a16:creationId xmlns:a16="http://schemas.microsoft.com/office/drawing/2014/main" id="{662E543D-D468-4C86-5DB7-E74DFC66C9D9}"/>
            </a:ext>
          </a:extLst>
        </xdr:cNvPr>
        <xdr:cNvPicPr>
          <a:picLocks noChangeAspect="1"/>
        </xdr:cNvPicPr>
      </xdr:nvPicPr>
      <xdr:blipFill>
        <a:blip xmlns:r="http://schemas.openxmlformats.org/officeDocument/2006/relationships" r:embed="rId1"/>
        <a:stretch>
          <a:fillRect/>
        </a:stretch>
      </xdr:blipFill>
      <xdr:spPr>
        <a:xfrm>
          <a:off x="10089701" y="2474318"/>
          <a:ext cx="6426568" cy="5042029"/>
        </a:xfrm>
        <a:prstGeom prst="rect">
          <a:avLst/>
        </a:prstGeom>
      </xdr:spPr>
    </xdr:pic>
    <xdr:clientData/>
  </xdr:twoCellAnchor>
  <xdr:twoCellAnchor editAs="oneCell">
    <xdr:from>
      <xdr:col>18</xdr:col>
      <xdr:colOff>270933</xdr:colOff>
      <xdr:row>10</xdr:row>
      <xdr:rowOff>220133</xdr:rowOff>
    </xdr:from>
    <xdr:to>
      <xdr:col>26</xdr:col>
      <xdr:colOff>46567</xdr:colOff>
      <xdr:row>31</xdr:row>
      <xdr:rowOff>156633</xdr:rowOff>
    </xdr:to>
    <xdr:pic>
      <xdr:nvPicPr>
        <xdr:cNvPr id="8" name="Picture 7">
          <a:extLst>
            <a:ext uri="{FF2B5EF4-FFF2-40B4-BE49-F238E27FC236}">
              <a16:creationId xmlns:a16="http://schemas.microsoft.com/office/drawing/2014/main" id="{576CCC8A-0551-3712-9B4C-30527C7FC548}"/>
            </a:ext>
          </a:extLst>
        </xdr:cNvPr>
        <xdr:cNvPicPr>
          <a:picLocks noChangeAspect="1"/>
        </xdr:cNvPicPr>
      </xdr:nvPicPr>
      <xdr:blipFill>
        <a:blip xmlns:r="http://schemas.openxmlformats.org/officeDocument/2006/relationships" r:embed="rId2"/>
        <a:stretch>
          <a:fillRect/>
        </a:stretch>
      </xdr:blipFill>
      <xdr:spPr>
        <a:xfrm>
          <a:off x="17068800" y="2590800"/>
          <a:ext cx="6413500" cy="5016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5FFC23-C9DB-E54C-BAF3-010F03A6F4CC}">
  <dimension ref="A3:AM280"/>
  <sheetViews>
    <sheetView topLeftCell="C1" zoomScale="114" workbookViewId="0">
      <selection activeCell="D5" sqref="D5:L14"/>
    </sheetView>
  </sheetViews>
  <sheetFormatPr baseColWidth="10" defaultRowHeight="16" x14ac:dyDescent="0.2"/>
  <cols>
    <col min="1" max="1" width="17.1640625" customWidth="1"/>
    <col min="2" max="2" width="17" customWidth="1"/>
    <col min="3" max="3" width="18.6640625" customWidth="1"/>
    <col min="4" max="4" width="20" customWidth="1"/>
    <col min="5" max="5" width="18" customWidth="1"/>
    <col min="6" max="6" width="14.33203125" customWidth="1"/>
    <col min="7" max="7" width="16.83203125" customWidth="1"/>
    <col min="8" max="8" width="11.33203125" customWidth="1"/>
    <col min="9" max="9" width="10.83203125" customWidth="1"/>
    <col min="10" max="10" width="14.6640625" customWidth="1"/>
    <col min="11" max="11" width="14.33203125" customWidth="1"/>
    <col min="12" max="12" width="14.1640625" customWidth="1"/>
    <col min="13" max="13" width="16" customWidth="1"/>
    <col min="14" max="14" width="13.33203125" customWidth="1"/>
    <col min="15" max="15" width="14.1640625" customWidth="1"/>
    <col min="16" max="16" width="24" customWidth="1"/>
    <col min="17" max="17" width="21" customWidth="1"/>
    <col min="18" max="18" width="20" customWidth="1"/>
    <col min="26" max="26" width="20.5" customWidth="1"/>
    <col min="27" max="27" width="17.5" customWidth="1"/>
    <col min="28" max="29" width="17.6640625" customWidth="1"/>
    <col min="30" max="30" width="17" customWidth="1"/>
    <col min="31" max="31" width="19" customWidth="1"/>
    <col min="35" max="36" width="15.83203125" customWidth="1"/>
    <col min="37" max="37" width="18.1640625" customWidth="1"/>
  </cols>
  <sheetData>
    <row r="3" spans="1:22" x14ac:dyDescent="0.2">
      <c r="A3" s="1"/>
      <c r="B3" s="1"/>
    </row>
    <row r="4" spans="1:22" ht="20" thickBot="1" x14ac:dyDescent="0.3">
      <c r="A4" s="2"/>
      <c r="B4" s="2"/>
    </row>
    <row r="5" spans="1:22" ht="23" customHeight="1" thickBot="1" x14ac:dyDescent="0.35">
      <c r="A5" s="3" t="s">
        <v>0</v>
      </c>
      <c r="B5" s="4"/>
      <c r="D5" s="5" t="s">
        <v>1</v>
      </c>
      <c r="E5" s="6"/>
      <c r="F5" s="6"/>
      <c r="G5" s="6"/>
      <c r="H5" s="6"/>
      <c r="I5" s="6"/>
      <c r="J5" s="6"/>
      <c r="K5" s="6"/>
      <c r="L5" s="7"/>
      <c r="N5" s="8" t="s">
        <v>2</v>
      </c>
      <c r="O5" s="9"/>
      <c r="P5" s="9"/>
      <c r="Q5" s="10"/>
      <c r="S5" s="11" t="s">
        <v>3</v>
      </c>
      <c r="T5" s="12"/>
      <c r="U5" s="12"/>
      <c r="V5" s="13"/>
    </row>
    <row r="6" spans="1:22" ht="32" customHeight="1" x14ac:dyDescent="0.3">
      <c r="A6" s="14" t="s">
        <v>4</v>
      </c>
      <c r="B6" s="15">
        <v>6.0221399999999997E+23</v>
      </c>
      <c r="D6" s="16" t="s">
        <v>5</v>
      </c>
      <c r="E6" s="17" t="s">
        <v>6</v>
      </c>
      <c r="F6" s="17" t="s">
        <v>7</v>
      </c>
      <c r="G6" s="17" t="s">
        <v>8</v>
      </c>
      <c r="H6" s="17" t="s">
        <v>9</v>
      </c>
      <c r="I6" s="17" t="s">
        <v>10</v>
      </c>
      <c r="J6" s="18" t="s">
        <v>11</v>
      </c>
      <c r="K6" s="17" t="s">
        <v>12</v>
      </c>
      <c r="L6" s="19" t="s">
        <v>13</v>
      </c>
      <c r="N6" s="20" t="s">
        <v>14</v>
      </c>
      <c r="O6" s="21" t="s">
        <v>15</v>
      </c>
      <c r="P6" s="21" t="s">
        <v>16</v>
      </c>
      <c r="Q6" s="22" t="s">
        <v>17</v>
      </c>
      <c r="S6" s="23" t="s">
        <v>14</v>
      </c>
      <c r="T6" s="24" t="s">
        <v>18</v>
      </c>
      <c r="U6" s="24" t="s">
        <v>19</v>
      </c>
      <c r="V6" s="25" t="s">
        <v>20</v>
      </c>
    </row>
    <row r="7" spans="1:22" ht="22" x14ac:dyDescent="0.3">
      <c r="A7" s="26" t="s">
        <v>21</v>
      </c>
      <c r="B7" s="27">
        <v>8.3143999999999991</v>
      </c>
      <c r="D7" s="28" t="s">
        <v>6</v>
      </c>
      <c r="E7" s="29">
        <v>1</v>
      </c>
      <c r="F7" s="29">
        <v>27.210699999999999</v>
      </c>
      <c r="G7" s="29">
        <v>219474.63</v>
      </c>
      <c r="H7" s="29">
        <v>627.50300000000004</v>
      </c>
      <c r="I7" s="29">
        <v>2625.5</v>
      </c>
      <c r="J7" s="29">
        <v>315777</v>
      </c>
      <c r="K7" s="29">
        <v>4.3599999999999999E-18</v>
      </c>
      <c r="L7" s="348">
        <v>6579660000000000</v>
      </c>
      <c r="N7" s="31" t="s">
        <v>15</v>
      </c>
      <c r="O7" s="32">
        <v>1</v>
      </c>
      <c r="P7" s="32">
        <v>0.52917999956390005</v>
      </c>
      <c r="Q7" s="33">
        <v>5.2917999999999999E-11</v>
      </c>
      <c r="S7" s="34" t="s">
        <v>18</v>
      </c>
      <c r="T7" s="35">
        <v>1</v>
      </c>
      <c r="U7" s="36">
        <v>9.1093800000000005E-31</v>
      </c>
      <c r="V7" s="37">
        <f>U7*V8</f>
        <v>5.4875783132530122E-4</v>
      </c>
    </row>
    <row r="8" spans="1:22" ht="22" x14ac:dyDescent="0.3">
      <c r="A8" s="38" t="s">
        <v>22</v>
      </c>
      <c r="B8" s="39">
        <v>1.38065E-23</v>
      </c>
      <c r="D8" s="28" t="s">
        <v>7</v>
      </c>
      <c r="E8" s="29">
        <v>3.6750199999999997E-2</v>
      </c>
      <c r="F8" s="29">
        <v>1</v>
      </c>
      <c r="G8" s="29">
        <v>8065.73</v>
      </c>
      <c r="H8" s="29">
        <v>23.0609</v>
      </c>
      <c r="I8" s="29">
        <v>96.486900000000006</v>
      </c>
      <c r="J8" s="29">
        <v>11604.9</v>
      </c>
      <c r="K8" s="30">
        <v>1.6021E-19</v>
      </c>
      <c r="L8" s="348">
        <v>241804000000000</v>
      </c>
      <c r="N8" s="31" t="s">
        <v>16</v>
      </c>
      <c r="O8" s="40">
        <v>1.8897299999999999</v>
      </c>
      <c r="P8" s="32">
        <v>1</v>
      </c>
      <c r="Q8" s="33">
        <v>1E-10</v>
      </c>
      <c r="S8" s="34" t="s">
        <v>19</v>
      </c>
      <c r="T8" s="36">
        <v>1.098E+30</v>
      </c>
      <c r="U8" s="35">
        <v>1</v>
      </c>
      <c r="V8" s="37">
        <f>1/U9</f>
        <v>6.0240963855421691E+26</v>
      </c>
    </row>
    <row r="9" spans="1:22" ht="22" thickBot="1" x14ac:dyDescent="0.3">
      <c r="A9" s="26" t="s">
        <v>23</v>
      </c>
      <c r="B9" s="41">
        <v>1.6021760000000001E-16</v>
      </c>
      <c r="D9" s="28" t="s">
        <v>8</v>
      </c>
      <c r="E9" s="29">
        <v>4.5563300000000003E-6</v>
      </c>
      <c r="F9" s="29">
        <v>1.23981E-4</v>
      </c>
      <c r="G9" s="29">
        <v>1</v>
      </c>
      <c r="H9" s="29">
        <v>2.8591100000000002E-3</v>
      </c>
      <c r="I9" s="29">
        <v>1.19627E-2</v>
      </c>
      <c r="J9" s="29">
        <v>1.42879</v>
      </c>
      <c r="K9" s="29">
        <v>1.9863000000000001E-23</v>
      </c>
      <c r="L9" s="349">
        <v>29979300000</v>
      </c>
      <c r="N9" s="42" t="s">
        <v>17</v>
      </c>
      <c r="O9" s="43">
        <v>18900000000</v>
      </c>
      <c r="P9" s="43">
        <v>10000000000</v>
      </c>
      <c r="Q9" s="44">
        <v>1</v>
      </c>
      <c r="S9" s="45" t="s">
        <v>20</v>
      </c>
      <c r="T9" s="46">
        <f>U9*T8</f>
        <v>1822.6799999999998</v>
      </c>
      <c r="U9" s="46">
        <v>1.6599999999999999E-27</v>
      </c>
      <c r="V9" s="47">
        <v>1</v>
      </c>
    </row>
    <row r="10" spans="1:22" ht="21" x14ac:dyDescent="0.3">
      <c r="A10" s="48" t="s">
        <v>24</v>
      </c>
      <c r="B10" s="49">
        <v>9.1092999999999998E-31</v>
      </c>
      <c r="D10" s="28" t="s">
        <v>9</v>
      </c>
      <c r="E10" s="29">
        <v>1.59362E-3</v>
      </c>
      <c r="F10" s="29">
        <v>4.3363400000000003E-2</v>
      </c>
      <c r="G10" s="29">
        <v>349.75700000000001</v>
      </c>
      <c r="H10" s="29">
        <v>1</v>
      </c>
      <c r="I10" s="29">
        <v>4.1840000000000002</v>
      </c>
      <c r="J10" s="29">
        <v>503.22800000000001</v>
      </c>
      <c r="K10" s="29">
        <v>6.9500000000000005E-21</v>
      </c>
      <c r="L10" s="348">
        <v>10485400000000</v>
      </c>
    </row>
    <row r="11" spans="1:22" ht="22" x14ac:dyDescent="0.3">
      <c r="A11" s="26" t="s">
        <v>25</v>
      </c>
      <c r="B11" s="50">
        <v>8.8541799999999997E-12</v>
      </c>
      <c r="D11" s="28" t="s">
        <v>10</v>
      </c>
      <c r="E11" s="29">
        <v>3.8088E-4</v>
      </c>
      <c r="F11" s="29">
        <v>1.0364099999999999E-2</v>
      </c>
      <c r="G11" s="29">
        <v>83.593000000000004</v>
      </c>
      <c r="H11" s="29">
        <v>0.23900099999999999</v>
      </c>
      <c r="I11" s="29">
        <v>1</v>
      </c>
      <c r="J11" s="29">
        <v>120.274</v>
      </c>
      <c r="K11" s="29">
        <v>1.6599999999999999E-21</v>
      </c>
      <c r="L11" s="348">
        <v>2506070000000</v>
      </c>
    </row>
    <row r="12" spans="1:22" ht="22" x14ac:dyDescent="0.3">
      <c r="A12" s="48" t="s">
        <v>26</v>
      </c>
      <c r="B12" s="49">
        <v>5.2917700000000002E-12</v>
      </c>
      <c r="D12" s="51" t="s">
        <v>11</v>
      </c>
      <c r="E12" s="29">
        <v>3.1667800000000002E-6</v>
      </c>
      <c r="F12" s="29">
        <v>8.6170500000000004E-5</v>
      </c>
      <c r="G12" s="29">
        <v>0.69502799999999998</v>
      </c>
      <c r="H12" s="29">
        <v>1.9871699999999999E-3</v>
      </c>
      <c r="I12" s="29">
        <v>8.3143499999999999E-3</v>
      </c>
      <c r="J12" s="29">
        <v>1</v>
      </c>
      <c r="K12" s="29">
        <v>1.38054E-23</v>
      </c>
      <c r="L12" s="349">
        <v>20836400000</v>
      </c>
    </row>
    <row r="13" spans="1:22" ht="19" x14ac:dyDescent="0.25">
      <c r="A13" s="26" t="s">
        <v>27</v>
      </c>
      <c r="B13" s="52">
        <f>298.15</f>
        <v>298.14999999999998</v>
      </c>
      <c r="D13" s="28" t="s">
        <v>12</v>
      </c>
      <c r="E13" s="29">
        <v>2.294E+17</v>
      </c>
      <c r="F13" s="29">
        <v>6.24181E+18</v>
      </c>
      <c r="G13" s="29">
        <v>5.0344500000000003E+22</v>
      </c>
      <c r="H13" s="29">
        <v>1.44E+20</v>
      </c>
      <c r="I13" s="29">
        <v>6.02E+20</v>
      </c>
      <c r="J13" s="29">
        <v>7.2435399999999999E+22</v>
      </c>
      <c r="K13" s="29">
        <v>1</v>
      </c>
      <c r="L13" s="348">
        <v>1.5093E+33</v>
      </c>
    </row>
    <row r="14" spans="1:22" ht="20" thickBot="1" x14ac:dyDescent="0.3">
      <c r="A14" s="26" t="s">
        <v>28</v>
      </c>
      <c r="B14" s="53">
        <v>6.626068E-34</v>
      </c>
      <c r="D14" s="54" t="s">
        <v>13</v>
      </c>
      <c r="E14" s="55">
        <v>1.5198300000000001E-16</v>
      </c>
      <c r="F14" s="55">
        <v>4.13558E-15</v>
      </c>
      <c r="G14" s="55">
        <v>3.3356499999999997E-11</v>
      </c>
      <c r="H14" s="55">
        <v>9.5370200000000003E-14</v>
      </c>
      <c r="I14" s="55"/>
      <c r="J14" s="55">
        <v>4.7993E-11</v>
      </c>
      <c r="K14" s="55">
        <v>6.62561E-34</v>
      </c>
      <c r="L14" s="56">
        <v>1</v>
      </c>
    </row>
    <row r="15" spans="1:22" ht="19" x14ac:dyDescent="0.25">
      <c r="A15" s="48" t="s">
        <v>29</v>
      </c>
      <c r="B15" s="57">
        <v>1</v>
      </c>
    </row>
    <row r="16" spans="1:22" ht="19" x14ac:dyDescent="0.25">
      <c r="A16" s="26" t="s">
        <v>30</v>
      </c>
      <c r="B16" s="52">
        <v>101325</v>
      </c>
    </row>
    <row r="17" spans="1:27" ht="21" x14ac:dyDescent="0.25">
      <c r="A17" s="14" t="s">
        <v>31</v>
      </c>
      <c r="B17" s="58">
        <v>299792459</v>
      </c>
    </row>
    <row r="18" spans="1:27" ht="34" thickBot="1" x14ac:dyDescent="0.5">
      <c r="A18" s="361" t="s">
        <v>32</v>
      </c>
      <c r="B18" s="361"/>
      <c r="C18" s="361"/>
      <c r="D18" s="361"/>
      <c r="E18" s="361"/>
      <c r="F18" s="361"/>
      <c r="G18" s="361"/>
      <c r="H18" s="361"/>
      <c r="I18" s="361"/>
      <c r="J18" s="361"/>
      <c r="K18" s="361"/>
      <c r="L18" s="361"/>
      <c r="M18" s="361"/>
      <c r="N18" s="361"/>
      <c r="O18" s="361"/>
      <c r="P18" s="361"/>
      <c r="Q18" s="361"/>
      <c r="R18" s="361"/>
      <c r="S18" s="361"/>
      <c r="T18" s="361"/>
      <c r="U18" s="361"/>
      <c r="V18" s="361"/>
    </row>
    <row r="19" spans="1:27" ht="17" thickTop="1" x14ac:dyDescent="0.2"/>
    <row r="20" spans="1:27" ht="17" thickBot="1" x14ac:dyDescent="0.25"/>
    <row r="21" spans="1:27" ht="20" thickBot="1" x14ac:dyDescent="0.3">
      <c r="A21" s="59" t="s">
        <v>33</v>
      </c>
      <c r="B21" s="60"/>
      <c r="C21" s="61" t="s">
        <v>34</v>
      </c>
      <c r="D21" s="62"/>
      <c r="E21" s="62"/>
      <c r="F21" s="63"/>
      <c r="G21" s="60"/>
      <c r="H21" s="59" t="s">
        <v>35</v>
      </c>
      <c r="I21" s="60"/>
      <c r="J21" s="60"/>
      <c r="M21" s="60"/>
      <c r="N21" s="60"/>
      <c r="O21" s="64" t="s">
        <v>36</v>
      </c>
      <c r="P21" s="62"/>
      <c r="Q21" s="62"/>
      <c r="R21" s="63"/>
      <c r="S21" s="60"/>
      <c r="T21" s="60"/>
      <c r="U21" s="60"/>
      <c r="V21" s="60"/>
      <c r="W21" s="60"/>
      <c r="X21" s="60"/>
      <c r="Y21" s="60"/>
      <c r="Z21" s="60"/>
      <c r="AA21" s="60"/>
    </row>
    <row r="22" spans="1:27" ht="20" thickBot="1" x14ac:dyDescent="0.3">
      <c r="A22" s="65">
        <v>298.14999999999998</v>
      </c>
      <c r="B22" s="60"/>
      <c r="C22" s="66"/>
      <c r="D22" s="67" t="s">
        <v>37</v>
      </c>
      <c r="E22" s="68" t="s">
        <v>38</v>
      </c>
      <c r="F22" s="69" t="s">
        <v>39</v>
      </c>
      <c r="G22" s="60"/>
      <c r="H22" s="70" t="s">
        <v>40</v>
      </c>
      <c r="I22" s="71" t="s">
        <v>9</v>
      </c>
      <c r="J22" s="71" t="s">
        <v>10</v>
      </c>
      <c r="K22" s="72" t="s">
        <v>7</v>
      </c>
      <c r="L22" s="73" t="s">
        <v>12</v>
      </c>
      <c r="M22" s="60"/>
      <c r="N22" s="60"/>
      <c r="O22" s="74"/>
      <c r="P22" s="75" t="s">
        <v>41</v>
      </c>
      <c r="Q22" s="76" t="s">
        <v>42</v>
      </c>
      <c r="R22" s="77" t="s">
        <v>43</v>
      </c>
      <c r="S22" s="60"/>
      <c r="T22" s="60"/>
      <c r="U22" s="60"/>
      <c r="V22" s="60"/>
      <c r="W22" s="60"/>
      <c r="X22" s="60"/>
      <c r="Y22" s="60"/>
      <c r="Z22" s="60"/>
      <c r="AA22" s="60"/>
    </row>
    <row r="23" spans="1:27" ht="22" thickBot="1" x14ac:dyDescent="0.3">
      <c r="A23" s="60"/>
      <c r="B23" s="60"/>
      <c r="C23" s="78" t="s">
        <v>44</v>
      </c>
      <c r="D23" s="79">
        <v>11.460050000000001</v>
      </c>
      <c r="E23" s="80">
        <v>11.46124</v>
      </c>
      <c r="F23" s="81">
        <v>11.46124</v>
      </c>
      <c r="G23" s="60"/>
      <c r="H23" s="82">
        <v>4.4782000000000002E-2</v>
      </c>
      <c r="I23" s="83">
        <f>H23*$H$7</f>
        <v>28.100839346000004</v>
      </c>
      <c r="J23" s="83">
        <f>H23*$I$7</f>
        <v>117.575141</v>
      </c>
      <c r="K23" s="84">
        <f>H23*$F$7</f>
        <v>1.2185495674</v>
      </c>
      <c r="L23" s="85">
        <f>H23*$K$7</f>
        <v>1.9524952E-19</v>
      </c>
      <c r="M23" s="60"/>
      <c r="N23" s="60"/>
      <c r="O23" s="86" t="s">
        <v>45</v>
      </c>
      <c r="P23" s="87">
        <v>29.901</v>
      </c>
      <c r="Q23" s="88">
        <v>6.4610000000000003</v>
      </c>
      <c r="R23" s="89">
        <v>47.235999999999997</v>
      </c>
      <c r="S23" s="60"/>
      <c r="T23" s="60"/>
      <c r="U23" s="60"/>
      <c r="V23" s="60"/>
      <c r="W23" s="60"/>
      <c r="X23" s="60"/>
      <c r="Y23" s="60"/>
      <c r="Z23" s="60"/>
      <c r="AA23" s="60"/>
    </row>
    <row r="24" spans="1:27" ht="22" thickBot="1" x14ac:dyDescent="0.3">
      <c r="A24" s="59" t="s">
        <v>46</v>
      </c>
      <c r="B24" s="60"/>
      <c r="C24" s="90" t="s">
        <v>47</v>
      </c>
      <c r="D24" s="91">
        <f>D23*$U$9</f>
        <v>1.9023682999999999E-26</v>
      </c>
      <c r="E24" s="91">
        <f t="shared" ref="E24:F24" si="0">E23*$U$9</f>
        <v>1.9025658399999998E-26</v>
      </c>
      <c r="F24" s="91">
        <f t="shared" si="0"/>
        <v>1.9025658399999998E-26</v>
      </c>
      <c r="G24" s="60"/>
      <c r="M24" s="60"/>
      <c r="N24" s="60"/>
      <c r="O24" s="92" t="s">
        <v>48</v>
      </c>
      <c r="P24" s="87">
        <v>0</v>
      </c>
      <c r="Q24" s="88">
        <v>0</v>
      </c>
      <c r="R24" s="89">
        <v>0</v>
      </c>
      <c r="S24" s="60"/>
      <c r="T24" s="60"/>
      <c r="U24" s="60"/>
      <c r="V24" s="60"/>
      <c r="W24" s="60"/>
      <c r="X24" s="60"/>
      <c r="Y24" s="60"/>
      <c r="Z24" s="60"/>
      <c r="AA24" s="60"/>
    </row>
    <row r="25" spans="1:27" ht="22" thickBot="1" x14ac:dyDescent="0.3">
      <c r="A25" s="65">
        <v>1</v>
      </c>
      <c r="B25" s="60"/>
      <c r="C25" s="93" t="s">
        <v>49</v>
      </c>
      <c r="D25" s="94">
        <f>D24*($Q$8)^2</f>
        <v>1.9023682999999999E-46</v>
      </c>
      <c r="E25" s="95">
        <f>E24*($Q$8)^2</f>
        <v>1.9025658400000001E-46</v>
      </c>
      <c r="F25" s="96">
        <f t="shared" ref="F25" si="1">F24*($Q$8)^2</f>
        <v>1.9025658400000001E-46</v>
      </c>
      <c r="G25" s="60"/>
      <c r="M25" s="60"/>
      <c r="N25" s="60"/>
      <c r="O25" s="92" t="s">
        <v>50</v>
      </c>
      <c r="P25" s="87">
        <v>0.88900000000000001</v>
      </c>
      <c r="Q25" s="88">
        <v>2.9809999999999999</v>
      </c>
      <c r="R25" s="89">
        <v>34.261000000000003</v>
      </c>
      <c r="S25" s="60"/>
      <c r="T25" s="60"/>
      <c r="U25" s="60"/>
      <c r="V25" s="60"/>
      <c r="W25" s="60"/>
      <c r="X25" s="60"/>
      <c r="Y25" s="60"/>
      <c r="Z25" s="60"/>
      <c r="AA25" s="60"/>
    </row>
    <row r="26" spans="1:27" ht="20" thickBot="1" x14ac:dyDescent="0.3">
      <c r="A26" s="60"/>
      <c r="B26" s="60"/>
      <c r="C26" s="60"/>
      <c r="D26" s="60"/>
      <c r="E26" s="60"/>
      <c r="F26" s="60"/>
      <c r="G26" s="60"/>
      <c r="H26" s="59" t="s">
        <v>51</v>
      </c>
      <c r="I26" s="60"/>
      <c r="J26" s="60"/>
      <c r="K26" s="60"/>
      <c r="M26" s="60"/>
      <c r="N26" s="60"/>
      <c r="O26" s="92" t="s">
        <v>52</v>
      </c>
      <c r="P26" s="87">
        <v>0.88900000000000001</v>
      </c>
      <c r="Q26" s="88">
        <v>2.9809999999999999</v>
      </c>
      <c r="R26" s="89">
        <v>12.89</v>
      </c>
      <c r="S26" s="60"/>
      <c r="T26" s="60"/>
      <c r="U26" s="60"/>
      <c r="V26" s="60"/>
      <c r="W26" s="60"/>
      <c r="X26" s="60"/>
      <c r="Y26" s="60"/>
      <c r="Z26" s="60"/>
      <c r="AA26" s="60"/>
    </row>
    <row r="27" spans="1:27" ht="20" thickBot="1" x14ac:dyDescent="0.3">
      <c r="A27" s="59" t="s">
        <v>53</v>
      </c>
      <c r="B27" s="60"/>
      <c r="C27" s="59" t="s">
        <v>54</v>
      </c>
      <c r="D27" s="60"/>
      <c r="E27" s="60"/>
      <c r="F27" s="60"/>
      <c r="G27" s="60"/>
      <c r="H27" s="70" t="s">
        <v>40</v>
      </c>
      <c r="I27" s="71" t="s">
        <v>9</v>
      </c>
      <c r="J27" s="71" t="s">
        <v>10</v>
      </c>
      <c r="K27" s="72" t="s">
        <v>7</v>
      </c>
      <c r="L27" s="73" t="s">
        <v>12</v>
      </c>
      <c r="M27" s="60"/>
      <c r="N27" s="60"/>
      <c r="O27" s="97" t="s">
        <v>55</v>
      </c>
      <c r="P27" s="98">
        <v>28.123000000000001</v>
      </c>
      <c r="Q27" s="99">
        <v>0.499</v>
      </c>
      <c r="R27" s="100">
        <v>8.5000000000000006E-2</v>
      </c>
      <c r="S27" s="60"/>
      <c r="T27" s="60"/>
      <c r="U27" s="60"/>
      <c r="V27" s="60"/>
      <c r="W27" s="60"/>
      <c r="X27" s="60"/>
      <c r="Y27" s="60"/>
      <c r="Z27" s="60"/>
      <c r="AA27" s="60"/>
    </row>
    <row r="28" spans="1:27" ht="20" thickBot="1" x14ac:dyDescent="0.3">
      <c r="A28" s="65">
        <v>16.031300000000002</v>
      </c>
      <c r="B28" s="60"/>
      <c r="C28" s="101" t="s">
        <v>37</v>
      </c>
      <c r="D28" s="102" t="s">
        <v>38</v>
      </c>
      <c r="E28" s="103" t="s">
        <v>39</v>
      </c>
      <c r="F28" s="60"/>
      <c r="G28" s="60"/>
      <c r="H28" s="104">
        <v>4.7649999999999998E-2</v>
      </c>
      <c r="I28" s="83">
        <f>H28*$H$7</f>
        <v>29.900517950000001</v>
      </c>
      <c r="J28" s="83">
        <f>H28*$I$7</f>
        <v>125.105075</v>
      </c>
      <c r="K28" s="105">
        <f>H28*$F$7</f>
        <v>1.2965898549999999</v>
      </c>
      <c r="L28" s="85">
        <f>H28*$K$7</f>
        <v>2.0775399999999998E-19</v>
      </c>
      <c r="M28" s="60"/>
      <c r="N28" s="60"/>
      <c r="O28" s="60"/>
      <c r="P28" s="60"/>
      <c r="Q28" s="60"/>
      <c r="R28" s="60"/>
      <c r="S28" s="60"/>
      <c r="T28" s="60"/>
      <c r="U28" s="60"/>
      <c r="V28" s="60"/>
      <c r="W28" s="60"/>
      <c r="X28" s="60"/>
      <c r="Y28" s="60"/>
      <c r="Z28" s="60"/>
      <c r="AA28" s="60"/>
    </row>
    <row r="29" spans="1:27" ht="20" thickBot="1" x14ac:dyDescent="0.3">
      <c r="A29" s="60"/>
      <c r="B29" s="60"/>
      <c r="C29" s="104">
        <v>7.5578900000000004</v>
      </c>
      <c r="D29" s="106">
        <v>7.5571000000000002</v>
      </c>
      <c r="E29" s="107">
        <v>7.5571000000000002</v>
      </c>
      <c r="F29" s="60"/>
      <c r="G29" s="60"/>
      <c r="L29" s="60"/>
      <c r="M29" s="60"/>
      <c r="N29" s="60"/>
      <c r="O29" s="60"/>
      <c r="P29" s="60"/>
      <c r="Q29" s="60"/>
      <c r="R29" s="60"/>
      <c r="S29" s="60"/>
      <c r="T29" s="60"/>
      <c r="U29" s="60"/>
      <c r="V29" s="60"/>
      <c r="W29" s="60"/>
      <c r="X29" s="60"/>
      <c r="Y29" s="60"/>
      <c r="Z29" s="60"/>
      <c r="AA29" s="60"/>
    </row>
    <row r="30" spans="1:27" ht="20" thickBot="1" x14ac:dyDescent="0.3">
      <c r="A30" s="59" t="s">
        <v>56</v>
      </c>
      <c r="B30" s="60"/>
      <c r="F30" s="60"/>
      <c r="G30" s="60"/>
      <c r="M30" s="60"/>
      <c r="O30" s="108" t="s">
        <v>57</v>
      </c>
      <c r="P30" s="109"/>
      <c r="Q30" s="109"/>
      <c r="R30" s="110"/>
      <c r="S30" s="60"/>
      <c r="T30" s="60"/>
      <c r="U30" s="60"/>
      <c r="V30" s="60"/>
      <c r="W30" s="60"/>
      <c r="X30" s="60"/>
      <c r="Y30" s="60"/>
      <c r="Z30" s="60"/>
      <c r="AA30" s="60"/>
    </row>
    <row r="31" spans="1:27" ht="20" thickBot="1" x14ac:dyDescent="0.3">
      <c r="A31" s="65">
        <v>3</v>
      </c>
      <c r="B31" s="60"/>
      <c r="C31" s="59" t="s">
        <v>58</v>
      </c>
      <c r="D31" s="60"/>
      <c r="E31" s="60"/>
      <c r="F31" s="60"/>
      <c r="G31" s="60"/>
      <c r="H31" s="59" t="s">
        <v>59</v>
      </c>
      <c r="I31" s="60"/>
      <c r="J31" s="60"/>
      <c r="K31" s="60"/>
      <c r="L31" s="60"/>
      <c r="M31" s="60"/>
      <c r="N31" s="60"/>
      <c r="O31" s="111"/>
      <c r="P31" s="112" t="s">
        <v>60</v>
      </c>
      <c r="Q31" s="113" t="s">
        <v>61</v>
      </c>
      <c r="R31" s="114" t="s">
        <v>62</v>
      </c>
      <c r="S31" s="60"/>
      <c r="T31" s="60"/>
      <c r="U31" s="60"/>
      <c r="V31" s="60"/>
      <c r="W31" s="60"/>
      <c r="X31" s="60"/>
      <c r="Y31" s="60"/>
      <c r="Z31" s="60"/>
      <c r="AA31" s="60"/>
    </row>
    <row r="32" spans="1:27" ht="20" thickBot="1" x14ac:dyDescent="0.3">
      <c r="A32" s="60"/>
      <c r="B32" s="60"/>
      <c r="C32" s="115" t="s">
        <v>37</v>
      </c>
      <c r="D32" s="115" t="s">
        <v>38</v>
      </c>
      <c r="E32" s="115" t="s">
        <v>39</v>
      </c>
      <c r="F32" s="60"/>
      <c r="G32" s="60"/>
      <c r="H32" s="70" t="s">
        <v>40</v>
      </c>
      <c r="I32" s="71" t="s">
        <v>9</v>
      </c>
      <c r="J32" s="71" t="s">
        <v>10</v>
      </c>
      <c r="K32" s="72" t="s">
        <v>7</v>
      </c>
      <c r="L32" s="73" t="s">
        <v>12</v>
      </c>
      <c r="M32" s="60"/>
      <c r="N32" s="60"/>
      <c r="O32" s="86" t="s">
        <v>48</v>
      </c>
      <c r="P32" s="116">
        <v>1</v>
      </c>
      <c r="Q32" s="117">
        <v>0</v>
      </c>
      <c r="R32" s="117">
        <v>0</v>
      </c>
      <c r="S32" s="60"/>
      <c r="T32" s="60"/>
      <c r="U32" s="60"/>
      <c r="V32" s="60"/>
      <c r="W32" s="60"/>
      <c r="X32" s="60"/>
      <c r="Y32" s="60"/>
      <c r="Z32" s="60"/>
      <c r="AA32" s="60"/>
    </row>
    <row r="33" spans="1:27" ht="20" thickBot="1" x14ac:dyDescent="0.3">
      <c r="A33" s="60"/>
      <c r="B33" s="60"/>
      <c r="C33" s="118">
        <v>157.48105000000001</v>
      </c>
      <c r="D33" s="119">
        <v>157.46467000000001</v>
      </c>
      <c r="E33" s="120">
        <v>157.46467000000001</v>
      </c>
      <c r="F33" s="60"/>
      <c r="G33" s="60"/>
      <c r="H33" s="104">
        <v>4.8593999999999998E-2</v>
      </c>
      <c r="I33" s="83">
        <f>H33*$H$7</f>
        <v>30.492880782</v>
      </c>
      <c r="J33" s="83">
        <f>H33*$I$7</f>
        <v>127.583547</v>
      </c>
      <c r="K33" s="105">
        <f>H33*$F$7</f>
        <v>1.3222767557999999</v>
      </c>
      <c r="L33" s="85">
        <f>H33*$K$7</f>
        <v>2.1186983999999999E-19</v>
      </c>
      <c r="M33" s="60"/>
      <c r="N33" s="60"/>
      <c r="O33" s="92" t="s">
        <v>50</v>
      </c>
      <c r="P33" s="87">
        <v>2522950</v>
      </c>
      <c r="Q33" s="88">
        <v>6.4019079999999997</v>
      </c>
      <c r="R33" s="88">
        <v>14.740938999999999</v>
      </c>
      <c r="S33" s="60"/>
      <c r="T33" s="60"/>
      <c r="U33" s="60"/>
      <c r="V33" s="60"/>
      <c r="W33" s="60"/>
      <c r="X33" s="60"/>
      <c r="Y33" s="60"/>
      <c r="Z33" s="60"/>
      <c r="AA33" s="60"/>
    </row>
    <row r="34" spans="1:27" ht="19" x14ac:dyDescent="0.25">
      <c r="A34" s="60"/>
      <c r="B34" s="60"/>
      <c r="E34" s="60"/>
      <c r="F34" s="60"/>
      <c r="G34" s="60"/>
      <c r="M34" s="60"/>
      <c r="N34" s="60"/>
      <c r="O34" s="92" t="s">
        <v>52</v>
      </c>
      <c r="P34" s="87">
        <v>146.40299999999999</v>
      </c>
      <c r="Q34" s="88">
        <v>2.1655500000000001</v>
      </c>
      <c r="R34" s="88">
        <v>4.986364</v>
      </c>
      <c r="S34" s="60"/>
      <c r="T34" s="60"/>
      <c r="U34" s="60"/>
      <c r="V34" s="60"/>
      <c r="W34" s="60"/>
      <c r="X34" s="60"/>
      <c r="Y34" s="60"/>
      <c r="Z34" s="60"/>
      <c r="AA34" s="60"/>
    </row>
    <row r="35" spans="1:27" ht="19" x14ac:dyDescent="0.25">
      <c r="A35" s="60"/>
      <c r="B35" s="60"/>
      <c r="E35" s="60"/>
      <c r="F35" s="60"/>
      <c r="H35" s="60"/>
      <c r="I35" s="60"/>
      <c r="J35" s="60"/>
      <c r="K35" s="60"/>
      <c r="L35" s="60"/>
      <c r="M35" s="60"/>
      <c r="N35" s="60"/>
      <c r="O35" s="92" t="s">
        <v>63</v>
      </c>
      <c r="P35" s="87">
        <v>9.3664799999999991E-13</v>
      </c>
      <c r="Q35" s="88">
        <v>-12.028423999999999</v>
      </c>
      <c r="R35" s="88">
        <v>-27.696469</v>
      </c>
      <c r="S35" s="60"/>
      <c r="T35" s="60"/>
      <c r="U35" s="60"/>
      <c r="V35" s="60"/>
      <c r="W35" s="60"/>
      <c r="X35" s="60"/>
      <c r="Y35" s="60"/>
      <c r="Z35" s="60"/>
      <c r="AA35" s="60"/>
    </row>
    <row r="36" spans="1:27" ht="20" thickBot="1" x14ac:dyDescent="0.3">
      <c r="A36" s="60"/>
      <c r="B36" s="60"/>
      <c r="C36" s="59" t="s">
        <v>64</v>
      </c>
      <c r="D36" s="60"/>
      <c r="E36" s="60"/>
      <c r="F36" s="60"/>
      <c r="H36" s="59" t="s">
        <v>65</v>
      </c>
      <c r="I36" s="60"/>
      <c r="J36" s="60"/>
      <c r="K36" s="60"/>
      <c r="L36" s="60"/>
      <c r="M36" s="60"/>
      <c r="N36" s="60"/>
      <c r="O36" s="92" t="s">
        <v>66</v>
      </c>
      <c r="P36" s="87">
        <v>371427000</v>
      </c>
      <c r="Q36" s="88">
        <v>8.5698729999999994</v>
      </c>
      <c r="R36" s="88">
        <v>19.732862999999998</v>
      </c>
      <c r="S36" s="60"/>
      <c r="T36" s="60"/>
      <c r="U36" s="60"/>
      <c r="V36" s="60"/>
      <c r="W36" s="60"/>
      <c r="X36" s="60"/>
      <c r="Y36" s="60"/>
      <c r="Z36" s="60"/>
      <c r="AA36" s="60"/>
    </row>
    <row r="37" spans="1:27" ht="20" thickBot="1" x14ac:dyDescent="0.3">
      <c r="A37" s="60"/>
      <c r="B37" s="60"/>
      <c r="C37" s="121" t="s">
        <v>67</v>
      </c>
      <c r="D37" s="122">
        <v>117575.4</v>
      </c>
      <c r="E37" s="60"/>
      <c r="F37" s="60"/>
      <c r="H37" s="70" t="s">
        <v>40</v>
      </c>
      <c r="I37" s="71" t="s">
        <v>9</v>
      </c>
      <c r="J37" s="71" t="s">
        <v>10</v>
      </c>
      <c r="K37" s="73" t="s">
        <v>7</v>
      </c>
      <c r="L37" s="73" t="s">
        <v>12</v>
      </c>
      <c r="M37" s="60"/>
      <c r="N37" s="60"/>
      <c r="O37" s="92" t="s">
        <v>68</v>
      </c>
      <c r="P37" s="87">
        <v>2.5358200000000001E-21</v>
      </c>
      <c r="Q37" s="88">
        <v>-20.595882</v>
      </c>
      <c r="R37" s="88">
        <v>-47.423771000000002</v>
      </c>
      <c r="S37" s="60"/>
      <c r="T37" s="60"/>
      <c r="U37" s="60"/>
      <c r="V37" s="60"/>
      <c r="W37" s="60"/>
      <c r="X37" s="60"/>
      <c r="Y37" s="60"/>
      <c r="Z37" s="60"/>
      <c r="AA37" s="60"/>
    </row>
    <row r="38" spans="1:27" ht="20" thickBot="1" x14ac:dyDescent="0.3">
      <c r="A38" s="60"/>
      <c r="B38" s="60"/>
      <c r="C38" s="123" t="s">
        <v>69</v>
      </c>
      <c r="D38" s="124">
        <v>28.101199999999999</v>
      </c>
      <c r="E38" s="60"/>
      <c r="F38" s="60"/>
      <c r="H38" s="104">
        <v>2.6151000000000001E-2</v>
      </c>
      <c r="I38" s="83">
        <f>H38*$H$7</f>
        <v>16.409830953</v>
      </c>
      <c r="J38" s="83">
        <f>H38*$I$7</f>
        <v>68.659450500000005</v>
      </c>
      <c r="K38" s="105">
        <f>H38*$F$7</f>
        <v>0.71158701570000005</v>
      </c>
      <c r="L38" s="85">
        <f>H38*$K$7</f>
        <v>1.1401835999999999E-19</v>
      </c>
      <c r="M38" s="60"/>
      <c r="N38" s="60"/>
      <c r="O38" s="97" t="s">
        <v>70</v>
      </c>
      <c r="P38" s="87">
        <v>1.0055799999999999</v>
      </c>
      <c r="Q38" s="88">
        <v>2.415E-3</v>
      </c>
      <c r="R38" s="88">
        <v>5.5599999999999998E-3</v>
      </c>
      <c r="S38" s="60"/>
      <c r="T38" s="60"/>
      <c r="U38" s="60"/>
      <c r="V38" s="60"/>
      <c r="W38" s="60"/>
      <c r="X38" s="60"/>
      <c r="Y38" s="60"/>
      <c r="Z38" s="60"/>
      <c r="AA38" s="60"/>
    </row>
    <row r="39" spans="1:27" ht="19" x14ac:dyDescent="0.25">
      <c r="A39" s="60"/>
      <c r="B39" s="60"/>
      <c r="C39" s="60"/>
      <c r="D39" s="60"/>
      <c r="E39" s="60"/>
      <c r="F39" s="60"/>
      <c r="J39" s="60"/>
      <c r="K39" s="60"/>
      <c r="L39" s="60"/>
      <c r="M39" s="60"/>
      <c r="N39" s="60"/>
      <c r="O39" s="125"/>
      <c r="P39" s="60"/>
      <c r="Q39" s="60"/>
      <c r="R39" s="60"/>
      <c r="S39" s="60"/>
      <c r="T39" s="60"/>
      <c r="U39" s="60"/>
      <c r="V39" s="60"/>
      <c r="W39" s="60"/>
      <c r="X39" s="60"/>
      <c r="Y39" s="60"/>
      <c r="Z39" s="60"/>
      <c r="AA39" s="60"/>
    </row>
    <row r="40" spans="1:27" ht="20" thickBot="1" x14ac:dyDescent="0.3">
      <c r="A40" s="60"/>
      <c r="B40" s="60"/>
      <c r="C40" s="60"/>
      <c r="D40" s="60"/>
      <c r="E40" s="60"/>
      <c r="F40" s="60"/>
      <c r="J40" s="60"/>
      <c r="K40" s="60"/>
      <c r="L40" s="60"/>
      <c r="M40" s="60"/>
      <c r="N40" s="60"/>
      <c r="O40" s="125"/>
      <c r="P40" s="60"/>
      <c r="Q40" s="60"/>
      <c r="R40" s="60"/>
      <c r="S40" s="60"/>
      <c r="T40" s="60"/>
      <c r="U40" s="60"/>
      <c r="V40" s="60"/>
      <c r="W40" s="60"/>
      <c r="X40" s="60"/>
      <c r="Y40" s="60"/>
      <c r="Z40" s="60"/>
      <c r="AA40" s="60"/>
    </row>
    <row r="41" spans="1:27" ht="64" customHeight="1" thickBot="1" x14ac:dyDescent="0.3">
      <c r="A41" s="60"/>
      <c r="B41" s="60"/>
      <c r="D41" s="126" t="s">
        <v>71</v>
      </c>
      <c r="E41" s="127" t="s">
        <v>72</v>
      </c>
      <c r="F41" s="128" t="s">
        <v>73</v>
      </c>
      <c r="G41" s="129" t="s">
        <v>74</v>
      </c>
      <c r="I41" s="60"/>
      <c r="J41" s="60"/>
      <c r="K41" s="60"/>
      <c r="L41" s="60"/>
      <c r="M41" s="60"/>
      <c r="N41" s="60"/>
      <c r="O41" s="60"/>
      <c r="P41" s="60"/>
      <c r="Q41" s="60"/>
      <c r="R41" s="60"/>
      <c r="S41" s="60"/>
      <c r="T41" s="60"/>
      <c r="U41" s="60"/>
      <c r="V41" s="60"/>
      <c r="W41" s="60"/>
      <c r="X41" s="60"/>
      <c r="Y41" s="60"/>
      <c r="Z41" s="60"/>
      <c r="AA41" s="60"/>
    </row>
    <row r="42" spans="1:27" ht="19" x14ac:dyDescent="0.25">
      <c r="A42" s="60"/>
      <c r="B42" s="60"/>
      <c r="C42" s="130">
        <v>1</v>
      </c>
      <c r="D42" s="131">
        <v>1938.56</v>
      </c>
      <c r="E42" s="132">
        <v>1347.3658</v>
      </c>
      <c r="F42" s="133">
        <f>E42*$L$9</f>
        <v>40393083527940</v>
      </c>
      <c r="G42" s="134">
        <v>1.1793</v>
      </c>
      <c r="H42" s="135"/>
      <c r="K42" s="60"/>
      <c r="L42" s="60"/>
      <c r="M42" s="60"/>
      <c r="N42" s="60"/>
      <c r="O42" s="60"/>
      <c r="P42" s="60"/>
      <c r="Q42" s="60"/>
      <c r="R42" s="60"/>
      <c r="S42" s="60"/>
      <c r="T42" s="60"/>
      <c r="U42" s="60"/>
      <c r="V42" s="60"/>
      <c r="W42" s="60"/>
      <c r="X42" s="60"/>
      <c r="Y42" s="60"/>
      <c r="Z42" s="60"/>
      <c r="AA42" s="60"/>
    </row>
    <row r="43" spans="1:27" ht="19" x14ac:dyDescent="0.25">
      <c r="A43" s="60"/>
      <c r="B43" s="60"/>
      <c r="C43" s="136">
        <f>C42+1</f>
        <v>2</v>
      </c>
      <c r="D43" s="137">
        <v>1938.56</v>
      </c>
      <c r="E43" s="138">
        <v>1347.367</v>
      </c>
      <c r="F43" s="139">
        <f t="shared" ref="F43:F50" si="2">E43*$L$9</f>
        <v>40393119503100</v>
      </c>
      <c r="G43" s="140">
        <v>1.1793</v>
      </c>
      <c r="H43" s="135"/>
      <c r="K43" s="60"/>
      <c r="L43" s="60"/>
      <c r="M43" s="60"/>
      <c r="N43" s="60"/>
      <c r="O43" s="60"/>
      <c r="P43" s="60"/>
      <c r="Q43" s="60"/>
      <c r="R43" s="60"/>
      <c r="S43" s="60"/>
      <c r="T43" s="60"/>
      <c r="U43" s="60"/>
      <c r="V43" s="60"/>
      <c r="W43" s="60"/>
      <c r="X43" s="60"/>
      <c r="Y43" s="60"/>
      <c r="Z43" s="60"/>
      <c r="AA43" s="60"/>
    </row>
    <row r="44" spans="1:27" ht="20" thickBot="1" x14ac:dyDescent="0.3">
      <c r="A44" s="60"/>
      <c r="B44" s="60"/>
      <c r="C44" s="136">
        <f t="shared" ref="C44:C50" si="3">C43+1</f>
        <v>3</v>
      </c>
      <c r="D44" s="137">
        <v>1939.03</v>
      </c>
      <c r="E44" s="138">
        <v>1347.6918000000001</v>
      </c>
      <c r="F44" s="139">
        <f t="shared" si="2"/>
        <v>40402856779740</v>
      </c>
      <c r="G44" s="140">
        <v>1.1793</v>
      </c>
      <c r="H44" s="135"/>
      <c r="J44" s="141" t="s">
        <v>75</v>
      </c>
      <c r="M44" s="60"/>
      <c r="N44" s="60"/>
      <c r="O44" s="60"/>
      <c r="P44" s="60"/>
      <c r="Q44" s="60"/>
      <c r="R44" s="60"/>
      <c r="S44" s="60"/>
      <c r="T44" s="60"/>
      <c r="U44" s="60"/>
      <c r="V44" s="60"/>
      <c r="W44" s="60"/>
      <c r="X44" s="60"/>
      <c r="Y44" s="60"/>
      <c r="Z44" s="60"/>
      <c r="AA44" s="60"/>
    </row>
    <row r="45" spans="1:27" ht="20" thickBot="1" x14ac:dyDescent="0.3">
      <c r="A45" s="60"/>
      <c r="B45" s="60"/>
      <c r="C45" s="136">
        <f t="shared" si="3"/>
        <v>4</v>
      </c>
      <c r="D45" s="137">
        <v>2249.91</v>
      </c>
      <c r="E45" s="138">
        <v>1563.7654</v>
      </c>
      <c r="F45" s="139">
        <f t="shared" si="2"/>
        <v>46880592056220</v>
      </c>
      <c r="G45" s="140">
        <v>1.0078</v>
      </c>
      <c r="H45" s="135"/>
      <c r="J45" s="142">
        <v>1</v>
      </c>
      <c r="K45" s="143">
        <f>J45+1</f>
        <v>2</v>
      </c>
      <c r="L45" s="144">
        <f>K45+1</f>
        <v>3</v>
      </c>
      <c r="M45" s="60"/>
      <c r="N45" s="60"/>
      <c r="O45" s="60"/>
      <c r="P45" s="60"/>
      <c r="Q45" s="60"/>
      <c r="R45" s="60"/>
      <c r="S45" s="60"/>
      <c r="T45" s="60"/>
      <c r="U45" s="60"/>
      <c r="V45" s="60"/>
      <c r="W45" s="60"/>
      <c r="X45" s="60"/>
      <c r="Y45" s="60"/>
      <c r="Z45" s="60"/>
      <c r="AA45" s="60"/>
    </row>
    <row r="46" spans="1:27" ht="20" thickBot="1" x14ac:dyDescent="0.3">
      <c r="A46" s="60"/>
      <c r="B46" s="60"/>
      <c r="C46" s="136">
        <f t="shared" si="3"/>
        <v>5</v>
      </c>
      <c r="D46" s="137">
        <v>2249.91</v>
      </c>
      <c r="E46" s="138">
        <v>1563.7666999999999</v>
      </c>
      <c r="F46" s="139">
        <f t="shared" si="2"/>
        <v>46880631029310</v>
      </c>
      <c r="G46" s="140">
        <v>1.0078</v>
      </c>
      <c r="H46" s="135"/>
      <c r="J46" s="145">
        <v>-40.5261</v>
      </c>
      <c r="K46" s="146">
        <v>-40.5261</v>
      </c>
      <c r="L46" s="147">
        <v>-40.5261</v>
      </c>
      <c r="M46" s="60"/>
      <c r="N46" s="60"/>
      <c r="O46" s="60"/>
      <c r="P46" s="60"/>
      <c r="Q46" s="60"/>
      <c r="R46" s="60"/>
      <c r="S46" s="60"/>
      <c r="T46" s="60"/>
      <c r="U46" s="60"/>
      <c r="V46" s="60"/>
      <c r="W46" s="60"/>
      <c r="X46" s="60"/>
      <c r="Y46" s="60"/>
      <c r="Z46" s="60"/>
      <c r="AA46" s="60"/>
    </row>
    <row r="47" spans="1:27" ht="19" x14ac:dyDescent="0.25">
      <c r="A47" s="60"/>
      <c r="B47" s="60"/>
      <c r="C47" s="136">
        <f t="shared" si="3"/>
        <v>6</v>
      </c>
      <c r="D47" s="137">
        <v>4369.79</v>
      </c>
      <c r="E47" s="138">
        <v>3037.1588999999999</v>
      </c>
      <c r="F47" s="139">
        <f t="shared" si="2"/>
        <v>91051897810770</v>
      </c>
      <c r="G47" s="140">
        <v>1.0078</v>
      </c>
      <c r="H47" s="135"/>
      <c r="K47" s="60"/>
      <c r="L47" s="60"/>
      <c r="M47" s="60"/>
      <c r="N47" s="60"/>
      <c r="O47" s="60"/>
      <c r="P47" s="60"/>
      <c r="Q47" s="60"/>
      <c r="R47" s="60"/>
      <c r="S47" s="60"/>
      <c r="T47" s="60"/>
      <c r="U47" s="60"/>
      <c r="V47" s="60"/>
      <c r="W47" s="60"/>
      <c r="X47" s="60"/>
      <c r="Y47" s="60"/>
      <c r="Z47" s="60"/>
      <c r="AA47" s="60"/>
    </row>
    <row r="48" spans="1:27" ht="19" x14ac:dyDescent="0.25">
      <c r="A48" s="60"/>
      <c r="B48" s="60"/>
      <c r="C48" s="136">
        <f t="shared" si="3"/>
        <v>7</v>
      </c>
      <c r="D48" s="137">
        <v>4531.91</v>
      </c>
      <c r="E48" s="138">
        <v>3149.8386</v>
      </c>
      <c r="F48" s="139">
        <f t="shared" si="2"/>
        <v>94429956340980</v>
      </c>
      <c r="G48" s="140">
        <v>1.1013999999999999</v>
      </c>
      <c r="H48" s="135"/>
      <c r="K48" s="60"/>
      <c r="L48" s="60"/>
      <c r="M48" s="60"/>
      <c r="N48" s="60"/>
      <c r="O48" s="60"/>
      <c r="P48" s="60"/>
      <c r="Q48" s="60"/>
      <c r="R48" s="60"/>
      <c r="S48" s="60"/>
      <c r="T48" s="60"/>
      <c r="U48" s="60"/>
      <c r="V48" s="60"/>
      <c r="W48" s="60"/>
      <c r="X48" s="60"/>
      <c r="Y48" s="60"/>
      <c r="Z48" s="60"/>
      <c r="AA48" s="60"/>
    </row>
    <row r="49" spans="1:32" ht="19" x14ac:dyDescent="0.25">
      <c r="A49" s="60"/>
      <c r="B49" s="60"/>
      <c r="C49" s="136">
        <f t="shared" si="3"/>
        <v>8</v>
      </c>
      <c r="D49" s="137">
        <v>4531.91</v>
      </c>
      <c r="E49" s="138">
        <v>3149.8388</v>
      </c>
      <c r="F49" s="139">
        <f t="shared" si="2"/>
        <v>94429962336840</v>
      </c>
      <c r="G49" s="140">
        <v>1.1013999999999999</v>
      </c>
      <c r="H49" s="135"/>
      <c r="K49" s="60"/>
      <c r="L49" s="60"/>
      <c r="M49" s="60"/>
      <c r="N49" s="60"/>
      <c r="O49" s="60"/>
      <c r="P49" s="60"/>
      <c r="Q49" s="60"/>
      <c r="R49" s="60"/>
      <c r="S49" s="60"/>
      <c r="T49" s="60"/>
      <c r="U49" s="60"/>
      <c r="V49" s="60"/>
      <c r="W49" s="60"/>
      <c r="X49" s="60"/>
      <c r="Y49" s="60"/>
      <c r="Z49" s="60"/>
      <c r="AA49" s="60"/>
    </row>
    <row r="50" spans="1:32" ht="20" thickBot="1" x14ac:dyDescent="0.3">
      <c r="A50" s="60"/>
      <c r="B50" s="60"/>
      <c r="C50" s="148">
        <f t="shared" si="3"/>
        <v>9</v>
      </c>
      <c r="D50" s="149">
        <v>4532.55</v>
      </c>
      <c r="E50" s="150">
        <v>3150.2815000000001</v>
      </c>
      <c r="F50" s="151">
        <f t="shared" si="2"/>
        <v>94443234172950</v>
      </c>
      <c r="G50" s="152">
        <v>1.1013999999999999</v>
      </c>
      <c r="H50" s="135"/>
      <c r="K50" s="60"/>
      <c r="L50" s="60"/>
      <c r="M50" s="60"/>
      <c r="N50" s="60"/>
      <c r="O50" s="60"/>
      <c r="P50" s="60"/>
      <c r="Q50" s="60"/>
      <c r="R50" s="60"/>
      <c r="S50" s="60"/>
      <c r="T50" s="60"/>
      <c r="U50" s="60"/>
      <c r="V50" s="60"/>
      <c r="W50" s="60"/>
      <c r="X50" s="60"/>
      <c r="Y50" s="60"/>
      <c r="Z50" s="60"/>
      <c r="AA50" s="60"/>
    </row>
    <row r="51" spans="1:32" ht="19" x14ac:dyDescent="0.25">
      <c r="A51" s="60"/>
      <c r="B51" s="60"/>
      <c r="C51" s="60"/>
      <c r="D51" s="60"/>
      <c r="E51" s="60"/>
      <c r="F51" s="60"/>
      <c r="G51" s="60"/>
      <c r="H51" s="60"/>
      <c r="K51" s="60"/>
      <c r="L51" s="60"/>
      <c r="M51" s="60"/>
      <c r="N51" s="60"/>
      <c r="O51" s="60"/>
      <c r="P51" s="60"/>
      <c r="Q51" s="60"/>
      <c r="R51" s="60"/>
      <c r="S51" s="60"/>
      <c r="T51" s="60"/>
      <c r="U51" s="60"/>
      <c r="V51" s="60"/>
      <c r="W51" s="60"/>
      <c r="X51" s="60"/>
      <c r="Y51" s="60"/>
      <c r="Z51" s="60"/>
      <c r="AA51" s="60"/>
    </row>
    <row r="52" spans="1:32" ht="19" x14ac:dyDescent="0.25">
      <c r="A52" s="60"/>
      <c r="B52" s="60"/>
      <c r="C52" s="60"/>
      <c r="D52" s="60"/>
      <c r="E52" s="60"/>
      <c r="F52" s="60"/>
      <c r="G52" s="60"/>
      <c r="H52" s="60"/>
      <c r="I52" s="60"/>
      <c r="J52" s="60"/>
      <c r="K52" s="60"/>
      <c r="L52" s="60"/>
      <c r="M52" s="60"/>
      <c r="N52" s="60"/>
      <c r="O52" s="60"/>
      <c r="P52" s="60"/>
      <c r="Q52" s="60"/>
      <c r="R52" s="60"/>
      <c r="S52" s="60"/>
      <c r="T52" s="60"/>
      <c r="U52" s="60"/>
      <c r="V52" s="60"/>
      <c r="W52" s="60"/>
      <c r="X52" s="60"/>
      <c r="Y52" s="60"/>
      <c r="Z52" s="60"/>
      <c r="AA52" s="60"/>
    </row>
    <row r="53" spans="1:32" ht="34" thickBot="1" x14ac:dyDescent="0.5">
      <c r="A53" s="361" t="s">
        <v>76</v>
      </c>
      <c r="B53" s="361"/>
      <c r="C53" s="361"/>
      <c r="D53" s="361"/>
      <c r="E53" s="361"/>
      <c r="F53" s="361"/>
      <c r="G53" s="361"/>
      <c r="H53" s="361"/>
      <c r="I53" s="361"/>
      <c r="J53" s="361"/>
      <c r="K53" s="361"/>
      <c r="L53" s="361"/>
      <c r="M53" s="361"/>
      <c r="N53" s="361"/>
      <c r="O53" s="361"/>
      <c r="P53" s="361"/>
      <c r="Q53" s="361"/>
      <c r="R53" s="361"/>
      <c r="S53" s="361"/>
      <c r="T53" s="361"/>
      <c r="U53" s="361"/>
      <c r="V53" s="361"/>
      <c r="W53" s="60"/>
      <c r="X53" s="60"/>
      <c r="Y53" s="60"/>
      <c r="Z53" s="60"/>
      <c r="AA53" s="60"/>
    </row>
    <row r="54" spans="1:32" ht="20" thickTop="1" x14ac:dyDescent="0.25">
      <c r="A54" s="60"/>
      <c r="B54" s="60"/>
      <c r="C54" s="60"/>
      <c r="D54" s="60"/>
      <c r="E54" s="60"/>
      <c r="F54" s="60"/>
      <c r="G54" s="60"/>
      <c r="H54" s="60"/>
      <c r="I54" s="60"/>
      <c r="J54" s="60"/>
      <c r="K54" s="60"/>
      <c r="L54" s="60"/>
      <c r="M54" s="60"/>
      <c r="N54" s="60"/>
      <c r="O54" s="60"/>
      <c r="P54" s="60"/>
      <c r="Q54" s="60"/>
      <c r="R54" s="60"/>
      <c r="S54" s="60"/>
      <c r="T54" s="60"/>
      <c r="U54" s="60"/>
      <c r="V54" s="60"/>
      <c r="W54" s="60"/>
      <c r="X54" s="60"/>
      <c r="Y54" s="60"/>
      <c r="Z54" s="60"/>
      <c r="AA54" s="60"/>
    </row>
    <row r="55" spans="1:32" ht="19" x14ac:dyDescent="0.25">
      <c r="A55" s="60"/>
      <c r="B55" s="60"/>
      <c r="C55" s="60"/>
      <c r="D55" s="60"/>
      <c r="E55" s="60"/>
      <c r="F55" s="60" t="s">
        <v>77</v>
      </c>
      <c r="G55" s="60"/>
      <c r="H55" s="60"/>
      <c r="I55" s="60"/>
      <c r="J55" s="60"/>
      <c r="K55" s="60"/>
      <c r="L55" s="60"/>
      <c r="M55" s="60"/>
      <c r="N55" s="60"/>
      <c r="O55" s="60"/>
      <c r="Q55" s="60"/>
      <c r="R55" s="60"/>
      <c r="S55" s="60"/>
      <c r="T55" s="60"/>
      <c r="U55" s="60"/>
      <c r="V55" s="60"/>
      <c r="W55" s="60"/>
      <c r="X55" s="60"/>
      <c r="Y55" s="60"/>
      <c r="Z55" s="60"/>
      <c r="AA55" s="60"/>
      <c r="AB55" s="60"/>
      <c r="AC55" s="60"/>
      <c r="AD55" s="60"/>
      <c r="AE55" s="60"/>
      <c r="AF55" s="60"/>
    </row>
    <row r="56" spans="1:32" ht="27" x14ac:dyDescent="0.35">
      <c r="B56" s="60"/>
      <c r="C56" s="153" t="s">
        <v>78</v>
      </c>
      <c r="D56" s="154"/>
      <c r="E56" s="60"/>
      <c r="F56" s="60"/>
      <c r="G56" s="60"/>
      <c r="H56" s="60"/>
      <c r="I56" s="60"/>
      <c r="J56" s="60"/>
      <c r="K56" s="60"/>
      <c r="L56" s="60"/>
      <c r="M56" s="60"/>
      <c r="N56" s="60"/>
      <c r="O56" s="60"/>
      <c r="Q56" s="60"/>
      <c r="R56" s="60"/>
      <c r="S56" s="60"/>
      <c r="T56" s="60"/>
      <c r="U56" s="60"/>
      <c r="V56" s="60"/>
      <c r="W56" s="60"/>
      <c r="X56" s="60"/>
      <c r="Y56" s="60"/>
      <c r="Z56" s="60"/>
      <c r="AA56" s="60"/>
      <c r="AB56" s="60"/>
      <c r="AC56" s="60"/>
      <c r="AD56" s="60"/>
      <c r="AE56" s="60"/>
      <c r="AF56" s="60"/>
    </row>
    <row r="57" spans="1:32" ht="19" x14ac:dyDescent="0.25">
      <c r="B57" s="60"/>
      <c r="C57" s="60"/>
      <c r="D57" s="60"/>
      <c r="E57" s="60"/>
      <c r="F57" s="60"/>
      <c r="G57" s="60"/>
      <c r="H57" s="60"/>
      <c r="I57" s="60"/>
      <c r="J57" s="60"/>
      <c r="K57" s="60"/>
      <c r="L57" s="60"/>
      <c r="M57" s="60"/>
      <c r="N57" s="60"/>
      <c r="O57" s="60"/>
      <c r="Q57" s="60"/>
      <c r="R57" s="60"/>
      <c r="S57" s="60"/>
      <c r="T57" s="60"/>
      <c r="U57" s="60"/>
      <c r="V57" s="60"/>
      <c r="W57" s="60"/>
      <c r="X57" s="60"/>
      <c r="Y57" s="60"/>
      <c r="Z57" s="60"/>
      <c r="AA57" s="60"/>
      <c r="AB57" s="60"/>
      <c r="AC57" s="60"/>
      <c r="AD57" s="60"/>
      <c r="AE57" s="60"/>
      <c r="AF57" s="60"/>
    </row>
    <row r="58" spans="1:32" ht="19" x14ac:dyDescent="0.25">
      <c r="B58" s="60"/>
      <c r="C58" s="60"/>
      <c r="D58" s="60"/>
      <c r="E58" s="60"/>
      <c r="F58" s="60"/>
      <c r="G58" s="60"/>
      <c r="H58" s="60"/>
      <c r="I58" s="60"/>
      <c r="J58" s="60"/>
      <c r="K58" s="60"/>
      <c r="L58" s="60"/>
      <c r="M58" s="60"/>
      <c r="N58" s="60"/>
      <c r="O58" s="60"/>
      <c r="Q58" s="60"/>
      <c r="R58" s="60"/>
      <c r="S58" s="60"/>
      <c r="T58" s="60"/>
      <c r="U58" s="60"/>
      <c r="V58" s="60"/>
      <c r="W58" s="60"/>
      <c r="X58" s="60"/>
      <c r="Y58" s="60"/>
      <c r="Z58" s="60"/>
      <c r="AA58" s="60"/>
      <c r="AB58" s="60"/>
      <c r="AC58" s="60"/>
      <c r="AD58" s="60"/>
      <c r="AE58" s="60"/>
      <c r="AF58" s="60"/>
    </row>
    <row r="59" spans="1:32" ht="19" x14ac:dyDescent="0.25">
      <c r="B59" s="60"/>
      <c r="D59" s="60"/>
      <c r="E59" s="60"/>
      <c r="F59" s="60"/>
      <c r="G59" s="60"/>
      <c r="H59" s="60"/>
      <c r="I59" s="60"/>
      <c r="J59" s="60"/>
      <c r="K59" s="60"/>
      <c r="L59" s="60"/>
      <c r="M59" s="60"/>
      <c r="N59" s="60"/>
      <c r="O59" s="60"/>
      <c r="Q59" s="60"/>
      <c r="R59" s="60"/>
      <c r="S59" s="60"/>
      <c r="T59" s="60"/>
      <c r="U59" s="60"/>
      <c r="V59" s="60"/>
      <c r="W59" s="60"/>
      <c r="X59" s="60"/>
      <c r="Y59" s="60"/>
      <c r="Z59" s="60"/>
      <c r="AA59" s="60"/>
      <c r="AB59" s="60"/>
      <c r="AC59" s="60"/>
      <c r="AD59" s="60"/>
      <c r="AE59" s="60"/>
      <c r="AF59" s="60"/>
    </row>
    <row r="60" spans="1:32" ht="19" x14ac:dyDescent="0.25">
      <c r="B60" s="60"/>
      <c r="C60" s="60"/>
      <c r="D60" s="60"/>
      <c r="E60" s="60"/>
      <c r="F60" s="60"/>
      <c r="G60" s="60"/>
      <c r="H60" s="60"/>
      <c r="I60" s="60"/>
      <c r="J60" s="60"/>
      <c r="K60" s="60"/>
      <c r="L60" s="60"/>
      <c r="M60" s="60"/>
      <c r="N60" s="60"/>
      <c r="O60" s="60"/>
      <c r="Q60" s="60"/>
      <c r="R60" s="60"/>
      <c r="S60" s="60"/>
      <c r="T60" s="60"/>
      <c r="U60" s="60"/>
      <c r="V60" s="60"/>
      <c r="W60" s="60"/>
      <c r="X60" s="60"/>
      <c r="Y60" s="60"/>
      <c r="Z60" s="60"/>
      <c r="AA60" s="60"/>
      <c r="AB60" s="60"/>
      <c r="AC60" s="60"/>
      <c r="AD60" s="60"/>
      <c r="AE60" s="60"/>
      <c r="AF60" s="60"/>
    </row>
    <row r="61" spans="1:32" ht="19" x14ac:dyDescent="0.25">
      <c r="B61" s="60"/>
      <c r="C61" s="60"/>
      <c r="D61" s="60"/>
      <c r="E61" s="60"/>
      <c r="F61" s="60"/>
      <c r="G61" s="60"/>
      <c r="H61" s="60"/>
      <c r="I61" s="60"/>
      <c r="J61" s="60"/>
      <c r="K61" s="60"/>
      <c r="L61" s="60"/>
      <c r="M61" s="60"/>
      <c r="N61" s="60"/>
      <c r="O61" s="60"/>
      <c r="Q61" s="60"/>
      <c r="R61" s="60"/>
      <c r="S61" s="60"/>
      <c r="T61" s="60"/>
      <c r="U61" s="60"/>
      <c r="V61" s="60"/>
      <c r="W61" s="60"/>
      <c r="X61" s="60"/>
      <c r="Y61" s="60"/>
      <c r="Z61" s="60"/>
      <c r="AA61" s="60"/>
      <c r="AB61" s="60"/>
      <c r="AC61" s="60"/>
      <c r="AD61" s="60"/>
      <c r="AE61" s="60"/>
      <c r="AF61" s="60"/>
    </row>
    <row r="62" spans="1:32" ht="19" x14ac:dyDescent="0.25">
      <c r="B62" s="60"/>
      <c r="C62" s="60"/>
      <c r="D62" s="60"/>
      <c r="E62" s="60"/>
      <c r="F62" s="60"/>
      <c r="G62" s="60"/>
      <c r="H62" s="60"/>
      <c r="I62" s="60"/>
      <c r="J62" s="60"/>
      <c r="K62" s="60"/>
      <c r="L62" s="60"/>
      <c r="M62" s="60"/>
      <c r="N62" s="60"/>
      <c r="O62" s="60"/>
      <c r="Q62" s="60"/>
      <c r="R62" s="60"/>
      <c r="S62" s="60"/>
      <c r="T62" s="60"/>
      <c r="U62" s="60"/>
      <c r="V62" s="60"/>
      <c r="W62" s="60"/>
      <c r="X62" s="60"/>
      <c r="Y62" s="60"/>
      <c r="Z62" s="60"/>
      <c r="AA62" s="60"/>
      <c r="AB62" s="60"/>
      <c r="AC62" s="60"/>
      <c r="AD62" s="60"/>
      <c r="AE62" s="60"/>
      <c r="AF62" s="60"/>
    </row>
    <row r="63" spans="1:32" ht="20" thickBot="1" x14ac:dyDescent="0.3">
      <c r="B63" s="60"/>
      <c r="C63" s="60"/>
      <c r="D63" s="60"/>
      <c r="E63" s="60"/>
      <c r="F63" s="60"/>
      <c r="G63" s="60"/>
      <c r="H63" s="60"/>
      <c r="I63" s="60"/>
      <c r="J63" s="60"/>
      <c r="K63" s="60"/>
      <c r="L63" s="60"/>
      <c r="M63" s="60"/>
      <c r="N63" s="60"/>
      <c r="O63" s="60"/>
      <c r="Q63" s="60"/>
      <c r="R63" s="60"/>
      <c r="S63" s="60"/>
      <c r="T63" s="60"/>
      <c r="U63" s="60"/>
      <c r="V63" s="60"/>
      <c r="W63" s="60"/>
      <c r="X63" s="60"/>
      <c r="Y63" s="60"/>
      <c r="Z63" s="60"/>
      <c r="AA63" s="60"/>
      <c r="AB63" s="60"/>
      <c r="AC63" s="60"/>
      <c r="AD63" s="60"/>
      <c r="AE63" s="60"/>
      <c r="AF63" s="60"/>
    </row>
    <row r="64" spans="1:32" ht="30" customHeight="1" thickBot="1" x14ac:dyDescent="0.35">
      <c r="B64" s="60"/>
      <c r="C64" s="155" t="s">
        <v>79</v>
      </c>
      <c r="D64" s="156" t="s">
        <v>80</v>
      </c>
      <c r="E64" s="155" t="s">
        <v>81</v>
      </c>
      <c r="F64" s="60"/>
      <c r="G64" s="60"/>
      <c r="H64" s="157" t="s">
        <v>82</v>
      </c>
      <c r="I64" s="158"/>
      <c r="J64" s="158"/>
      <c r="K64" s="158"/>
      <c r="L64" s="158"/>
      <c r="M64" s="158"/>
      <c r="N64" s="158"/>
      <c r="O64" s="60"/>
      <c r="Q64" s="60"/>
      <c r="R64" s="60"/>
      <c r="S64" s="60"/>
      <c r="T64" s="60"/>
      <c r="U64" s="60"/>
      <c r="V64" s="60"/>
      <c r="W64" s="60"/>
      <c r="X64" s="60"/>
      <c r="Y64" s="60"/>
      <c r="Z64" s="60"/>
      <c r="AA64" s="60"/>
      <c r="AB64" s="60"/>
      <c r="AC64" s="60"/>
      <c r="AD64" s="60"/>
      <c r="AE64" s="60"/>
      <c r="AF64" s="60"/>
    </row>
    <row r="65" spans="2:32" ht="20" thickBot="1" x14ac:dyDescent="0.3">
      <c r="B65" s="60"/>
      <c r="C65" s="159">
        <v>298.14999999999998</v>
      </c>
      <c r="D65" s="160">
        <f t="shared" ref="D65:D83" si="4">C65*$B$8/$B$16</f>
        <v>4.0625788058228471E-26</v>
      </c>
      <c r="E65" s="161">
        <f xml:space="preserve"> (2*PI()*$A$28*$U$9*$B$8*C65/($B$14^2))^(3/2)*D65</f>
        <v>2521719.6110947789</v>
      </c>
      <c r="F65" s="162"/>
      <c r="G65" s="60"/>
      <c r="H65" s="60"/>
      <c r="I65" s="60"/>
      <c r="J65" s="60"/>
      <c r="K65" s="60"/>
      <c r="L65" s="60"/>
      <c r="M65" s="60"/>
      <c r="N65" s="60"/>
      <c r="O65" s="60"/>
      <c r="Q65" s="60"/>
      <c r="R65" s="60"/>
      <c r="S65" s="60"/>
      <c r="T65" s="60"/>
      <c r="U65" s="60"/>
      <c r="V65" s="60"/>
      <c r="W65" s="60"/>
      <c r="X65" s="60"/>
      <c r="Y65" s="60"/>
      <c r="Z65" s="60"/>
      <c r="AA65" s="60"/>
      <c r="AB65" s="60"/>
      <c r="AC65" s="60"/>
      <c r="AD65" s="60"/>
      <c r="AE65" s="60"/>
      <c r="AF65" s="60"/>
    </row>
    <row r="66" spans="2:32" ht="20" thickBot="1" x14ac:dyDescent="0.3">
      <c r="B66" s="60"/>
      <c r="C66" s="159">
        <v>300</v>
      </c>
      <c r="D66" s="160">
        <f t="shared" si="4"/>
        <v>4.0877868245743891E-26</v>
      </c>
      <c r="E66" s="161">
        <f xml:space="preserve"> (2*PI()*$A$28*$U$9*$B$8*C66/($B$14^2))^(3/2)*D66</f>
        <v>2561019.5780483168</v>
      </c>
      <c r="F66" s="60"/>
      <c r="G66" s="60"/>
      <c r="L66" s="155" t="s">
        <v>83</v>
      </c>
      <c r="M66" s="60"/>
      <c r="N66" s="60"/>
      <c r="O66" s="60"/>
      <c r="Q66" s="60"/>
      <c r="R66" s="60"/>
      <c r="S66" s="60"/>
      <c r="T66" s="60"/>
      <c r="U66" s="60"/>
      <c r="V66" s="60"/>
      <c r="W66" s="60"/>
      <c r="X66" s="60"/>
      <c r="Y66" s="60"/>
      <c r="Z66" s="60"/>
      <c r="AA66" s="60"/>
      <c r="AB66" s="60"/>
      <c r="AC66" s="60"/>
      <c r="AD66" s="60"/>
      <c r="AE66" s="60"/>
      <c r="AF66" s="60"/>
    </row>
    <row r="67" spans="2:32" ht="19" x14ac:dyDescent="0.25">
      <c r="B67" s="60"/>
      <c r="C67" s="163">
        <f>C66+100</f>
        <v>400</v>
      </c>
      <c r="D67" s="164">
        <f t="shared" si="4"/>
        <v>5.4503824327658529E-26</v>
      </c>
      <c r="E67" s="165">
        <f t="shared" ref="E67:E83" si="5" xml:space="preserve"> (2*PI()*$A$28*$U$9*$B$8*C67/($B$14^2))^(3/2)*D67</f>
        <v>5257263.4410172841</v>
      </c>
      <c r="F67" s="60"/>
      <c r="G67" s="60"/>
      <c r="K67" s="166" t="s">
        <v>84</v>
      </c>
      <c r="L67" s="133">
        <f>$E$65</f>
        <v>2521719.6110947789</v>
      </c>
      <c r="M67" s="60"/>
      <c r="N67" s="60"/>
      <c r="O67" s="60"/>
      <c r="Q67" s="60"/>
      <c r="R67" s="60"/>
      <c r="S67" s="60"/>
      <c r="T67" s="60"/>
      <c r="U67" s="60"/>
      <c r="V67" s="60"/>
      <c r="W67" s="60"/>
      <c r="X67" s="60"/>
      <c r="Y67" s="60"/>
      <c r="Z67" s="60"/>
      <c r="AA67" s="60"/>
      <c r="AB67" s="60"/>
      <c r="AC67" s="60"/>
      <c r="AD67" s="60"/>
      <c r="AE67" s="60"/>
      <c r="AF67" s="60"/>
    </row>
    <row r="68" spans="2:32" ht="20" thickBot="1" x14ac:dyDescent="0.3">
      <c r="B68" s="60"/>
      <c r="C68" s="163">
        <f t="shared" ref="C68:C83" si="6">C67+100</f>
        <v>500</v>
      </c>
      <c r="D68" s="164">
        <f t="shared" si="4"/>
        <v>6.812978040957315E-26</v>
      </c>
      <c r="E68" s="165">
        <f t="shared" si="5"/>
        <v>9184061.2732337248</v>
      </c>
      <c r="F68" s="60"/>
      <c r="G68" s="60"/>
      <c r="K68" s="167" t="s">
        <v>85</v>
      </c>
      <c r="L68" s="151">
        <f>P33</f>
        <v>2522950</v>
      </c>
      <c r="M68" s="60"/>
      <c r="N68" s="60"/>
      <c r="O68" s="60"/>
      <c r="Q68" s="60"/>
      <c r="R68" s="60"/>
      <c r="S68" s="60"/>
      <c r="T68" s="60"/>
      <c r="U68" s="60"/>
      <c r="V68" s="60"/>
      <c r="W68" s="60"/>
      <c r="X68" s="60"/>
      <c r="Y68" s="60"/>
      <c r="Z68" s="60"/>
      <c r="AA68" s="60"/>
      <c r="AB68" s="60"/>
      <c r="AC68" s="60"/>
      <c r="AD68" s="60"/>
      <c r="AE68" s="60"/>
      <c r="AF68" s="60"/>
    </row>
    <row r="69" spans="2:32" ht="22" x14ac:dyDescent="0.3">
      <c r="B69" s="60"/>
      <c r="C69" s="163">
        <f t="shared" si="6"/>
        <v>600</v>
      </c>
      <c r="D69" s="164">
        <f t="shared" si="4"/>
        <v>8.1755736491487783E-26</v>
      </c>
      <c r="E69" s="165">
        <f t="shared" si="5"/>
        <v>14487314.483115843</v>
      </c>
      <c r="F69" s="60"/>
      <c r="G69" s="60"/>
      <c r="H69" s="60"/>
      <c r="I69" s="60"/>
      <c r="K69" s="168" t="s">
        <v>86</v>
      </c>
      <c r="L69" s="169">
        <f>ABS(L67-L68)/L67</f>
        <v>4.8791661840904269E-4</v>
      </c>
      <c r="M69" s="60"/>
      <c r="N69" s="60"/>
      <c r="O69" s="60"/>
      <c r="Q69" s="60"/>
      <c r="R69" s="60"/>
      <c r="S69" s="60"/>
      <c r="T69" s="60"/>
      <c r="U69" s="60"/>
      <c r="V69" s="60"/>
      <c r="W69" s="60"/>
      <c r="X69" s="60"/>
      <c r="Y69" s="60"/>
      <c r="Z69" s="60"/>
      <c r="AA69" s="60"/>
      <c r="AB69" s="60"/>
      <c r="AC69" s="60"/>
      <c r="AD69" s="60"/>
      <c r="AE69" s="60"/>
      <c r="AF69" s="60"/>
    </row>
    <row r="70" spans="2:32" ht="19" x14ac:dyDescent="0.25">
      <c r="B70" s="60"/>
      <c r="C70" s="163">
        <f t="shared" si="6"/>
        <v>700</v>
      </c>
      <c r="D70" s="164">
        <f t="shared" si="4"/>
        <v>9.5381692573402415E-26</v>
      </c>
      <c r="E70" s="165">
        <f t="shared" si="5"/>
        <v>21298786.576327905</v>
      </c>
      <c r="F70" s="60"/>
      <c r="G70" s="60"/>
      <c r="Q70" s="60"/>
      <c r="R70" s="60"/>
      <c r="S70" s="60"/>
      <c r="T70" s="60"/>
      <c r="U70" s="60"/>
      <c r="V70" s="60"/>
      <c r="W70" s="60"/>
      <c r="X70" s="60"/>
      <c r="Y70" s="60"/>
      <c r="Z70" s="60"/>
      <c r="AA70" s="60"/>
      <c r="AB70" s="60"/>
      <c r="AC70" s="60"/>
      <c r="AD70" s="60"/>
      <c r="AE70" s="60"/>
      <c r="AF70" s="60"/>
    </row>
    <row r="71" spans="2:32" ht="19" x14ac:dyDescent="0.25">
      <c r="B71" s="60"/>
      <c r="C71" s="163">
        <f t="shared" si="6"/>
        <v>800</v>
      </c>
      <c r="D71" s="164">
        <f t="shared" si="4"/>
        <v>1.0900764865531706E-25</v>
      </c>
      <c r="E71" s="165">
        <f t="shared" si="5"/>
        <v>29739573.03701964</v>
      </c>
      <c r="F71" s="60"/>
      <c r="G71" s="60"/>
      <c r="Q71" s="60"/>
      <c r="R71" s="60"/>
      <c r="S71" s="60"/>
      <c r="T71" s="60"/>
      <c r="U71" s="60"/>
      <c r="V71" s="60"/>
      <c r="W71" s="60"/>
      <c r="X71" s="60"/>
      <c r="Y71" s="60"/>
      <c r="Z71" s="60"/>
      <c r="AA71" s="60"/>
      <c r="AB71" s="60"/>
      <c r="AC71" s="60"/>
      <c r="AD71" s="60"/>
      <c r="AE71" s="60"/>
      <c r="AF71" s="60"/>
    </row>
    <row r="72" spans="2:32" ht="19" x14ac:dyDescent="0.25">
      <c r="B72" s="60"/>
      <c r="C72" s="163">
        <f t="shared" si="6"/>
        <v>900</v>
      </c>
      <c r="D72" s="164">
        <f t="shared" si="4"/>
        <v>1.2263360473723168E-25</v>
      </c>
      <c r="E72" s="165">
        <f t="shared" si="5"/>
        <v>39922344.255225062</v>
      </c>
      <c r="F72" s="60"/>
      <c r="G72" s="60"/>
      <c r="Q72" s="60"/>
      <c r="R72" s="60"/>
      <c r="S72" s="60"/>
      <c r="T72" s="60"/>
      <c r="U72" s="60"/>
      <c r="V72" s="60"/>
      <c r="W72" s="60"/>
      <c r="X72" s="60"/>
      <c r="Y72" s="60"/>
      <c r="Z72" s="60"/>
      <c r="AA72" s="60"/>
      <c r="AB72" s="60"/>
      <c r="AC72" s="60"/>
      <c r="AD72" s="60"/>
      <c r="AE72" s="60"/>
      <c r="AF72" s="60"/>
    </row>
    <row r="73" spans="2:32" ht="19" x14ac:dyDescent="0.25">
      <c r="C73" s="163">
        <f t="shared" si="6"/>
        <v>1000</v>
      </c>
      <c r="D73" s="164">
        <f t="shared" si="4"/>
        <v>1.362595608191463E-25</v>
      </c>
      <c r="E73" s="165">
        <f t="shared" si="5"/>
        <v>51952896.041090004</v>
      </c>
    </row>
    <row r="74" spans="2:32" ht="19" x14ac:dyDescent="0.25">
      <c r="C74" s="163">
        <f t="shared" si="6"/>
        <v>1100</v>
      </c>
      <c r="D74" s="164">
        <f t="shared" si="4"/>
        <v>1.4988551690106094E-25</v>
      </c>
      <c r="E74" s="165">
        <f t="shared" si="5"/>
        <v>65931275.037711106</v>
      </c>
    </row>
    <row r="75" spans="2:32" ht="19" x14ac:dyDescent="0.25">
      <c r="C75" s="163">
        <f t="shared" si="6"/>
        <v>1200</v>
      </c>
      <c r="D75" s="164">
        <f t="shared" si="4"/>
        <v>1.6351147298297557E-25</v>
      </c>
      <c r="E75" s="165">
        <f t="shared" si="5"/>
        <v>81952626.497546583</v>
      </c>
    </row>
    <row r="76" spans="2:32" ht="19" x14ac:dyDescent="0.25">
      <c r="C76" s="163">
        <f t="shared" si="6"/>
        <v>1300</v>
      </c>
      <c r="D76" s="164">
        <f t="shared" si="4"/>
        <v>1.7713742906489019E-25</v>
      </c>
      <c r="E76" s="165">
        <f t="shared" si="5"/>
        <v>100107851.90564039</v>
      </c>
    </row>
    <row r="77" spans="2:32" ht="19" x14ac:dyDescent="0.25">
      <c r="C77" s="163">
        <f t="shared" si="6"/>
        <v>1400</v>
      </c>
      <c r="D77" s="164">
        <f t="shared" si="4"/>
        <v>1.9076338514680483E-25</v>
      </c>
      <c r="E77" s="165">
        <f t="shared" si="5"/>
        <v>120484131.35333039</v>
      </c>
    </row>
    <row r="78" spans="2:32" ht="19" x14ac:dyDescent="0.25">
      <c r="C78" s="163">
        <f t="shared" si="6"/>
        <v>1500</v>
      </c>
      <c r="D78" s="164">
        <f t="shared" si="4"/>
        <v>2.043893412287195E-25</v>
      </c>
      <c r="E78" s="165">
        <f t="shared" si="5"/>
        <v>143165346.70559824</v>
      </c>
    </row>
    <row r="79" spans="2:32" ht="19" x14ac:dyDescent="0.25">
      <c r="C79" s="163">
        <f t="shared" si="6"/>
        <v>1600</v>
      </c>
      <c r="D79" s="164">
        <f t="shared" si="4"/>
        <v>2.1801529731063412E-25</v>
      </c>
      <c r="E79" s="165">
        <f t="shared" si="5"/>
        <v>168232430.11255404</v>
      </c>
    </row>
    <row r="80" spans="2:32" ht="19" x14ac:dyDescent="0.25">
      <c r="C80" s="163">
        <f t="shared" si="6"/>
        <v>1700</v>
      </c>
      <c r="D80" s="164">
        <f t="shared" si="4"/>
        <v>2.3164125339254876E-25</v>
      </c>
      <c r="E80" s="165">
        <f t="shared" si="5"/>
        <v>195763655.11076817</v>
      </c>
    </row>
    <row r="81" spans="3:31" ht="19" x14ac:dyDescent="0.25">
      <c r="C81" s="163">
        <f t="shared" si="6"/>
        <v>1800</v>
      </c>
      <c r="D81" s="164">
        <f t="shared" si="4"/>
        <v>2.4526720947446336E-25</v>
      </c>
      <c r="E81" s="165">
        <f t="shared" si="5"/>
        <v>225834882.74986503</v>
      </c>
    </row>
    <row r="82" spans="3:31" ht="19" x14ac:dyDescent="0.25">
      <c r="C82" s="163">
        <f t="shared" si="6"/>
        <v>1900</v>
      </c>
      <c r="D82" s="164">
        <f t="shared" si="4"/>
        <v>2.58893165556378E-25</v>
      </c>
      <c r="E82" s="165">
        <f t="shared" si="5"/>
        <v>258519771.9152036</v>
      </c>
    </row>
    <row r="83" spans="3:31" ht="20" thickBot="1" x14ac:dyDescent="0.3">
      <c r="C83" s="170">
        <f t="shared" si="6"/>
        <v>2000</v>
      </c>
      <c r="D83" s="171">
        <f t="shared" si="4"/>
        <v>2.725191216382926E-25</v>
      </c>
      <c r="E83" s="172">
        <f t="shared" si="5"/>
        <v>293889960.74347669</v>
      </c>
    </row>
    <row r="92" spans="3:31" ht="22" customHeight="1" x14ac:dyDescent="0.25">
      <c r="F92" s="60" t="s">
        <v>77</v>
      </c>
      <c r="AD92" s="60" t="s">
        <v>77</v>
      </c>
    </row>
    <row r="93" spans="3:31" ht="27" x14ac:dyDescent="0.35">
      <c r="C93" s="153" t="s">
        <v>87</v>
      </c>
      <c r="D93" s="173"/>
      <c r="E93" s="60"/>
      <c r="F93" s="60"/>
      <c r="G93" s="60"/>
      <c r="Z93" s="356" t="s">
        <v>137</v>
      </c>
      <c r="AA93" s="356"/>
      <c r="AB93" s="356"/>
      <c r="AC93" s="60"/>
      <c r="AD93" s="60"/>
      <c r="AE93" s="60"/>
    </row>
    <row r="94" spans="3:31" ht="19" x14ac:dyDescent="0.25">
      <c r="E94" s="60"/>
      <c r="G94" s="60"/>
      <c r="AC94" s="60"/>
      <c r="AE94" s="60"/>
    </row>
    <row r="95" spans="3:31" ht="20" thickBot="1" x14ac:dyDescent="0.3">
      <c r="E95" s="60"/>
      <c r="F95" s="60"/>
      <c r="G95" s="60"/>
    </row>
    <row r="96" spans="3:31" ht="20" thickBot="1" x14ac:dyDescent="0.3">
      <c r="C96" s="174" t="s">
        <v>88</v>
      </c>
      <c r="E96" s="60"/>
      <c r="F96" s="60"/>
      <c r="G96" s="60"/>
    </row>
    <row r="97" spans="3:39" ht="22" thickBot="1" x14ac:dyDescent="0.3">
      <c r="C97" s="175" t="s">
        <v>89</v>
      </c>
      <c r="D97" s="176" cm="1">
        <f t="array" ref="D97">INDEX($E:$E,(COLUMN(D97)-4)*1+42)</f>
        <v>1347.3658</v>
      </c>
      <c r="E97" s="176" cm="1">
        <f t="array" ref="E97">INDEX($E:$E,(COLUMN(E97)-4)*1+42)</f>
        <v>1347.367</v>
      </c>
      <c r="F97" s="176" cm="1">
        <f t="array" ref="F97">INDEX($E:$E,(COLUMN(F97)-4)*1+42)</f>
        <v>1347.6918000000001</v>
      </c>
      <c r="G97" s="176" cm="1">
        <f t="array" ref="G97">INDEX($E:$E,(COLUMN(G97)-4)*1+42)</f>
        <v>1563.7654</v>
      </c>
      <c r="H97" s="176" cm="1">
        <f t="array" ref="H97">INDEX($E:$E,(COLUMN(H97)-4)*1+42)</f>
        <v>1563.7666999999999</v>
      </c>
      <c r="I97" s="176" cm="1">
        <f t="array" ref="I97">INDEX($E:$E,(COLUMN(I97)-4)*1+42)</f>
        <v>3037.1588999999999</v>
      </c>
      <c r="J97" s="176" cm="1">
        <f t="array" ref="J97">INDEX($E:$E,(COLUMN(J97)-4)*1+42)</f>
        <v>3149.8386</v>
      </c>
      <c r="K97" s="176" cm="1">
        <f t="array" ref="K97">INDEX($E:$E,(COLUMN(K97)-4)*1+42)</f>
        <v>3149.8388</v>
      </c>
      <c r="L97" s="176" cm="1">
        <f t="array" ref="L97">INDEX($E:$E,(COLUMN(L97)-4)*1+42)</f>
        <v>3150.2815000000001</v>
      </c>
    </row>
    <row r="98" spans="3:39" ht="20" thickBot="1" x14ac:dyDescent="0.3">
      <c r="C98" s="177" t="s">
        <v>90</v>
      </c>
      <c r="D98" s="178">
        <f>D97*$L$9</f>
        <v>40393083527940</v>
      </c>
      <c r="E98" s="179">
        <f t="shared" ref="E98:L98" si="7">E97*$L$9</f>
        <v>40393119503100</v>
      </c>
      <c r="F98" s="179">
        <f t="shared" si="7"/>
        <v>40402856779740</v>
      </c>
      <c r="G98" s="179">
        <f t="shared" si="7"/>
        <v>46880592056220</v>
      </c>
      <c r="H98" s="179">
        <f t="shared" si="7"/>
        <v>46880631029310</v>
      </c>
      <c r="I98" s="179">
        <f t="shared" si="7"/>
        <v>91051897810770</v>
      </c>
      <c r="J98" s="179">
        <f t="shared" si="7"/>
        <v>94429956340980</v>
      </c>
      <c r="K98" s="179">
        <f t="shared" si="7"/>
        <v>94429962336840</v>
      </c>
      <c r="L98" s="180">
        <f t="shared" si="7"/>
        <v>94443234172950</v>
      </c>
    </row>
    <row r="99" spans="3:39" ht="17" thickBot="1" x14ac:dyDescent="0.25"/>
    <row r="100" spans="3:39" ht="30" customHeight="1" thickBot="1" x14ac:dyDescent="0.5">
      <c r="C100" s="362" t="s">
        <v>91</v>
      </c>
      <c r="D100" s="363"/>
      <c r="E100" s="363"/>
      <c r="F100" s="363"/>
      <c r="G100" s="363"/>
      <c r="H100" s="363"/>
      <c r="I100" s="363"/>
      <c r="J100" s="363"/>
      <c r="K100" s="363"/>
      <c r="L100" s="364"/>
      <c r="M100" s="181" t="s">
        <v>92</v>
      </c>
    </row>
    <row r="101" spans="3:39" ht="38" customHeight="1" thickBot="1" x14ac:dyDescent="0.35">
      <c r="C101" s="182" t="s">
        <v>93</v>
      </c>
      <c r="D101" s="183">
        <v>1</v>
      </c>
      <c r="E101" s="184">
        <f t="shared" ref="E101:L101" si="8">D101+1</f>
        <v>2</v>
      </c>
      <c r="F101" s="184">
        <f t="shared" si="8"/>
        <v>3</v>
      </c>
      <c r="G101" s="184">
        <f t="shared" si="8"/>
        <v>4</v>
      </c>
      <c r="H101" s="184">
        <f t="shared" si="8"/>
        <v>5</v>
      </c>
      <c r="I101" s="184">
        <f t="shared" si="8"/>
        <v>6</v>
      </c>
      <c r="J101" s="184">
        <f t="shared" si="8"/>
        <v>7</v>
      </c>
      <c r="K101" s="184">
        <f t="shared" si="8"/>
        <v>8</v>
      </c>
      <c r="L101" s="185">
        <f t="shared" si="8"/>
        <v>9</v>
      </c>
      <c r="M101" s="186"/>
      <c r="P101" s="157" t="s">
        <v>82</v>
      </c>
      <c r="Q101" s="158"/>
      <c r="R101" s="158"/>
      <c r="S101" s="158"/>
      <c r="T101" s="158"/>
      <c r="U101" s="60"/>
      <c r="V101" s="60"/>
      <c r="Z101" s="297" t="s">
        <v>79</v>
      </c>
      <c r="AA101" s="294" t="s">
        <v>138</v>
      </c>
      <c r="AB101" s="295" t="s">
        <v>139</v>
      </c>
      <c r="AC101" s="295" t="s">
        <v>142</v>
      </c>
      <c r="AD101" s="295" t="s">
        <v>140</v>
      </c>
      <c r="AE101" s="296" t="s">
        <v>141</v>
      </c>
      <c r="AG101" s="357" t="s">
        <v>82</v>
      </c>
      <c r="AH101" s="357"/>
      <c r="AI101" s="357"/>
      <c r="AJ101" s="357"/>
      <c r="AK101" s="357"/>
      <c r="AL101" s="357"/>
      <c r="AM101" s="357"/>
    </row>
    <row r="102" spans="3:39" ht="20" thickBot="1" x14ac:dyDescent="0.3">
      <c r="C102" s="187">
        <v>298.14999999999998</v>
      </c>
      <c r="D102" s="188">
        <f>EXP(-($B$14*D$98)/(2*$B$8*$C102))/(1-EXP(-($B$14*D$98)/($B$8*$C102)))</f>
        <v>3.8794382723519837E-2</v>
      </c>
      <c r="E102" s="189">
        <f t="shared" ref="E102:K102" si="9">EXP(-($B$14*E$98)/(2*$B$8*$C102))/(1-EXP(-($B$14*E$98)/($B$8*$C102)))</f>
        <v>3.8794270060409024E-2</v>
      </c>
      <c r="F102" s="189">
        <f t="shared" si="9"/>
        <v>3.8763788009673852E-2</v>
      </c>
      <c r="G102" s="189">
        <f t="shared" si="9"/>
        <v>2.2992404629754829E-2</v>
      </c>
      <c r="H102" s="189">
        <f t="shared" si="9"/>
        <v>2.2992332433490199E-2</v>
      </c>
      <c r="I102" s="189">
        <f t="shared" si="9"/>
        <v>6.567641556235118E-4</v>
      </c>
      <c r="J102" s="189">
        <f t="shared" si="9"/>
        <v>5.0041934397828845E-4</v>
      </c>
      <c r="K102" s="189">
        <f t="shared" si="9"/>
        <v>5.0041910249161577E-4</v>
      </c>
      <c r="L102" s="190">
        <f>EXP(-($B$14*L$98)/(2*$B$8*$C102))/(1-EXP(-($B$14*L$98)/($B$8*$C102)))</f>
        <v>4.9988485725294541E-4</v>
      </c>
      <c r="M102" s="191">
        <f xml:space="preserve"> PRODUCT(D102:L102)</f>
        <v>2.5355808117016426E-21</v>
      </c>
      <c r="Z102" s="187">
        <v>298.14999999999998</v>
      </c>
      <c r="AA102" s="304">
        <f>$E65</f>
        <v>2521719.6110947789</v>
      </c>
      <c r="AB102" s="305">
        <f>$M102</f>
        <v>2.5355808117016426E-21</v>
      </c>
      <c r="AC102" s="306">
        <f>$E137</f>
        <v>146.40315964100756</v>
      </c>
      <c r="AD102" s="307">
        <f>$D175</f>
        <v>1</v>
      </c>
      <c r="AE102" s="235">
        <f>PRODUCT(AA102:AD102)</f>
        <v>9.3610529568735256E-13</v>
      </c>
    </row>
    <row r="103" spans="3:39" ht="20" thickBot="1" x14ac:dyDescent="0.3">
      <c r="C103" s="192">
        <v>300</v>
      </c>
      <c r="D103" s="193">
        <f t="shared" ref="D103:L120" si="10">EXP(-($B$14*D$98)/(2*$B$8*$C103))/(1-EXP(-($B$14*D$98)/($B$8*$C103)))</f>
        <v>3.9582403333086547E-2</v>
      </c>
      <c r="E103" s="194">
        <f t="shared" si="10"/>
        <v>3.9582289076318847E-2</v>
      </c>
      <c r="F103" s="194">
        <f t="shared" si="10"/>
        <v>3.9551375775728002E-2</v>
      </c>
      <c r="G103" s="194">
        <f t="shared" si="10"/>
        <v>2.3534246728414001E-2</v>
      </c>
      <c r="H103" s="194">
        <f t="shared" si="10"/>
        <v>2.3534173282768932E-2</v>
      </c>
      <c r="I103" s="194">
        <f t="shared" si="10"/>
        <v>6.8712450347073245E-4</v>
      </c>
      <c r="J103" s="194">
        <f t="shared" si="10"/>
        <v>5.2443082053961346E-4</v>
      </c>
      <c r="K103" s="194">
        <f t="shared" si="10"/>
        <v>5.2443056902636519E-4</v>
      </c>
      <c r="L103" s="195">
        <f t="shared" si="10"/>
        <v>5.2387413998367658E-4</v>
      </c>
      <c r="M103" s="196">
        <f t="shared" ref="M103:M120" si="11" xml:space="preserve"> PRODUCT(D103:L103)</f>
        <v>3.3978367772632512E-21</v>
      </c>
      <c r="R103" s="155" t="s">
        <v>83</v>
      </c>
      <c r="Z103" s="192">
        <v>300</v>
      </c>
      <c r="AA103" s="308">
        <f t="shared" ref="AA103:AA120" si="12">$E66</f>
        <v>2561019.5780483168</v>
      </c>
      <c r="AB103" s="60">
        <f t="shared" ref="AB103:AB120" si="13">$M103</f>
        <v>3.3978367772632512E-21</v>
      </c>
      <c r="AC103" s="162">
        <f t="shared" ref="AC103:AC120" si="14">$E138</f>
        <v>147.76790334428063</v>
      </c>
      <c r="AD103" s="309">
        <f t="shared" ref="AD103:AD120" si="15">$D176</f>
        <v>1</v>
      </c>
      <c r="AE103" s="314">
        <f t="shared" ref="AE103:AE120" si="16">PRODUCT(AA103:AD103)</f>
        <v>1.28586543537721E-12</v>
      </c>
    </row>
    <row r="104" spans="3:39" ht="20" thickBot="1" x14ac:dyDescent="0.3">
      <c r="C104" s="197">
        <f>C103+100</f>
        <v>400</v>
      </c>
      <c r="D104" s="193">
        <f t="shared" si="10"/>
        <v>8.9339402048870684E-2</v>
      </c>
      <c r="E104" s="194">
        <f t="shared" si="10"/>
        <v>8.9339206186101403E-2</v>
      </c>
      <c r="F104" s="194">
        <f t="shared" si="10"/>
        <v>8.9286208935124636E-2</v>
      </c>
      <c r="G104" s="194">
        <f t="shared" si="10"/>
        <v>6.0278781274939429E-2</v>
      </c>
      <c r="H104" s="194">
        <f t="shared" si="10"/>
        <v>6.0278639321990457E-2</v>
      </c>
      <c r="I104" s="194">
        <f t="shared" si="10"/>
        <v>4.2440866850480567E-3</v>
      </c>
      <c r="J104" s="194">
        <f t="shared" si="10"/>
        <v>3.465542916930043E-3</v>
      </c>
      <c r="K104" s="194">
        <f t="shared" si="10"/>
        <v>3.4655416703636265E-3</v>
      </c>
      <c r="L104" s="195">
        <f t="shared" si="10"/>
        <v>3.4627834943265433E-3</v>
      </c>
      <c r="M104" s="196">
        <f t="shared" si="11"/>
        <v>4.5703494617055732E-16</v>
      </c>
      <c r="Q104" s="166" t="s">
        <v>84</v>
      </c>
      <c r="R104" s="133">
        <f>M102</f>
        <v>2.5355808117016426E-21</v>
      </c>
      <c r="Z104" s="197">
        <f>Z103+100</f>
        <v>400</v>
      </c>
      <c r="AA104" s="308">
        <f t="shared" si="12"/>
        <v>5257263.4410172841</v>
      </c>
      <c r="AB104" s="60">
        <f t="shared" si="13"/>
        <v>4.5703494617055732E-16</v>
      </c>
      <c r="AC104" s="162">
        <f t="shared" si="14"/>
        <v>227.50357006241873</v>
      </c>
      <c r="AD104" s="309">
        <f t="shared" si="15"/>
        <v>1</v>
      </c>
      <c r="AE104" s="314">
        <f t="shared" si="16"/>
        <v>5.4663491136121635E-7</v>
      </c>
    </row>
    <row r="105" spans="3:39" ht="20" thickBot="1" x14ac:dyDescent="0.3">
      <c r="C105" s="197">
        <f t="shared" ref="C105:C120" si="17">C104+100</f>
        <v>500</v>
      </c>
      <c r="D105" s="193">
        <f t="shared" si="10"/>
        <v>0.14695448193616842</v>
      </c>
      <c r="E105" s="194">
        <f t="shared" si="10"/>
        <v>0.14695421748297482</v>
      </c>
      <c r="F105" s="194">
        <f t="shared" si="10"/>
        <v>0.14688265770253056</v>
      </c>
      <c r="G105" s="194">
        <f t="shared" si="10"/>
        <v>0.1065929344972231</v>
      </c>
      <c r="H105" s="194">
        <f t="shared" si="10"/>
        <v>0.10659273064456461</v>
      </c>
      <c r="I105" s="194">
        <f t="shared" si="10"/>
        <v>1.2655831469191825E-2</v>
      </c>
      <c r="J105" s="194">
        <f t="shared" si="10"/>
        <v>1.0761260316626662E-2</v>
      </c>
      <c r="K105" s="194">
        <f t="shared" si="10"/>
        <v>1.0761257219297136E-2</v>
      </c>
      <c r="L105" s="195">
        <f t="shared" si="10"/>
        <v>1.0754403465856505E-2</v>
      </c>
      <c r="M105" s="196">
        <f t="shared" si="11"/>
        <v>5.6806048065785407E-13</v>
      </c>
      <c r="Q105" s="167" t="s">
        <v>85</v>
      </c>
      <c r="R105" s="151">
        <f>P37</f>
        <v>2.5358200000000001E-21</v>
      </c>
      <c r="Z105" s="197">
        <f t="shared" ref="Z105:Z120" si="18">Z104+100</f>
        <v>500</v>
      </c>
      <c r="AA105" s="308">
        <f t="shared" si="12"/>
        <v>9184061.2732337248</v>
      </c>
      <c r="AB105" s="60">
        <f t="shared" si="13"/>
        <v>5.6806048065785407E-13</v>
      </c>
      <c r="AC105" s="162">
        <f t="shared" si="14"/>
        <v>317.9459048646591</v>
      </c>
      <c r="AD105" s="309">
        <f t="shared" si="15"/>
        <v>1</v>
      </c>
      <c r="AE105" s="314">
        <f t="shared" si="16"/>
        <v>1.6587562992291475E-3</v>
      </c>
      <c r="AJ105" s="155" t="s">
        <v>83</v>
      </c>
      <c r="AK105" s="315" t="s">
        <v>143</v>
      </c>
    </row>
    <row r="106" spans="3:39" ht="22" x14ac:dyDescent="0.3">
      <c r="C106" s="197">
        <f t="shared" si="17"/>
        <v>600</v>
      </c>
      <c r="D106" s="193">
        <f t="shared" si="10"/>
        <v>0.20697771787248395</v>
      </c>
      <c r="E106" s="194">
        <f t="shared" si="10"/>
        <v>0.20697739557121578</v>
      </c>
      <c r="F106" s="194">
        <f t="shared" si="10"/>
        <v>0.20689018050808727</v>
      </c>
      <c r="G106" s="194">
        <f t="shared" si="10"/>
        <v>0.15706057186864392</v>
      </c>
      <c r="H106" s="194">
        <f t="shared" si="10"/>
        <v>0.1570603152686037</v>
      </c>
      <c r="I106" s="194">
        <f t="shared" si="10"/>
        <v>2.6231077607963546E-2</v>
      </c>
      <c r="J106" s="194">
        <f t="shared" si="10"/>
        <v>2.2912467444092255E-2</v>
      </c>
      <c r="K106" s="194">
        <f t="shared" si="10"/>
        <v>2.2912461944001546E-2</v>
      </c>
      <c r="L106" s="195">
        <f t="shared" si="10"/>
        <v>2.2900290735294912E-2</v>
      </c>
      <c r="M106" s="196">
        <f t="shared" si="11"/>
        <v>6.8947857557642675E-11</v>
      </c>
      <c r="Q106" s="168" t="s">
        <v>86</v>
      </c>
      <c r="R106" s="169">
        <f>ABS(R104-R105)/R104</f>
        <v>9.4332745086922056E-5</v>
      </c>
      <c r="Z106" s="197">
        <f t="shared" si="18"/>
        <v>600</v>
      </c>
      <c r="AA106" s="308">
        <f t="shared" si="12"/>
        <v>14487314.483115843</v>
      </c>
      <c r="AB106" s="60">
        <f t="shared" si="13"/>
        <v>6.8947857557642675E-11</v>
      </c>
      <c r="AC106" s="162">
        <f t="shared" si="14"/>
        <v>417.95074598583614</v>
      </c>
      <c r="AD106" s="309">
        <f t="shared" si="15"/>
        <v>1</v>
      </c>
      <c r="AE106" s="314">
        <f t="shared" si="16"/>
        <v>0.41747816714417929</v>
      </c>
      <c r="AI106" s="166" t="s">
        <v>84</v>
      </c>
      <c r="AJ106" s="133">
        <f>AE102</f>
        <v>9.3610529568735256E-13</v>
      </c>
      <c r="AK106" s="270">
        <f>L139*AA102*AB102*AD102</f>
        <v>1.5785178135065251E-12</v>
      </c>
    </row>
    <row r="107" spans="3:39" ht="20" thickBot="1" x14ac:dyDescent="0.3">
      <c r="C107" s="197">
        <f t="shared" si="17"/>
        <v>700</v>
      </c>
      <c r="D107" s="193">
        <f t="shared" si="10"/>
        <v>0.26715332756379268</v>
      </c>
      <c r="E107" s="194">
        <f t="shared" si="10"/>
        <v>0.26715295402090045</v>
      </c>
      <c r="F107" s="194">
        <f t="shared" si="10"/>
        <v>0.26705187187352658</v>
      </c>
      <c r="G107" s="194">
        <f t="shared" si="10"/>
        <v>0.20886641046613452</v>
      </c>
      <c r="H107" s="194">
        <f t="shared" si="10"/>
        <v>0.20886610805068118</v>
      </c>
      <c r="I107" s="194">
        <f t="shared" si="10"/>
        <v>4.4186452213235645E-2</v>
      </c>
      <c r="J107" s="194">
        <f t="shared" si="10"/>
        <v>3.9338932965164629E-2</v>
      </c>
      <c r="K107" s="194">
        <f t="shared" si="10"/>
        <v>3.93389248544651E-2</v>
      </c>
      <c r="L107" s="195">
        <f t="shared" si="10"/>
        <v>3.9320975944057361E-2</v>
      </c>
      <c r="M107" s="196">
        <f t="shared" si="11"/>
        <v>2.2356883107766513E-9</v>
      </c>
      <c r="Z107" s="197">
        <f t="shared" si="18"/>
        <v>700</v>
      </c>
      <c r="AA107" s="308">
        <f t="shared" si="12"/>
        <v>21298786.576327905</v>
      </c>
      <c r="AB107" s="60">
        <f t="shared" si="13"/>
        <v>2.2356883107766513E-9</v>
      </c>
      <c r="AC107" s="162">
        <f t="shared" si="14"/>
        <v>526.67813516895399</v>
      </c>
      <c r="AD107" s="309">
        <f t="shared" si="15"/>
        <v>1</v>
      </c>
      <c r="AE107" s="314">
        <f t="shared" si="16"/>
        <v>25.079068810222818</v>
      </c>
      <c r="AI107" s="167" t="s">
        <v>85</v>
      </c>
      <c r="AJ107" s="151">
        <f>$P35</f>
        <v>9.3664799999999991E-13</v>
      </c>
      <c r="AK107" s="151">
        <f>$P35</f>
        <v>9.3664799999999991E-13</v>
      </c>
    </row>
    <row r="108" spans="3:39" ht="22" x14ac:dyDescent="0.3">
      <c r="C108" s="197">
        <f t="shared" si="17"/>
        <v>800</v>
      </c>
      <c r="D108" s="193">
        <f t="shared" si="10"/>
        <v>0.32667626947425593</v>
      </c>
      <c r="E108" s="194">
        <f t="shared" si="10"/>
        <v>0.32667584839446356</v>
      </c>
      <c r="F108" s="194">
        <f t="shared" si="10"/>
        <v>0.32656190204975155</v>
      </c>
      <c r="G108" s="194">
        <f t="shared" si="10"/>
        <v>0.26073418209357613</v>
      </c>
      <c r="H108" s="194">
        <f t="shared" si="10"/>
        <v>0.26073383834077135</v>
      </c>
      <c r="I108" s="194">
        <f t="shared" si="10"/>
        <v>6.5423727478342172E-2</v>
      </c>
      <c r="J108" s="194">
        <f t="shared" si="10"/>
        <v>5.9073226876514638E-2</v>
      </c>
      <c r="K108" s="194">
        <f t="shared" si="10"/>
        <v>5.907321617846633E-2</v>
      </c>
      <c r="L108" s="195">
        <f t="shared" si="10"/>
        <v>5.9049540861535375E-2</v>
      </c>
      <c r="M108" s="196">
        <f t="shared" si="11"/>
        <v>3.1939537355046428E-8</v>
      </c>
      <c r="Z108" s="197">
        <f t="shared" si="18"/>
        <v>800</v>
      </c>
      <c r="AA108" s="308">
        <f t="shared" si="12"/>
        <v>29739573.03701964</v>
      </c>
      <c r="AB108" s="60">
        <f t="shared" si="13"/>
        <v>3.1939537355046428E-8</v>
      </c>
      <c r="AC108" s="162">
        <f t="shared" si="14"/>
        <v>643.47726854113989</v>
      </c>
      <c r="AD108" s="309">
        <f t="shared" si="15"/>
        <v>1</v>
      </c>
      <c r="AE108" s="314">
        <f t="shared" si="16"/>
        <v>611.21859734475925</v>
      </c>
      <c r="AI108" s="168" t="s">
        <v>86</v>
      </c>
      <c r="AJ108" s="169">
        <f>ABS(AJ106-AJ107)/AJ106</f>
        <v>5.7974708096150088E-4</v>
      </c>
      <c r="AK108" s="169">
        <f>ABS(AK106-AK107)/AK106</f>
        <v>0.40662817233634718</v>
      </c>
    </row>
    <row r="109" spans="3:39" ht="19" x14ac:dyDescent="0.25">
      <c r="C109" s="197">
        <f t="shared" si="17"/>
        <v>900</v>
      </c>
      <c r="D109" s="193">
        <f t="shared" si="10"/>
        <v>0.38533113461137952</v>
      </c>
      <c r="E109" s="194">
        <f t="shared" si="10"/>
        <v>0.3853306679847</v>
      </c>
      <c r="F109" s="194">
        <f t="shared" si="10"/>
        <v>0.38520439620672259</v>
      </c>
      <c r="G109" s="194">
        <f t="shared" si="10"/>
        <v>0.3121437800099261</v>
      </c>
      <c r="H109" s="194">
        <f t="shared" si="10"/>
        <v>0.31214339763891252</v>
      </c>
      <c r="I109" s="194">
        <f t="shared" si="10"/>
        <v>8.8935139924169446E-2</v>
      </c>
      <c r="J109" s="194">
        <f t="shared" si="10"/>
        <v>8.1170124483287781E-2</v>
      </c>
      <c r="K109" s="194">
        <f t="shared" si="10"/>
        <v>8.1170111337212678E-2</v>
      </c>
      <c r="L109" s="195">
        <f t="shared" si="10"/>
        <v>8.1141017851343186E-2</v>
      </c>
      <c r="M109" s="196">
        <f t="shared" si="11"/>
        <v>2.6495611538135276E-7</v>
      </c>
      <c r="Z109" s="197">
        <f t="shared" si="18"/>
        <v>900</v>
      </c>
      <c r="AA109" s="308">
        <f t="shared" si="12"/>
        <v>39922344.255225062</v>
      </c>
      <c r="AB109" s="60">
        <f t="shared" si="13"/>
        <v>2.6495611538135276E-7</v>
      </c>
      <c r="AC109" s="162">
        <f t="shared" si="14"/>
        <v>767.82454896066304</v>
      </c>
      <c r="AD109" s="309">
        <f t="shared" si="15"/>
        <v>1</v>
      </c>
      <c r="AE109" s="314">
        <f t="shared" si="16"/>
        <v>8121.7941215363771</v>
      </c>
    </row>
    <row r="110" spans="3:39" ht="19" x14ac:dyDescent="0.25">
      <c r="C110" s="197">
        <f t="shared" si="17"/>
        <v>1000</v>
      </c>
      <c r="D110" s="193">
        <f t="shared" si="10"/>
        <v>0.44312686208724406</v>
      </c>
      <c r="E110" s="194">
        <f t="shared" si="10"/>
        <v>0.44312635093995056</v>
      </c>
      <c r="F110" s="194">
        <f t="shared" si="10"/>
        <v>0.44298803161212502</v>
      </c>
      <c r="G110" s="194">
        <f t="shared" si="10"/>
        <v>0.36292197210868776</v>
      </c>
      <c r="H110" s="194">
        <f t="shared" si="10"/>
        <v>0.36292155271859539</v>
      </c>
      <c r="I110" s="194">
        <f t="shared" si="10"/>
        <v>0.11393079097076976</v>
      </c>
      <c r="J110" s="194">
        <f t="shared" si="10"/>
        <v>0.1048587711391768</v>
      </c>
      <c r="K110" s="194">
        <f t="shared" si="10"/>
        <v>0.10485875572412814</v>
      </c>
      <c r="L110" s="195">
        <f t="shared" si="10"/>
        <v>0.10482464030119766</v>
      </c>
      <c r="M110" s="196">
        <f t="shared" si="11"/>
        <v>1.5044841838196512E-6</v>
      </c>
      <c r="Z110" s="197">
        <f t="shared" si="18"/>
        <v>1000</v>
      </c>
      <c r="AA110" s="308">
        <f t="shared" si="12"/>
        <v>51952896.041090004</v>
      </c>
      <c r="AB110" s="60">
        <f t="shared" si="13"/>
        <v>1.5044841838196512E-6</v>
      </c>
      <c r="AC110" s="162">
        <f t="shared" si="14"/>
        <v>899.28682152117278</v>
      </c>
      <c r="AD110" s="309">
        <f t="shared" si="15"/>
        <v>1</v>
      </c>
      <c r="AE110" s="314">
        <f t="shared" si="16"/>
        <v>70290.335680070973</v>
      </c>
    </row>
    <row r="111" spans="3:39" ht="19" x14ac:dyDescent="0.25">
      <c r="C111" s="197">
        <f t="shared" si="17"/>
        <v>1100</v>
      </c>
      <c r="D111" s="193">
        <f t="shared" si="10"/>
        <v>0.50014841656999964</v>
      </c>
      <c r="E111" s="194">
        <f t="shared" si="10"/>
        <v>0.50014786139444445</v>
      </c>
      <c r="F111" s="194">
        <f t="shared" si="10"/>
        <v>0.49999762785846713</v>
      </c>
      <c r="G111" s="194">
        <f t="shared" si="10"/>
        <v>0.41304755068046217</v>
      </c>
      <c r="H111" s="194">
        <f t="shared" si="10"/>
        <v>0.41304709518603322</v>
      </c>
      <c r="I111" s="194">
        <f t="shared" si="10"/>
        <v>0.13983857560097954</v>
      </c>
      <c r="J111" s="194">
        <f t="shared" si="10"/>
        <v>0.12956355132533776</v>
      </c>
      <c r="K111" s="194">
        <f t="shared" si="10"/>
        <v>0.12956353381897184</v>
      </c>
      <c r="L111" s="195">
        <f t="shared" si="10"/>
        <v>0.12952478963952987</v>
      </c>
      <c r="M111" s="196">
        <f t="shared" si="11"/>
        <v>6.4879933666317555E-6</v>
      </c>
      <c r="Z111" s="197">
        <f t="shared" si="18"/>
        <v>1100</v>
      </c>
      <c r="AA111" s="308">
        <f t="shared" si="12"/>
        <v>65931275.037711106</v>
      </c>
      <c r="AB111" s="60">
        <f t="shared" si="13"/>
        <v>6.4879933666317555E-6</v>
      </c>
      <c r="AC111" s="162">
        <f t="shared" si="14"/>
        <v>1037.4979729996389</v>
      </c>
      <c r="AD111" s="309">
        <f t="shared" si="15"/>
        <v>1</v>
      </c>
      <c r="AE111" s="314">
        <f t="shared" si="16"/>
        <v>443801.8708413578</v>
      </c>
    </row>
    <row r="112" spans="3:39" ht="19" x14ac:dyDescent="0.25">
      <c r="C112" s="197">
        <f t="shared" si="17"/>
        <v>1200</v>
      </c>
      <c r="D112" s="193">
        <f t="shared" si="10"/>
        <v>0.55649813914129209</v>
      </c>
      <c r="E112" s="194">
        <f t="shared" si="10"/>
        <v>0.55649754013556341</v>
      </c>
      <c r="F112" s="194">
        <f t="shared" si="10"/>
        <v>0.55633544606449237</v>
      </c>
      <c r="G112" s="194">
        <f t="shared" si="10"/>
        <v>0.46256146182304575</v>
      </c>
      <c r="H112" s="194">
        <f t="shared" si="10"/>
        <v>0.46256097072668129</v>
      </c>
      <c r="I112" s="194">
        <f t="shared" si="10"/>
        <v>0.16626271161851638</v>
      </c>
      <c r="J112" s="194">
        <f t="shared" si="10"/>
        <v>0.15487567395873483</v>
      </c>
      <c r="K112" s="194">
        <f t="shared" si="10"/>
        <v>0.15487565451900295</v>
      </c>
      <c r="L112" s="195">
        <f t="shared" si="10"/>
        <v>0.15483263117554458</v>
      </c>
      <c r="M112" s="196">
        <f t="shared" si="11"/>
        <v>2.2762808596289294E-5</v>
      </c>
      <c r="Z112" s="197">
        <f t="shared" si="18"/>
        <v>1200</v>
      </c>
      <c r="AA112" s="308">
        <f t="shared" si="12"/>
        <v>81952626.497546583</v>
      </c>
      <c r="AB112" s="60">
        <f t="shared" si="13"/>
        <v>2.2762808596289294E-5</v>
      </c>
      <c r="AC112" s="162">
        <f t="shared" si="14"/>
        <v>1182.143226754245</v>
      </c>
      <c r="AD112" s="309">
        <f t="shared" si="15"/>
        <v>1</v>
      </c>
      <c r="AE112" s="314">
        <f t="shared" si="16"/>
        <v>2205255.0314881899</v>
      </c>
    </row>
    <row r="113" spans="2:31" ht="19" x14ac:dyDescent="0.25">
      <c r="C113" s="197">
        <f t="shared" si="17"/>
        <v>1300</v>
      </c>
      <c r="D113" s="193">
        <f t="shared" si="10"/>
        <v>0.6122737512002433</v>
      </c>
      <c r="E113" s="194">
        <f t="shared" si="10"/>
        <v>0.61227310840157945</v>
      </c>
      <c r="F113" s="194">
        <f t="shared" si="10"/>
        <v>0.61209916391628805</v>
      </c>
      <c r="G113" s="194">
        <f t="shared" si="10"/>
        <v>0.51152607066698008</v>
      </c>
      <c r="H113" s="194">
        <f t="shared" si="10"/>
        <v>0.51152554422381691</v>
      </c>
      <c r="I113" s="194">
        <f t="shared" si="10"/>
        <v>0.19293766550137928</v>
      </c>
      <c r="J113" s="194">
        <f t="shared" si="10"/>
        <v>0.18051406097845316</v>
      </c>
      <c r="K113" s="194">
        <f t="shared" si="10"/>
        <v>0.18051403973787988</v>
      </c>
      <c r="L113" s="195">
        <f t="shared" si="10"/>
        <v>0.18046703056001651</v>
      </c>
      <c r="M113" s="196">
        <f t="shared" si="11"/>
        <v>6.8121566395477971E-5</v>
      </c>
      <c r="Z113" s="197">
        <f t="shared" si="18"/>
        <v>1300</v>
      </c>
      <c r="AA113" s="308">
        <f t="shared" si="12"/>
        <v>100107851.90564039</v>
      </c>
      <c r="AB113" s="60">
        <f t="shared" si="13"/>
        <v>6.8121566395477971E-5</v>
      </c>
      <c r="AC113" s="162">
        <f t="shared" si="14"/>
        <v>1332.9481542181418</v>
      </c>
      <c r="AD113" s="309">
        <f t="shared" si="15"/>
        <v>1</v>
      </c>
      <c r="AE113" s="314">
        <f t="shared" si="16"/>
        <v>9090044.8433380537</v>
      </c>
    </row>
    <row r="114" spans="2:31" ht="19" x14ac:dyDescent="0.25">
      <c r="C114" s="197">
        <f t="shared" si="17"/>
        <v>1400</v>
      </c>
      <c r="D114" s="193">
        <f t="shared" si="10"/>
        <v>0.66756125130264554</v>
      </c>
      <c r="E114" s="194">
        <f t="shared" si="10"/>
        <v>0.66756056466217095</v>
      </c>
      <c r="F114" s="194">
        <f t="shared" si="10"/>
        <v>0.66737475656417944</v>
      </c>
      <c r="G114" s="194">
        <f t="shared" si="10"/>
        <v>0.56000717894152185</v>
      </c>
      <c r="H114" s="194">
        <f t="shared" si="10"/>
        <v>0.56000661725895906</v>
      </c>
      <c r="I114" s="194">
        <f t="shared" si="10"/>
        <v>0.21968965560549375</v>
      </c>
      <c r="J114" s="194">
        <f t="shared" si="10"/>
        <v>0.20629010270465351</v>
      </c>
      <c r="K114" s="194">
        <f t="shared" si="10"/>
        <v>0.20629007977073233</v>
      </c>
      <c r="L114" s="195">
        <f t="shared" si="10"/>
        <v>0.20623932269309</v>
      </c>
      <c r="M114" s="196">
        <f t="shared" si="11"/>
        <v>1.798357952614356E-4</v>
      </c>
      <c r="Z114" s="197">
        <f t="shared" si="18"/>
        <v>1400</v>
      </c>
      <c r="AA114" s="308">
        <f t="shared" si="12"/>
        <v>120484131.35333039</v>
      </c>
      <c r="AB114" s="60">
        <f t="shared" si="13"/>
        <v>1.798357952614356E-4</v>
      </c>
      <c r="AC114" s="162">
        <f t="shared" si="14"/>
        <v>1489.6707235226113</v>
      </c>
      <c r="AD114" s="309">
        <f t="shared" si="15"/>
        <v>1</v>
      </c>
      <c r="AE114" s="314">
        <f t="shared" si="16"/>
        <v>32277231.219844803</v>
      </c>
    </row>
    <row r="115" spans="2:31" ht="19" x14ac:dyDescent="0.25">
      <c r="C115" s="197">
        <f t="shared" si="17"/>
        <v>1500</v>
      </c>
      <c r="D115" s="193">
        <f t="shared" si="10"/>
        <v>0.72243372542392514</v>
      </c>
      <c r="E115" s="194">
        <f t="shared" si="10"/>
        <v>0.72243299484880008</v>
      </c>
      <c r="F115" s="194">
        <f t="shared" si="10"/>
        <v>0.72223529803227005</v>
      </c>
      <c r="G115" s="194">
        <f t="shared" si="10"/>
        <v>0.60806655286939115</v>
      </c>
      <c r="H115" s="194">
        <f t="shared" si="10"/>
        <v>0.60806595596724555</v>
      </c>
      <c r="I115" s="194">
        <f t="shared" si="10"/>
        <v>0.24640781413064877</v>
      </c>
      <c r="J115" s="194">
        <f t="shared" si="10"/>
        <v>0.23208007440812467</v>
      </c>
      <c r="K115" s="194">
        <f t="shared" si="10"/>
        <v>0.23208004986623829</v>
      </c>
      <c r="L115" s="195">
        <f t="shared" si="10"/>
        <v>0.23202573388803971</v>
      </c>
      <c r="M115" s="196">
        <f t="shared" si="11"/>
        <v>4.2918288474663252E-4</v>
      </c>
      <c r="Z115" s="197">
        <f t="shared" si="18"/>
        <v>1500</v>
      </c>
      <c r="AA115" s="308">
        <f t="shared" si="12"/>
        <v>143165346.70559824</v>
      </c>
      <c r="AB115" s="60">
        <f t="shared" si="13"/>
        <v>4.2918288474663252E-4</v>
      </c>
      <c r="AC115" s="162">
        <f t="shared" si="14"/>
        <v>1652.0953838521509</v>
      </c>
      <c r="AD115" s="309">
        <f t="shared" si="15"/>
        <v>1</v>
      </c>
      <c r="AE115" s="314">
        <f t="shared" si="16"/>
        <v>101511541.22603276</v>
      </c>
    </row>
    <row r="116" spans="2:31" ht="19" x14ac:dyDescent="0.25">
      <c r="C116" s="197">
        <f t="shared" si="17"/>
        <v>1600</v>
      </c>
      <c r="D116" s="193">
        <f t="shared" si="10"/>
        <v>0.77695234508490996</v>
      </c>
      <c r="E116" s="194">
        <f t="shared" si="10"/>
        <v>0.77695157046218144</v>
      </c>
      <c r="F116" s="194">
        <f t="shared" si="10"/>
        <v>0.77674195437139826</v>
      </c>
      <c r="G116" s="194">
        <f t="shared" si="10"/>
        <v>0.65575927257358135</v>
      </c>
      <c r="H116" s="194">
        <f t="shared" si="10"/>
        <v>0.65575864042064158</v>
      </c>
      <c r="I116" s="194">
        <f t="shared" si="10"/>
        <v>0.27302369946854049</v>
      </c>
      <c r="J116" s="194">
        <f t="shared" si="10"/>
        <v>0.25780492561257173</v>
      </c>
      <c r="K116" s="194">
        <f t="shared" si="10"/>
        <v>0.25780489952962182</v>
      </c>
      <c r="L116" s="195">
        <f t="shared" si="10"/>
        <v>0.25774717274499404</v>
      </c>
      <c r="M116" s="196">
        <f t="shared" si="11"/>
        <v>9.4304016652811847E-4</v>
      </c>
      <c r="Z116" s="197">
        <f t="shared" si="18"/>
        <v>1600</v>
      </c>
      <c r="AA116" s="308">
        <f t="shared" si="12"/>
        <v>168232430.11255404</v>
      </c>
      <c r="AB116" s="60">
        <f t="shared" si="13"/>
        <v>9.4304016652811847E-4</v>
      </c>
      <c r="AC116" s="162">
        <f t="shared" si="14"/>
        <v>1820.0285604993505</v>
      </c>
      <c r="AD116" s="309">
        <f t="shared" si="15"/>
        <v>1</v>
      </c>
      <c r="AE116" s="314">
        <f t="shared" si="16"/>
        <v>288747419.93544406</v>
      </c>
    </row>
    <row r="117" spans="2:31" ht="19" x14ac:dyDescent="0.25">
      <c r="C117" s="197">
        <f t="shared" si="17"/>
        <v>1700</v>
      </c>
      <c r="D117" s="193">
        <f t="shared" si="10"/>
        <v>0.8311680184343152</v>
      </c>
      <c r="E117" s="194">
        <f t="shared" si="10"/>
        <v>0.83116719964435803</v>
      </c>
      <c r="F117" s="194">
        <f t="shared" si="10"/>
        <v>0.83094563191361048</v>
      </c>
      <c r="G117" s="194">
        <f t="shared" si="10"/>
        <v>0.70313324297934088</v>
      </c>
      <c r="H117" s="194">
        <f t="shared" si="10"/>
        <v>0.70313257551569242</v>
      </c>
      <c r="I117" s="194">
        <f t="shared" si="10"/>
        <v>0.2994971444919744</v>
      </c>
      <c r="J117" s="194">
        <f t="shared" si="10"/>
        <v>0.28341597755417253</v>
      </c>
      <c r="K117" s="194">
        <f t="shared" si="10"/>
        <v>0.28341594998208636</v>
      </c>
      <c r="L117" s="195">
        <f t="shared" si="10"/>
        <v>0.28335492734111556</v>
      </c>
      <c r="M117" s="196">
        <f t="shared" si="11"/>
        <v>1.9346248076668661E-3</v>
      </c>
      <c r="Z117" s="197">
        <f t="shared" si="18"/>
        <v>1700</v>
      </c>
      <c r="AA117" s="308">
        <f t="shared" si="12"/>
        <v>195763655.11076817</v>
      </c>
      <c r="AB117" s="60">
        <f t="shared" si="13"/>
        <v>1.9346248076668661E-3</v>
      </c>
      <c r="AC117" s="162">
        <f t="shared" si="14"/>
        <v>1993.2951553414787</v>
      </c>
      <c r="AD117" s="309">
        <f t="shared" si="15"/>
        <v>1</v>
      </c>
      <c r="AE117" s="314">
        <f t="shared" si="16"/>
        <v>754919126.62167192</v>
      </c>
    </row>
    <row r="118" spans="2:31" ht="19" x14ac:dyDescent="0.25">
      <c r="C118" s="197">
        <f t="shared" si="17"/>
        <v>1800</v>
      </c>
      <c r="D118" s="193">
        <f t="shared" si="10"/>
        <v>0.88512308366168013</v>
      </c>
      <c r="E118" s="194">
        <f t="shared" si="10"/>
        <v>0.88512222058565537</v>
      </c>
      <c r="F118" s="194">
        <f t="shared" si="10"/>
        <v>0.88488866905917463</v>
      </c>
      <c r="G118" s="194">
        <f t="shared" si="10"/>
        <v>0.75022961843549951</v>
      </c>
      <c r="H118" s="194">
        <f t="shared" si="10"/>
        <v>0.75022891558619653</v>
      </c>
      <c r="I118" s="194">
        <f t="shared" si="10"/>
        <v>0.32580663129019666</v>
      </c>
      <c r="J118" s="194">
        <f t="shared" si="10"/>
        <v>0.30888499501568811</v>
      </c>
      <c r="K118" s="194">
        <f t="shared" si="10"/>
        <v>0.30888496599448123</v>
      </c>
      <c r="L118" s="195">
        <f t="shared" si="10"/>
        <v>0.30882073608037708</v>
      </c>
      <c r="M118" s="196">
        <f t="shared" si="11"/>
        <v>3.7457906843177419E-3</v>
      </c>
      <c r="Z118" s="197">
        <f t="shared" si="18"/>
        <v>1800</v>
      </c>
      <c r="AA118" s="308">
        <f t="shared" si="12"/>
        <v>225834882.74986503</v>
      </c>
      <c r="AB118" s="60">
        <f t="shared" si="13"/>
        <v>3.7457906843177419E-3</v>
      </c>
      <c r="AC118" s="162">
        <f t="shared" si="14"/>
        <v>2171.7357813263507</v>
      </c>
      <c r="AD118" s="309">
        <f t="shared" si="15"/>
        <v>1</v>
      </c>
      <c r="AE118" s="314">
        <f t="shared" si="16"/>
        <v>1837136883.8411551</v>
      </c>
    </row>
    <row r="119" spans="2:31" ht="19" x14ac:dyDescent="0.25">
      <c r="C119" s="197">
        <f t="shared" si="17"/>
        <v>1900</v>
      </c>
      <c r="D119" s="193">
        <f t="shared" si="10"/>
        <v>0.93885282495739641</v>
      </c>
      <c r="E119" s="194">
        <f t="shared" si="10"/>
        <v>0.93885191748124486</v>
      </c>
      <c r="F119" s="194">
        <f t="shared" si="10"/>
        <v>0.93860635129453174</v>
      </c>
      <c r="G119" s="194">
        <f t="shared" si="10"/>
        <v>0.79708355923905039</v>
      </c>
      <c r="H119" s="194">
        <f t="shared" si="10"/>
        <v>0.79708282092247351</v>
      </c>
      <c r="I119" s="194">
        <f t="shared" si="10"/>
        <v>0.35194280117444054</v>
      </c>
      <c r="J119" s="194">
        <f t="shared" si="10"/>
        <v>0.33419736958501628</v>
      </c>
      <c r="K119" s="194">
        <f t="shared" si="10"/>
        <v>0.33419733914533123</v>
      </c>
      <c r="L119" s="195">
        <f t="shared" si="10"/>
        <v>0.33412996979485032</v>
      </c>
      <c r="M119" s="196">
        <f t="shared" si="11"/>
        <v>6.9036527261848567E-3</v>
      </c>
      <c r="Z119" s="197">
        <f t="shared" si="18"/>
        <v>1900</v>
      </c>
      <c r="AA119" s="308">
        <f t="shared" si="12"/>
        <v>258519771.9152036</v>
      </c>
      <c r="AB119" s="60">
        <f t="shared" si="13"/>
        <v>6.9036527261848567E-3</v>
      </c>
      <c r="AC119" s="162">
        <f t="shared" si="14"/>
        <v>2355.2045440924217</v>
      </c>
      <c r="AD119" s="309">
        <f t="shared" si="15"/>
        <v>1</v>
      </c>
      <c r="AE119" s="314">
        <f t="shared" si="16"/>
        <v>4203405920.9322276</v>
      </c>
    </row>
    <row r="120" spans="2:31" ht="20" thickBot="1" x14ac:dyDescent="0.3">
      <c r="C120" s="198">
        <f t="shared" si="17"/>
        <v>2000</v>
      </c>
      <c r="D120" s="193">
        <f t="shared" si="10"/>
        <v>0.99238675386255226</v>
      </c>
      <c r="E120" s="194">
        <f t="shared" si="10"/>
        <v>0.99238580187897041</v>
      </c>
      <c r="F120" s="194">
        <f t="shared" si="10"/>
        <v>0.99212819199459745</v>
      </c>
      <c r="G120" s="194">
        <f t="shared" si="10"/>
        <v>0.84372505510899032</v>
      </c>
      <c r="H120" s="194">
        <f t="shared" si="10"/>
        <v>0.84372428124191479</v>
      </c>
      <c r="I120" s="194">
        <f t="shared" si="10"/>
        <v>0.37790410129337559</v>
      </c>
      <c r="J120" s="194">
        <f t="shared" si="10"/>
        <v>0.3593474689551005</v>
      </c>
      <c r="K120" s="194">
        <f t="shared" si="10"/>
        <v>0.35934743712025369</v>
      </c>
      <c r="L120" s="195">
        <f t="shared" si="10"/>
        <v>0.35927697995199898</v>
      </c>
      <c r="M120" s="199">
        <f t="shared" si="11"/>
        <v>1.2194694474482135E-2</v>
      </c>
      <c r="Z120" s="198">
        <f t="shared" si="18"/>
        <v>2000</v>
      </c>
      <c r="AA120" s="310">
        <f t="shared" si="12"/>
        <v>293889960.74347669</v>
      </c>
      <c r="AB120" s="311">
        <f t="shared" si="13"/>
        <v>1.2194694474482135E-2</v>
      </c>
      <c r="AC120" s="312">
        <f t="shared" si="14"/>
        <v>2543.5672389172692</v>
      </c>
      <c r="AD120" s="313">
        <f t="shared" si="15"/>
        <v>1</v>
      </c>
      <c r="AE120" s="318">
        <f t="shared" si="16"/>
        <v>9115886253.5973072</v>
      </c>
    </row>
    <row r="127" spans="2:31" ht="19" x14ac:dyDescent="0.25">
      <c r="B127" s="60"/>
      <c r="C127" s="60"/>
      <c r="D127" s="60"/>
      <c r="E127" s="60"/>
      <c r="F127" s="60" t="s">
        <v>77</v>
      </c>
      <c r="G127" s="60"/>
      <c r="H127" s="60"/>
      <c r="I127" s="60"/>
      <c r="J127" s="60"/>
      <c r="K127" s="60"/>
      <c r="L127" s="60"/>
      <c r="M127" s="60"/>
      <c r="N127" s="60"/>
      <c r="O127" s="60"/>
    </row>
    <row r="128" spans="2:31" ht="27" x14ac:dyDescent="0.35">
      <c r="B128" s="60"/>
      <c r="C128" s="153" t="s">
        <v>94</v>
      </c>
      <c r="D128" s="154"/>
      <c r="E128" s="60"/>
      <c r="F128" s="60"/>
      <c r="G128" s="60"/>
      <c r="H128" s="60"/>
      <c r="I128" s="60"/>
      <c r="J128" s="60"/>
      <c r="K128" s="60"/>
      <c r="L128" s="60"/>
      <c r="M128" s="60"/>
      <c r="N128" s="60"/>
      <c r="O128" s="60"/>
    </row>
    <row r="129" spans="2:15" ht="20" thickBot="1" x14ac:dyDescent="0.3">
      <c r="B129" s="60"/>
      <c r="C129" s="60"/>
      <c r="D129" s="60"/>
      <c r="E129" s="60"/>
      <c r="F129" s="60"/>
      <c r="G129" s="60"/>
      <c r="H129" s="60"/>
      <c r="I129" s="60"/>
      <c r="J129" s="60"/>
      <c r="K129" s="60"/>
      <c r="L129" s="60"/>
      <c r="M129" s="60"/>
      <c r="N129" s="60"/>
      <c r="O129" s="60"/>
    </row>
    <row r="130" spans="2:15" ht="20" thickBot="1" x14ac:dyDescent="0.3">
      <c r="B130" s="60"/>
      <c r="C130" s="61" t="s">
        <v>34</v>
      </c>
      <c r="D130" s="62"/>
      <c r="E130" s="62"/>
      <c r="F130" s="63"/>
      <c r="G130" s="60"/>
      <c r="H130" s="60"/>
      <c r="I130" s="60"/>
      <c r="J130" s="60"/>
      <c r="K130" s="60"/>
      <c r="L130" s="60"/>
      <c r="M130" s="60"/>
      <c r="N130" s="60"/>
      <c r="O130" s="60"/>
    </row>
    <row r="131" spans="2:15" ht="20" thickBot="1" x14ac:dyDescent="0.3">
      <c r="B131" s="60"/>
      <c r="C131" s="66"/>
      <c r="D131" s="67" t="s">
        <v>37</v>
      </c>
      <c r="E131" s="68" t="s">
        <v>38</v>
      </c>
      <c r="F131" s="69" t="s">
        <v>39</v>
      </c>
      <c r="G131" s="60"/>
      <c r="H131" s="60"/>
      <c r="I131" s="60"/>
      <c r="J131" s="60"/>
      <c r="K131" s="60"/>
      <c r="L131" s="60"/>
      <c r="M131" s="60"/>
      <c r="N131" s="60"/>
      <c r="O131" s="60"/>
    </row>
    <row r="132" spans="2:15" ht="22" thickBot="1" x14ac:dyDescent="0.3">
      <c r="B132" s="60"/>
      <c r="C132" s="200" t="s">
        <v>95</v>
      </c>
      <c r="D132" s="94">
        <f>D24*($Q$8)^2</f>
        <v>1.9023682999999999E-46</v>
      </c>
      <c r="E132" s="94">
        <f t="shared" ref="E132:F132" si="19">E24*($Q$8)^2</f>
        <v>1.9025658400000001E-46</v>
      </c>
      <c r="F132" s="94">
        <f t="shared" si="19"/>
        <v>1.9025658400000001E-46</v>
      </c>
      <c r="G132" s="60"/>
      <c r="H132" s="60"/>
      <c r="I132" s="60"/>
      <c r="J132" s="60"/>
      <c r="K132" s="60"/>
      <c r="L132" s="60"/>
      <c r="M132" s="60"/>
      <c r="N132" s="60"/>
      <c r="O132" s="60"/>
    </row>
    <row r="133" spans="2:15" ht="19" x14ac:dyDescent="0.25">
      <c r="B133" s="60"/>
      <c r="C133" s="60"/>
      <c r="D133" s="60"/>
      <c r="E133" s="60"/>
      <c r="F133" s="60"/>
      <c r="G133" s="60"/>
      <c r="H133" s="60"/>
      <c r="I133" s="60"/>
      <c r="J133" s="60"/>
      <c r="K133" s="60"/>
      <c r="L133" s="60"/>
      <c r="M133" s="60"/>
      <c r="N133" s="60"/>
      <c r="O133" s="60"/>
    </row>
    <row r="134" spans="2:15" ht="19" x14ac:dyDescent="0.25">
      <c r="B134" s="60"/>
      <c r="C134" s="60"/>
      <c r="D134" s="60"/>
      <c r="E134" s="60"/>
      <c r="F134" s="60"/>
      <c r="G134" s="60"/>
      <c r="H134" s="60"/>
      <c r="I134" s="60"/>
      <c r="J134" s="60"/>
      <c r="K134" s="60"/>
      <c r="L134" s="60"/>
      <c r="M134" s="60"/>
      <c r="N134" s="60"/>
      <c r="O134" s="60"/>
    </row>
    <row r="135" spans="2:15" ht="20" thickBot="1" x14ac:dyDescent="0.3">
      <c r="B135" s="60"/>
      <c r="C135" s="60"/>
      <c r="D135" s="60"/>
      <c r="E135" s="60"/>
      <c r="F135" s="60"/>
      <c r="G135" s="60"/>
      <c r="H135" s="60"/>
      <c r="I135" s="60"/>
      <c r="J135" s="60"/>
      <c r="K135" s="60"/>
      <c r="L135" s="60"/>
      <c r="M135" s="60"/>
      <c r="N135" s="60"/>
      <c r="O135" s="60"/>
    </row>
    <row r="136" spans="2:15" ht="23" thickBot="1" x14ac:dyDescent="0.35">
      <c r="B136" s="60"/>
      <c r="C136" s="201" t="s">
        <v>79</v>
      </c>
      <c r="D136" s="155" t="s">
        <v>96</v>
      </c>
      <c r="E136" s="155" t="s">
        <v>97</v>
      </c>
      <c r="F136" s="60"/>
      <c r="G136" s="60"/>
      <c r="H136" s="157" t="s">
        <v>82</v>
      </c>
      <c r="I136" s="158"/>
      <c r="J136" s="158"/>
      <c r="K136" s="158"/>
      <c r="L136" s="158"/>
      <c r="M136" s="158"/>
      <c r="N136" s="158"/>
      <c r="O136" s="60"/>
    </row>
    <row r="137" spans="2:15" ht="20" thickBot="1" x14ac:dyDescent="0.3">
      <c r="B137" s="60"/>
      <c r="C137" s="159">
        <v>298.14999999999998</v>
      </c>
      <c r="D137" s="161">
        <f t="shared" ref="D137:D155" si="20">(8*PI()^2*(2*PI()*$B$8*C137)^(3/2)*SQRT($D$132*$E$132*$F$132))/($H$139*$B$14^3)</f>
        <v>246.87393235744977</v>
      </c>
      <c r="E137" s="161">
        <f>(SQRT(PI())/$A$31)*((C137^1.5)/SQRT($C$29*$D$29*$E$29))</f>
        <v>146.40315964100756</v>
      </c>
      <c r="F137" s="162"/>
      <c r="G137" s="60"/>
      <c r="H137" s="60"/>
      <c r="I137" s="60"/>
      <c r="J137" s="60"/>
      <c r="K137" s="60"/>
      <c r="L137" s="60"/>
      <c r="M137" s="60"/>
      <c r="N137" s="60"/>
      <c r="O137" s="60"/>
    </row>
    <row r="138" spans="2:15" ht="20" thickBot="1" x14ac:dyDescent="0.3">
      <c r="B138" s="60"/>
      <c r="C138" s="159">
        <v>300</v>
      </c>
      <c r="D138" s="161">
        <f t="shared" si="20"/>
        <v>249.17524638314001</v>
      </c>
      <c r="E138" s="161">
        <f>(SQRT(PI())/$A$31)*((C138^1.5)/SQRT($C$29*$D$29*$E$29))</f>
        <v>147.76790334428063</v>
      </c>
      <c r="F138" s="60"/>
      <c r="G138" s="60"/>
      <c r="L138" s="155" t="s">
        <v>98</v>
      </c>
      <c r="M138" s="155" t="s">
        <v>99</v>
      </c>
      <c r="N138" s="60"/>
      <c r="O138" s="60"/>
    </row>
    <row r="139" spans="2:15" ht="20" thickBot="1" x14ac:dyDescent="0.3">
      <c r="B139" s="60"/>
      <c r="C139" s="163">
        <f>C138+100</f>
        <v>400</v>
      </c>
      <c r="D139" s="165">
        <f t="shared" si="20"/>
        <v>383.63038819919609</v>
      </c>
      <c r="E139" s="165">
        <f t="shared" ref="E139:E155" si="21">(SQRT(PI())/$A$31)*((C139^1.5)/SQRT($C$29*$D$29*$E$29))</f>
        <v>227.50357006241873</v>
      </c>
      <c r="F139" s="60"/>
      <c r="G139" s="101" t="s">
        <v>100</v>
      </c>
      <c r="H139" s="107">
        <v>12</v>
      </c>
      <c r="K139" s="166" t="s">
        <v>84</v>
      </c>
      <c r="L139" s="133">
        <f>$D$137</f>
        <v>246.87393235744977</v>
      </c>
      <c r="M139" s="202">
        <f>$E$137</f>
        <v>146.40315964100756</v>
      </c>
      <c r="N139" s="60"/>
      <c r="O139" s="60"/>
    </row>
    <row r="140" spans="2:15" ht="20" thickBot="1" x14ac:dyDescent="0.3">
      <c r="B140" s="60"/>
      <c r="C140" s="163">
        <f t="shared" ref="C140:C155" si="22">C139+100</f>
        <v>500</v>
      </c>
      <c r="D140" s="165">
        <f t="shared" si="20"/>
        <v>536.13976640501767</v>
      </c>
      <c r="E140" s="165">
        <f t="shared" si="21"/>
        <v>317.9459048646591</v>
      </c>
      <c r="F140" s="60"/>
      <c r="G140" s="60"/>
      <c r="K140" s="167" t="s">
        <v>85</v>
      </c>
      <c r="L140" s="151">
        <f>P34</f>
        <v>146.40299999999999</v>
      </c>
      <c r="M140" s="151">
        <f>L140</f>
        <v>146.40299999999999</v>
      </c>
      <c r="N140" s="60"/>
      <c r="O140" s="60"/>
    </row>
    <row r="141" spans="2:15" ht="22" x14ac:dyDescent="0.3">
      <c r="B141" s="60"/>
      <c r="C141" s="163">
        <f t="shared" si="22"/>
        <v>600</v>
      </c>
      <c r="D141" s="165">
        <f t="shared" si="20"/>
        <v>704.77402568539014</v>
      </c>
      <c r="E141" s="165">
        <f t="shared" si="21"/>
        <v>417.95074598583614</v>
      </c>
      <c r="F141" s="60"/>
      <c r="G141" s="60"/>
      <c r="H141" s="60"/>
      <c r="I141" s="60"/>
      <c r="K141" s="168" t="s">
        <v>86</v>
      </c>
      <c r="L141" s="169">
        <f>ABS(L139-L140)/L139</f>
        <v>0.40697262525059757</v>
      </c>
      <c r="M141" s="169">
        <f>ABS(M139-M140)/M139</f>
        <v>1.0904205070577142E-6</v>
      </c>
      <c r="N141" s="60"/>
      <c r="O141" s="60"/>
    </row>
    <row r="142" spans="2:15" ht="19" x14ac:dyDescent="0.25">
      <c r="B142" s="60"/>
      <c r="C142" s="163">
        <f t="shared" si="22"/>
        <v>700</v>
      </c>
      <c r="D142" s="165">
        <f t="shared" si="20"/>
        <v>888.11677722445518</v>
      </c>
      <c r="E142" s="165">
        <f t="shared" si="21"/>
        <v>526.67813516895399</v>
      </c>
      <c r="F142" s="60"/>
      <c r="G142" s="60"/>
    </row>
    <row r="143" spans="2:15" ht="19" x14ac:dyDescent="0.25">
      <c r="B143" s="60"/>
      <c r="C143" s="163">
        <f t="shared" si="22"/>
        <v>800</v>
      </c>
      <c r="D143" s="165">
        <f t="shared" si="20"/>
        <v>1085.0705958595045</v>
      </c>
      <c r="E143" s="165">
        <f t="shared" si="21"/>
        <v>643.47726854113989</v>
      </c>
      <c r="F143" s="60"/>
      <c r="G143" s="60"/>
    </row>
    <row r="144" spans="2:15" ht="19" x14ac:dyDescent="0.25">
      <c r="B144" s="60"/>
      <c r="C144" s="163">
        <f t="shared" si="22"/>
        <v>900</v>
      </c>
      <c r="D144" s="165">
        <f t="shared" si="20"/>
        <v>1294.7525601722703</v>
      </c>
      <c r="E144" s="165">
        <f t="shared" si="21"/>
        <v>767.82454896066304</v>
      </c>
      <c r="F144" s="60"/>
      <c r="G144" s="60"/>
    </row>
    <row r="145" spans="3:5" ht="19" x14ac:dyDescent="0.25">
      <c r="C145" s="163">
        <f t="shared" si="22"/>
        <v>1000</v>
      </c>
      <c r="D145" s="165">
        <f t="shared" si="20"/>
        <v>1516.4322579550208</v>
      </c>
      <c r="E145" s="165">
        <f t="shared" si="21"/>
        <v>899.28682152117278</v>
      </c>
    </row>
    <row r="146" spans="3:5" ht="19" x14ac:dyDescent="0.25">
      <c r="C146" s="163">
        <f t="shared" si="22"/>
        <v>1100</v>
      </c>
      <c r="D146" s="165">
        <f t="shared" si="20"/>
        <v>1749.4923267732656</v>
      </c>
      <c r="E146" s="165">
        <f t="shared" si="21"/>
        <v>1037.4979729996389</v>
      </c>
    </row>
    <row r="147" spans="3:5" ht="19" x14ac:dyDescent="0.25">
      <c r="C147" s="163">
        <f t="shared" si="22"/>
        <v>1200</v>
      </c>
      <c r="D147" s="165">
        <f t="shared" si="20"/>
        <v>1993.4019710651312</v>
      </c>
      <c r="E147" s="165">
        <f t="shared" si="21"/>
        <v>1182.143226754245</v>
      </c>
    </row>
    <row r="148" spans="3:5" ht="19" x14ac:dyDescent="0.25">
      <c r="C148" s="163">
        <f t="shared" si="22"/>
        <v>1300</v>
      </c>
      <c r="D148" s="165">
        <f t="shared" si="20"/>
        <v>2247.6984326522916</v>
      </c>
      <c r="E148" s="165">
        <f t="shared" si="21"/>
        <v>1332.9481542181418</v>
      </c>
    </row>
    <row r="149" spans="3:5" ht="19" x14ac:dyDescent="0.25">
      <c r="C149" s="163">
        <f t="shared" si="22"/>
        <v>1400</v>
      </c>
      <c r="D149" s="165">
        <f t="shared" si="20"/>
        <v>2511.9735826438255</v>
      </c>
      <c r="E149" s="165">
        <f t="shared" si="21"/>
        <v>1489.6707235226113</v>
      </c>
    </row>
    <row r="150" spans="3:5" ht="19" x14ac:dyDescent="0.25">
      <c r="C150" s="163">
        <f t="shared" si="22"/>
        <v>1500</v>
      </c>
      <c r="D150" s="165">
        <f t="shared" si="20"/>
        <v>2785.86394611479</v>
      </c>
      <c r="E150" s="165">
        <f t="shared" si="21"/>
        <v>1652.0953838521509</v>
      </c>
    </row>
    <row r="151" spans="3:5" ht="19" x14ac:dyDescent="0.25">
      <c r="C151" s="163">
        <f t="shared" si="22"/>
        <v>1600</v>
      </c>
      <c r="D151" s="165">
        <f t="shared" si="20"/>
        <v>3069.0431055935424</v>
      </c>
      <c r="E151" s="165">
        <f t="shared" si="21"/>
        <v>1820.0285604993505</v>
      </c>
    </row>
    <row r="152" spans="3:5" ht="19" x14ac:dyDescent="0.25">
      <c r="C152" s="163">
        <f t="shared" si="22"/>
        <v>1700</v>
      </c>
      <c r="D152" s="165">
        <f t="shared" si="20"/>
        <v>3361.2157999517285</v>
      </c>
      <c r="E152" s="165">
        <f t="shared" si="21"/>
        <v>1993.2951553414787</v>
      </c>
    </row>
    <row r="153" spans="3:5" ht="19" x14ac:dyDescent="0.25">
      <c r="C153" s="163">
        <f t="shared" si="22"/>
        <v>1800</v>
      </c>
      <c r="D153" s="165">
        <f t="shared" si="20"/>
        <v>3662.1132610258333</v>
      </c>
      <c r="E153" s="165">
        <f t="shared" si="21"/>
        <v>2171.7357813263507</v>
      </c>
    </row>
    <row r="154" spans="3:5" ht="19" x14ac:dyDescent="0.25">
      <c r="C154" s="163">
        <f t="shared" si="22"/>
        <v>1900</v>
      </c>
      <c r="D154" s="165">
        <f t="shared" si="20"/>
        <v>3971.4894728499617</v>
      </c>
      <c r="E154" s="165">
        <f t="shared" si="21"/>
        <v>2355.2045440924217</v>
      </c>
    </row>
    <row r="155" spans="3:5" ht="20" thickBot="1" x14ac:dyDescent="0.3">
      <c r="C155" s="170">
        <f t="shared" si="22"/>
        <v>2000</v>
      </c>
      <c r="D155" s="172">
        <f t="shared" si="20"/>
        <v>4289.118131240105</v>
      </c>
      <c r="E155" s="172">
        <f t="shared" si="21"/>
        <v>2543.5672389172692</v>
      </c>
    </row>
    <row r="162" spans="2:16" ht="19" x14ac:dyDescent="0.25">
      <c r="B162" s="60"/>
      <c r="C162" s="60"/>
      <c r="D162" s="60"/>
      <c r="E162" s="60"/>
      <c r="F162" s="60"/>
      <c r="G162" s="60"/>
      <c r="H162" s="60"/>
      <c r="I162" s="60"/>
      <c r="J162" s="60"/>
      <c r="K162" s="60"/>
      <c r="L162" s="60"/>
      <c r="M162" s="60"/>
      <c r="N162" s="60"/>
      <c r="O162" s="60"/>
      <c r="P162" s="60"/>
    </row>
    <row r="163" spans="2:16" ht="19" x14ac:dyDescent="0.25">
      <c r="B163" s="60"/>
      <c r="C163" s="60"/>
      <c r="D163" s="60"/>
      <c r="E163" s="60"/>
      <c r="F163" s="60" t="s">
        <v>77</v>
      </c>
      <c r="G163" s="60"/>
      <c r="H163" s="60"/>
      <c r="I163" s="60"/>
      <c r="J163" s="60"/>
      <c r="K163" s="60"/>
      <c r="L163" s="60"/>
      <c r="M163" s="60"/>
      <c r="N163" s="60"/>
      <c r="O163" s="60"/>
    </row>
    <row r="164" spans="2:16" ht="27" x14ac:dyDescent="0.35">
      <c r="B164" s="60"/>
      <c r="C164" s="153" t="s">
        <v>101</v>
      </c>
      <c r="D164" s="154"/>
      <c r="E164" s="60"/>
      <c r="F164" s="60"/>
      <c r="G164" s="60"/>
      <c r="H164" s="60"/>
      <c r="I164" s="60"/>
      <c r="J164" s="60"/>
      <c r="K164" s="60"/>
      <c r="L164" s="60"/>
      <c r="M164" s="60"/>
      <c r="N164" s="60"/>
      <c r="O164" s="60"/>
    </row>
    <row r="165" spans="2:16" ht="19" x14ac:dyDescent="0.25">
      <c r="B165" s="60"/>
      <c r="C165" s="60"/>
      <c r="D165" s="60"/>
      <c r="E165" s="60"/>
      <c r="F165" s="60"/>
      <c r="G165" s="60"/>
      <c r="H165" s="60"/>
      <c r="I165" s="60"/>
      <c r="J165" s="60"/>
      <c r="K165" s="60"/>
      <c r="L165" s="60"/>
      <c r="M165" s="60"/>
      <c r="N165" s="60"/>
      <c r="O165" s="60"/>
    </row>
    <row r="166" spans="2:16" ht="20" thickBot="1" x14ac:dyDescent="0.3">
      <c r="B166" s="60"/>
      <c r="C166" s="141" t="s">
        <v>102</v>
      </c>
      <c r="F166" s="60"/>
      <c r="G166" s="60"/>
      <c r="H166" s="60"/>
      <c r="I166" s="60"/>
      <c r="J166" s="60"/>
      <c r="K166" s="60"/>
      <c r="L166" s="60"/>
      <c r="M166" s="60"/>
      <c r="N166" s="60"/>
      <c r="O166" s="60"/>
    </row>
    <row r="167" spans="2:16" ht="20" thickBot="1" x14ac:dyDescent="0.3">
      <c r="B167" s="60"/>
      <c r="C167" s="186"/>
      <c r="D167" s="142">
        <v>1</v>
      </c>
      <c r="E167" s="143">
        <f>D167+1</f>
        <v>2</v>
      </c>
      <c r="F167" s="144" t="s">
        <v>103</v>
      </c>
      <c r="G167" s="60"/>
      <c r="H167" s="60"/>
      <c r="I167" s="60"/>
      <c r="J167" s="60"/>
      <c r="K167" s="60"/>
      <c r="L167" s="60"/>
      <c r="M167" s="60"/>
      <c r="N167" s="60"/>
      <c r="O167" s="60"/>
    </row>
    <row r="168" spans="2:16" ht="20" thickBot="1" x14ac:dyDescent="0.3">
      <c r="B168" s="60"/>
      <c r="C168" s="203" t="s">
        <v>104</v>
      </c>
      <c r="D168" s="204">
        <f>J$46</f>
        <v>-40.5261</v>
      </c>
      <c r="E168" s="204">
        <f t="shared" ref="E168:F168" si="23">K$46</f>
        <v>-40.5261</v>
      </c>
      <c r="F168" s="204">
        <f t="shared" si="23"/>
        <v>-40.5261</v>
      </c>
      <c r="G168" s="60"/>
      <c r="H168" s="60"/>
      <c r="I168" s="60"/>
      <c r="J168" s="60"/>
      <c r="K168" s="60"/>
      <c r="L168" s="60"/>
      <c r="M168" s="60"/>
      <c r="N168" s="60"/>
      <c r="O168" s="60"/>
    </row>
    <row r="169" spans="2:16" ht="20" thickBot="1" x14ac:dyDescent="0.3">
      <c r="B169" s="60"/>
      <c r="C169" s="205" t="s">
        <v>105</v>
      </c>
      <c r="D169" s="206">
        <f>D168*$K$7</f>
        <v>-1.7669379599999999E-16</v>
      </c>
      <c r="E169" s="206">
        <f t="shared" ref="E169:F169" si="24">E168*$K$7</f>
        <v>-1.7669379599999999E-16</v>
      </c>
      <c r="F169" s="206">
        <f t="shared" si="24"/>
        <v>-1.7669379599999999E-16</v>
      </c>
      <c r="G169" s="60"/>
      <c r="H169" s="60"/>
      <c r="I169" s="60"/>
      <c r="J169" s="60"/>
      <c r="K169" s="60"/>
      <c r="L169" s="60"/>
      <c r="M169" s="60"/>
      <c r="N169" s="60"/>
      <c r="O169" s="60"/>
    </row>
    <row r="170" spans="2:16" ht="20" thickBot="1" x14ac:dyDescent="0.3">
      <c r="B170" s="60"/>
      <c r="D170" s="60"/>
      <c r="E170" s="60"/>
      <c r="F170" s="60"/>
      <c r="G170" s="60"/>
      <c r="H170" s="60"/>
      <c r="I170" s="60"/>
      <c r="J170" s="60"/>
      <c r="K170" s="60"/>
      <c r="L170" s="60"/>
      <c r="M170" s="60"/>
      <c r="N170" s="60"/>
      <c r="O170" s="60"/>
    </row>
    <row r="171" spans="2:16" ht="22" thickBot="1" x14ac:dyDescent="0.35">
      <c r="B171" s="60"/>
      <c r="C171" s="207" t="s">
        <v>106</v>
      </c>
      <c r="D171" s="60"/>
      <c r="E171" s="60"/>
      <c r="F171" s="60"/>
      <c r="G171" s="60"/>
      <c r="H171" s="60"/>
      <c r="I171" s="60"/>
      <c r="J171" s="60"/>
      <c r="K171" s="60"/>
      <c r="L171" s="60"/>
      <c r="M171" s="60"/>
      <c r="N171" s="60"/>
      <c r="O171" s="60"/>
    </row>
    <row r="172" spans="2:16" ht="23" thickBot="1" x14ac:dyDescent="0.35">
      <c r="B172" s="60"/>
      <c r="C172" s="208">
        <f>F169+L23</f>
        <v>-1.7649854647999999E-16</v>
      </c>
      <c r="F172" s="60"/>
      <c r="G172" s="60"/>
      <c r="H172" s="157" t="s">
        <v>82</v>
      </c>
      <c r="I172" s="158"/>
      <c r="J172" s="158"/>
      <c r="K172" s="158"/>
      <c r="L172" s="158"/>
      <c r="M172" s="158"/>
      <c r="N172" s="60"/>
      <c r="O172" s="60"/>
    </row>
    <row r="173" spans="2:16" ht="20" thickBot="1" x14ac:dyDescent="0.3">
      <c r="B173" s="60"/>
      <c r="F173" s="162"/>
      <c r="G173" s="60"/>
      <c r="H173" s="60"/>
      <c r="I173" s="60"/>
      <c r="J173" s="60"/>
      <c r="K173" s="60"/>
      <c r="L173" s="60"/>
      <c r="M173" s="60"/>
      <c r="N173" s="60"/>
      <c r="O173" s="60"/>
    </row>
    <row r="174" spans="2:16" ht="22" thickBot="1" x14ac:dyDescent="0.3">
      <c r="B174" s="60"/>
      <c r="C174" s="201" t="s">
        <v>79</v>
      </c>
      <c r="D174" s="209" t="s">
        <v>107</v>
      </c>
      <c r="F174" s="60"/>
      <c r="G174" s="60"/>
      <c r="L174" s="155" t="s">
        <v>83</v>
      </c>
      <c r="M174" s="60"/>
      <c r="N174" s="60"/>
      <c r="O174" s="60"/>
    </row>
    <row r="175" spans="2:16" ht="20" thickBot="1" x14ac:dyDescent="0.3">
      <c r="B175" s="60"/>
      <c r="C175" s="159">
        <v>298.14999999999998</v>
      </c>
      <c r="D175" s="161">
        <f>1</f>
        <v>1</v>
      </c>
      <c r="F175" s="60"/>
      <c r="G175" s="60"/>
      <c r="K175" s="166" t="s">
        <v>84</v>
      </c>
      <c r="L175" s="133">
        <f>1</f>
        <v>1</v>
      </c>
      <c r="M175" s="60"/>
      <c r="N175" s="60"/>
      <c r="O175" s="60"/>
    </row>
    <row r="176" spans="2:16" ht="20" thickBot="1" x14ac:dyDescent="0.3">
      <c r="B176" s="60"/>
      <c r="C176" s="159">
        <v>300</v>
      </c>
      <c r="D176" s="161">
        <f>1</f>
        <v>1</v>
      </c>
      <c r="F176" s="60"/>
      <c r="G176" s="60"/>
      <c r="K176" s="167" t="s">
        <v>85</v>
      </c>
      <c r="L176" s="151">
        <f>P32</f>
        <v>1</v>
      </c>
      <c r="M176" s="60"/>
      <c r="N176" s="60"/>
      <c r="O176" s="60"/>
    </row>
    <row r="177" spans="2:15" ht="22" x14ac:dyDescent="0.3">
      <c r="B177" s="60"/>
      <c r="C177" s="163">
        <f>C176+100</f>
        <v>400</v>
      </c>
      <c r="D177" s="165">
        <f>1</f>
        <v>1</v>
      </c>
      <c r="F177" s="60"/>
      <c r="G177" s="60"/>
      <c r="H177" s="60"/>
      <c r="I177" s="60"/>
      <c r="K177" s="168" t="s">
        <v>86</v>
      </c>
      <c r="L177" s="169">
        <f>ABS(L175-L176)/L175</f>
        <v>0</v>
      </c>
      <c r="M177" s="60"/>
      <c r="N177" s="60"/>
      <c r="O177" s="60"/>
    </row>
    <row r="178" spans="2:15" ht="19" x14ac:dyDescent="0.25">
      <c r="B178" s="60"/>
      <c r="C178" s="163">
        <f t="shared" ref="C178:C193" si="25">C177+100</f>
        <v>500</v>
      </c>
      <c r="D178" s="165">
        <f>1</f>
        <v>1</v>
      </c>
      <c r="F178" s="60"/>
      <c r="G178" s="60"/>
    </row>
    <row r="179" spans="2:15" ht="19" x14ac:dyDescent="0.25">
      <c r="B179" s="60"/>
      <c r="C179" s="163">
        <f t="shared" si="25"/>
        <v>600</v>
      </c>
      <c r="D179" s="165">
        <f>1</f>
        <v>1</v>
      </c>
      <c r="F179" s="60"/>
      <c r="G179" s="60"/>
    </row>
    <row r="180" spans="2:15" ht="19" x14ac:dyDescent="0.25">
      <c r="B180" s="60"/>
      <c r="C180" s="163">
        <f t="shared" si="25"/>
        <v>700</v>
      </c>
      <c r="D180" s="165">
        <f>1</f>
        <v>1</v>
      </c>
      <c r="F180" s="60"/>
      <c r="G180" s="60"/>
    </row>
    <row r="181" spans="2:15" ht="19" x14ac:dyDescent="0.25">
      <c r="C181" s="163">
        <f t="shared" si="25"/>
        <v>800</v>
      </c>
      <c r="D181" s="165">
        <f>1</f>
        <v>1</v>
      </c>
      <c r="E181">
        <v>298.14999999999998</v>
      </c>
    </row>
    <row r="182" spans="2:15" ht="19" x14ac:dyDescent="0.25">
      <c r="C182" s="163">
        <f t="shared" si="25"/>
        <v>900</v>
      </c>
      <c r="D182" s="165">
        <f>1</f>
        <v>1</v>
      </c>
    </row>
    <row r="183" spans="2:15" ht="19" x14ac:dyDescent="0.25">
      <c r="C183" s="163">
        <f t="shared" si="25"/>
        <v>1000</v>
      </c>
      <c r="D183" s="165">
        <f>1</f>
        <v>1</v>
      </c>
    </row>
    <row r="184" spans="2:15" ht="19" x14ac:dyDescent="0.25">
      <c r="C184" s="163">
        <f t="shared" si="25"/>
        <v>1100</v>
      </c>
      <c r="D184" s="165">
        <f>1</f>
        <v>1</v>
      </c>
    </row>
    <row r="185" spans="2:15" ht="19" x14ac:dyDescent="0.25">
      <c r="C185" s="163">
        <f t="shared" si="25"/>
        <v>1200</v>
      </c>
      <c r="D185" s="165">
        <f>1</f>
        <v>1</v>
      </c>
    </row>
    <row r="186" spans="2:15" ht="19" x14ac:dyDescent="0.25">
      <c r="C186" s="163">
        <f t="shared" si="25"/>
        <v>1300</v>
      </c>
      <c r="D186" s="165">
        <f>1</f>
        <v>1</v>
      </c>
    </row>
    <row r="187" spans="2:15" ht="19" x14ac:dyDescent="0.25">
      <c r="C187" s="163">
        <f t="shared" si="25"/>
        <v>1400</v>
      </c>
      <c r="D187" s="165">
        <f>1</f>
        <v>1</v>
      </c>
    </row>
    <row r="188" spans="2:15" ht="19" x14ac:dyDescent="0.25">
      <c r="C188" s="163">
        <f t="shared" si="25"/>
        <v>1500</v>
      </c>
      <c r="D188" s="165">
        <f>1</f>
        <v>1</v>
      </c>
    </row>
    <row r="189" spans="2:15" ht="19" x14ac:dyDescent="0.25">
      <c r="C189" s="163">
        <f t="shared" si="25"/>
        <v>1600</v>
      </c>
      <c r="D189" s="165">
        <f>1</f>
        <v>1</v>
      </c>
    </row>
    <row r="190" spans="2:15" ht="19" x14ac:dyDescent="0.25">
      <c r="C190" s="163">
        <f t="shared" si="25"/>
        <v>1700</v>
      </c>
      <c r="D190" s="165">
        <f>1</f>
        <v>1</v>
      </c>
    </row>
    <row r="191" spans="2:15" ht="19" x14ac:dyDescent="0.25">
      <c r="C191" s="163">
        <f t="shared" si="25"/>
        <v>1800</v>
      </c>
      <c r="D191" s="165">
        <f>1</f>
        <v>1</v>
      </c>
    </row>
    <row r="192" spans="2:15" ht="19" x14ac:dyDescent="0.25">
      <c r="C192" s="163">
        <f t="shared" si="25"/>
        <v>1900</v>
      </c>
      <c r="D192" s="165">
        <f>1</f>
        <v>1</v>
      </c>
    </row>
    <row r="193" spans="3:11" ht="20" thickBot="1" x14ac:dyDescent="0.3">
      <c r="C193" s="170">
        <f t="shared" si="25"/>
        <v>2000</v>
      </c>
      <c r="D193" s="172">
        <f>1</f>
        <v>1</v>
      </c>
    </row>
    <row r="197" spans="3:11" ht="17" thickBot="1" x14ac:dyDescent="0.25"/>
    <row r="198" spans="3:11" ht="20" thickBot="1" x14ac:dyDescent="0.3">
      <c r="E198" s="60"/>
      <c r="F198" s="60" t="s">
        <v>77</v>
      </c>
      <c r="G198" s="60"/>
      <c r="H198" s="350" t="s">
        <v>108</v>
      </c>
      <c r="I198" s="351"/>
      <c r="J198" s="351"/>
      <c r="K198" s="352"/>
    </row>
    <row r="199" spans="3:11" ht="28" thickBot="1" x14ac:dyDescent="0.4">
      <c r="C199" s="153" t="s">
        <v>109</v>
      </c>
      <c r="D199" s="154"/>
      <c r="E199" s="60"/>
      <c r="F199" s="60"/>
      <c r="G199" s="60"/>
      <c r="H199" s="210" t="s">
        <v>110</v>
      </c>
      <c r="I199" s="210" t="s">
        <v>111</v>
      </c>
      <c r="J199" s="210" t="s">
        <v>112</v>
      </c>
      <c r="K199" s="210" t="s">
        <v>113</v>
      </c>
    </row>
    <row r="202" spans="3:11" ht="17" thickBot="1" x14ac:dyDescent="0.25"/>
    <row r="203" spans="3:11" ht="20" thickBot="1" x14ac:dyDescent="0.25">
      <c r="D203" s="354" t="s">
        <v>114</v>
      </c>
      <c r="E203" s="355"/>
    </row>
    <row r="204" spans="3:11" ht="20" thickBot="1" x14ac:dyDescent="0.3">
      <c r="D204" s="177" t="s">
        <v>115</v>
      </c>
      <c r="E204" s="211" t="s">
        <v>116</v>
      </c>
    </row>
    <row r="205" spans="3:11" ht="19" x14ac:dyDescent="0.25">
      <c r="C205" s="86" t="s">
        <v>45</v>
      </c>
      <c r="D205" s="212">
        <f>$Q23</f>
        <v>6.4610000000000003</v>
      </c>
      <c r="E205" s="133">
        <f>D205*4.184</f>
        <v>27.032824000000002</v>
      </c>
    </row>
    <row r="206" spans="3:11" ht="19" x14ac:dyDescent="0.25">
      <c r="C206" s="92" t="s">
        <v>48</v>
      </c>
      <c r="D206" s="212">
        <f t="shared" ref="D206:D209" si="26">$Q24</f>
        <v>0</v>
      </c>
      <c r="E206" s="139">
        <f t="shared" ref="E206:E209" si="27">D206*4.184</f>
        <v>0</v>
      </c>
    </row>
    <row r="207" spans="3:11" ht="19" x14ac:dyDescent="0.25">
      <c r="C207" s="92" t="s">
        <v>50</v>
      </c>
      <c r="D207" s="212">
        <f t="shared" si="26"/>
        <v>2.9809999999999999</v>
      </c>
      <c r="E207" s="139">
        <f t="shared" si="27"/>
        <v>12.472504000000001</v>
      </c>
    </row>
    <row r="208" spans="3:11" ht="19" x14ac:dyDescent="0.25">
      <c r="C208" s="92" t="s">
        <v>52</v>
      </c>
      <c r="D208" s="212">
        <f t="shared" si="26"/>
        <v>2.9809999999999999</v>
      </c>
      <c r="E208" s="139">
        <f t="shared" si="27"/>
        <v>12.472504000000001</v>
      </c>
    </row>
    <row r="209" spans="3:16" ht="20" thickBot="1" x14ac:dyDescent="0.3">
      <c r="C209" s="97" t="s">
        <v>55</v>
      </c>
      <c r="D209" s="212">
        <f t="shared" si="26"/>
        <v>0.499</v>
      </c>
      <c r="E209" s="139">
        <f t="shared" si="27"/>
        <v>2.0878160000000001</v>
      </c>
      <c r="K209">
        <f>COLUMN(E205)</f>
        <v>5</v>
      </c>
    </row>
    <row r="210" spans="3:16" ht="24" customHeight="1" x14ac:dyDescent="0.2"/>
    <row r="211" spans="3:16" ht="17" thickBot="1" x14ac:dyDescent="0.25"/>
    <row r="212" spans="3:16" ht="23" thickBot="1" x14ac:dyDescent="0.35">
      <c r="D212" s="358" t="s">
        <v>116</v>
      </c>
      <c r="E212" s="359"/>
      <c r="F212" s="359"/>
      <c r="G212" s="359"/>
      <c r="H212" s="360"/>
      <c r="J212" s="157" t="s">
        <v>82</v>
      </c>
      <c r="K212" s="158"/>
      <c r="L212" s="158"/>
      <c r="M212" s="158"/>
      <c r="N212" s="158"/>
      <c r="O212" s="158"/>
      <c r="P212" s="60"/>
    </row>
    <row r="213" spans="3:16" ht="20" thickBot="1" x14ac:dyDescent="0.3">
      <c r="C213" s="201" t="s">
        <v>79</v>
      </c>
      <c r="D213" s="213" t="s">
        <v>117</v>
      </c>
      <c r="E213" s="214" t="s">
        <v>118</v>
      </c>
      <c r="F213" s="214" t="s">
        <v>119</v>
      </c>
      <c r="G213" s="215" t="s">
        <v>120</v>
      </c>
      <c r="H213" s="207" t="s">
        <v>121</v>
      </c>
      <c r="J213" s="60"/>
      <c r="K213" s="60"/>
      <c r="L213" s="60"/>
      <c r="M213" s="60"/>
      <c r="N213" s="60"/>
      <c r="O213" s="60"/>
      <c r="P213" s="60"/>
    </row>
    <row r="214" spans="3:16" ht="20" thickBot="1" x14ac:dyDescent="0.3">
      <c r="C214" s="187">
        <v>298.14999999999998</v>
      </c>
      <c r="D214" s="216">
        <f>3*$B$7/2</f>
        <v>12.471599999999999</v>
      </c>
      <c r="E214" s="217" cm="1">
        <f t="array" ref="E214">$B$7*SUM(($D$42:$D$50*$D$42:$D$50)*EXP($D$42:$D$50/$C214)/($C214^2*(EXP($D$42:$D$50/$C214)-1)^2))</f>
        <v>2.0892423578207864</v>
      </c>
      <c r="F214" s="218">
        <f>3*$B$7/2</f>
        <v>12.471599999999999</v>
      </c>
      <c r="G214" s="218">
        <v>0</v>
      </c>
      <c r="H214" s="219">
        <f t="shared" ref="H214:H232" si="28">SUM(D214:G214)</f>
        <v>27.032442357820784</v>
      </c>
      <c r="K214" s="213" t="s">
        <v>117</v>
      </c>
      <c r="L214" s="214" t="s">
        <v>118</v>
      </c>
      <c r="M214" s="214" t="s">
        <v>119</v>
      </c>
      <c r="N214" s="215" t="s">
        <v>120</v>
      </c>
      <c r="O214" s="207" t="s">
        <v>121</v>
      </c>
      <c r="P214" s="60"/>
    </row>
    <row r="215" spans="3:16" ht="20" thickBot="1" x14ac:dyDescent="0.3">
      <c r="C215" s="159">
        <v>300</v>
      </c>
      <c r="D215" s="216">
        <f>3*$B$7/2</f>
        <v>12.471599999999999</v>
      </c>
      <c r="E215" s="217" cm="1">
        <f t="array" ref="E215">$B$7*SUM(($D$42:$D$50*$D$42:$D$50)*EXP($D$42:$D$50/$C215)/($C215^2*(EXP($D$42:$D$50/$C215)-1)^2))</f>
        <v>2.1516541465064041</v>
      </c>
      <c r="F215" s="218">
        <f>3*$B$7/2</f>
        <v>12.471599999999999</v>
      </c>
      <c r="G215" s="220">
        <v>0</v>
      </c>
      <c r="H215" s="219">
        <f t="shared" si="28"/>
        <v>27.0948541465064</v>
      </c>
      <c r="J215" s="166" t="s">
        <v>84</v>
      </c>
      <c r="K215" s="133">
        <f>D$214</f>
        <v>12.471599999999999</v>
      </c>
      <c r="L215" s="133">
        <f t="shared" ref="L215:O215" si="29">E$214</f>
        <v>2.0892423578207864</v>
      </c>
      <c r="M215" s="133">
        <f t="shared" si="29"/>
        <v>12.471599999999999</v>
      </c>
      <c r="N215" s="133">
        <f t="shared" si="29"/>
        <v>0</v>
      </c>
      <c r="O215" s="133">
        <f t="shared" si="29"/>
        <v>27.032442357820784</v>
      </c>
      <c r="P215" s="60"/>
    </row>
    <row r="216" spans="3:16" ht="20" thickBot="1" x14ac:dyDescent="0.3">
      <c r="C216" s="163">
        <f>C215+100</f>
        <v>400</v>
      </c>
      <c r="D216" s="221">
        <f t="shared" ref="D216:D232" si="30">3*$B$7/2</f>
        <v>12.471599999999999</v>
      </c>
      <c r="E216" s="222" cm="1">
        <f t="array" ref="E216">$B$7*SUM(($D$42:$D$50*$D$42:$D$50)*EXP($D$42:$D$50/$C216)/($C216^2*(EXP($D$42:$D$50/$C216)-1)^2))</f>
        <v>6.6428533135657748</v>
      </c>
      <c r="F216" s="223">
        <f t="shared" ref="F216:F232" si="31">3*$B$7/2</f>
        <v>12.471599999999999</v>
      </c>
      <c r="G216" s="224">
        <v>0</v>
      </c>
      <c r="H216" s="219">
        <f t="shared" si="28"/>
        <v>31.586053313565774</v>
      </c>
      <c r="J216" s="167" t="s">
        <v>85</v>
      </c>
      <c r="K216" s="151">
        <f>E207</f>
        <v>12.472504000000001</v>
      </c>
      <c r="L216" s="151">
        <f>E209</f>
        <v>2.0878160000000001</v>
      </c>
      <c r="M216" s="151">
        <f>E208</f>
        <v>12.472504000000001</v>
      </c>
      <c r="N216" s="151">
        <f>E206</f>
        <v>0</v>
      </c>
      <c r="O216" s="151">
        <f>E205</f>
        <v>27.032824000000002</v>
      </c>
      <c r="P216" s="60"/>
    </row>
    <row r="217" spans="3:16" ht="23" thickBot="1" x14ac:dyDescent="0.35">
      <c r="C217" s="163">
        <f t="shared" ref="C217:C232" si="32">C216+100</f>
        <v>500</v>
      </c>
      <c r="D217" s="221">
        <f t="shared" si="30"/>
        <v>12.471599999999999</v>
      </c>
      <c r="E217" s="222" cm="1">
        <f t="array" ref="E217">$B$7*SUM(($D$42:$D$50*$D$42:$D$50)*EXP($D$42:$D$50/$C217)/($C217^2*(EXP($D$42:$D$50/$C217)-1)^2))</f>
        <v>12.260525057213679</v>
      </c>
      <c r="F217" s="223">
        <f t="shared" si="31"/>
        <v>12.471599999999999</v>
      </c>
      <c r="G217" s="224">
        <v>0</v>
      </c>
      <c r="H217" s="219">
        <f t="shared" si="28"/>
        <v>37.203725057213674</v>
      </c>
      <c r="J217" s="168" t="s">
        <v>86</v>
      </c>
      <c r="K217" s="169">
        <f>IFERROR(ABS(K215-K216)/K215,0)</f>
        <v>7.2484685204946797E-5</v>
      </c>
      <c r="L217" s="169">
        <f t="shared" ref="L217:O217" si="33">IFERROR(ABS(L215-L216)/L215,0)</f>
        <v>6.8271534676046114E-4</v>
      </c>
      <c r="M217" s="169">
        <f t="shared" si="33"/>
        <v>7.2484685204946797E-5</v>
      </c>
      <c r="N217" s="169">
        <f t="shared" si="33"/>
        <v>0</v>
      </c>
      <c r="O217" s="169">
        <f t="shared" si="33"/>
        <v>1.4117931860008563E-5</v>
      </c>
      <c r="P217" s="60"/>
    </row>
    <row r="218" spans="3:16" ht="20" thickBot="1" x14ac:dyDescent="0.3">
      <c r="C218" s="163">
        <f t="shared" si="32"/>
        <v>600</v>
      </c>
      <c r="D218" s="221">
        <f t="shared" si="30"/>
        <v>12.471599999999999</v>
      </c>
      <c r="E218" s="222" cm="1">
        <f t="array" ref="E218">$B$7*SUM(($D$42:$D$50*$D$42:$D$50)*EXP($D$42:$D$50/$C218)/($C218^2*(EXP($D$42:$D$50/$C218)-1)^2))</f>
        <v>17.971598735219455</v>
      </c>
      <c r="F218" s="223">
        <f t="shared" si="31"/>
        <v>12.471599999999999</v>
      </c>
      <c r="G218" s="224">
        <v>0</v>
      </c>
      <c r="H218" s="219">
        <f t="shared" si="28"/>
        <v>42.914798735219449</v>
      </c>
    </row>
    <row r="219" spans="3:16" ht="20" thickBot="1" x14ac:dyDescent="0.3">
      <c r="C219" s="163">
        <f t="shared" si="32"/>
        <v>700</v>
      </c>
      <c r="D219" s="221">
        <f t="shared" si="30"/>
        <v>12.471599999999999</v>
      </c>
      <c r="E219" s="222" cm="1">
        <f t="array" ref="E219">$B$7*SUM(($D$42:$D$50*$D$42:$D$50)*EXP($D$42:$D$50/$C219)/($C219^2*(EXP($D$42:$D$50/$C219)-1)^2))</f>
        <v>23.396560524406762</v>
      </c>
      <c r="F219" s="223">
        <f t="shared" si="31"/>
        <v>12.471599999999999</v>
      </c>
      <c r="G219" s="224">
        <v>0</v>
      </c>
      <c r="H219" s="219">
        <f t="shared" si="28"/>
        <v>48.339760524406756</v>
      </c>
    </row>
    <row r="220" spans="3:16" ht="20" thickBot="1" x14ac:dyDescent="0.3">
      <c r="C220" s="163">
        <f t="shared" si="32"/>
        <v>800</v>
      </c>
      <c r="D220" s="221">
        <f t="shared" si="30"/>
        <v>12.471599999999999</v>
      </c>
      <c r="E220" s="222" cm="1">
        <f t="array" ref="E220">$B$7*SUM(($D$42:$D$50*$D$42:$D$50)*EXP($D$42:$D$50/$C220)/($C220^2*(EXP($D$42:$D$50/$C220)-1)^2))</f>
        <v>28.425215171871532</v>
      </c>
      <c r="F220" s="223">
        <f t="shared" si="31"/>
        <v>12.471599999999999</v>
      </c>
      <c r="G220" s="224">
        <v>0</v>
      </c>
      <c r="H220" s="219">
        <f t="shared" si="28"/>
        <v>53.368415171871533</v>
      </c>
    </row>
    <row r="221" spans="3:16" ht="20" thickBot="1" x14ac:dyDescent="0.3">
      <c r="C221" s="163">
        <f t="shared" si="32"/>
        <v>900</v>
      </c>
      <c r="D221" s="221">
        <f t="shared" si="30"/>
        <v>12.471599999999999</v>
      </c>
      <c r="E221" s="222" cm="1">
        <f t="array" ref="E221">$B$7*SUM(($D$42:$D$50*$D$42:$D$50)*EXP($D$42:$D$50/$C221)/($C221^2*(EXP($D$42:$D$50/$C221)-1)^2))</f>
        <v>33.024021363696363</v>
      </c>
      <c r="F221" s="223">
        <f t="shared" si="31"/>
        <v>12.471599999999999</v>
      </c>
      <c r="G221" s="224">
        <v>0</v>
      </c>
      <c r="H221" s="219">
        <f t="shared" si="28"/>
        <v>57.967221363696353</v>
      </c>
    </row>
    <row r="222" spans="3:16" ht="20" thickBot="1" x14ac:dyDescent="0.3">
      <c r="C222" s="163">
        <f t="shared" si="32"/>
        <v>1000</v>
      </c>
      <c r="D222" s="221">
        <f t="shared" si="30"/>
        <v>12.471599999999999</v>
      </c>
      <c r="E222" s="222" cm="1">
        <f t="array" ref="E222">$B$7*SUM(($D$42:$D$50*$D$42:$D$50)*EXP($D$42:$D$50/$C222)/($C222^2*(EXP($D$42:$D$50/$C222)-1)^2))</f>
        <v>37.185509445501083</v>
      </c>
      <c r="F222" s="223">
        <f t="shared" si="31"/>
        <v>12.471599999999999</v>
      </c>
      <c r="G222" s="224">
        <v>0</v>
      </c>
      <c r="H222" s="219">
        <f t="shared" si="28"/>
        <v>62.128709445501073</v>
      </c>
    </row>
    <row r="223" spans="3:16" ht="20" thickBot="1" x14ac:dyDescent="0.3">
      <c r="C223" s="163">
        <f t="shared" si="32"/>
        <v>1100</v>
      </c>
      <c r="D223" s="221">
        <f t="shared" si="30"/>
        <v>12.471599999999999</v>
      </c>
      <c r="E223" s="222" cm="1">
        <f t="array" ref="E223">$B$7*SUM(($D$42:$D$50*$D$42:$D$50)*EXP($D$42:$D$50/$C223)/($C223^2*(EXP($D$42:$D$50/$C223)-1)^2))</f>
        <v>40.918906989071502</v>
      </c>
      <c r="F223" s="223">
        <f t="shared" si="31"/>
        <v>12.471599999999999</v>
      </c>
      <c r="G223" s="224">
        <v>0</v>
      </c>
      <c r="H223" s="219">
        <f t="shared" si="28"/>
        <v>65.862106989071492</v>
      </c>
    </row>
    <row r="224" spans="3:16" ht="20" thickBot="1" x14ac:dyDescent="0.3">
      <c r="C224" s="163">
        <f t="shared" si="32"/>
        <v>1200</v>
      </c>
      <c r="D224" s="221">
        <f t="shared" si="30"/>
        <v>12.471599999999999</v>
      </c>
      <c r="E224" s="222" cm="1">
        <f t="array" ref="E224">$B$7*SUM(($D$42:$D$50*$D$42:$D$50)*EXP($D$42:$D$50/$C224)/($C224^2*(EXP($D$42:$D$50/$C224)-1)^2))</f>
        <v>44.246445768537747</v>
      </c>
      <c r="F224" s="223">
        <f t="shared" si="31"/>
        <v>12.471599999999999</v>
      </c>
      <c r="G224" s="224">
        <v>0</v>
      </c>
      <c r="H224" s="219">
        <f t="shared" si="28"/>
        <v>69.189645768537744</v>
      </c>
    </row>
    <row r="225" spans="3:11" ht="20" thickBot="1" x14ac:dyDescent="0.3">
      <c r="C225" s="163">
        <f t="shared" si="32"/>
        <v>1300</v>
      </c>
      <c r="D225" s="221">
        <f t="shared" si="30"/>
        <v>12.471599999999999</v>
      </c>
      <c r="E225" s="222" cm="1">
        <f t="array" ref="E225">$B$7*SUM(($D$42:$D$50*$D$42:$D$50)*EXP($D$42:$D$50/$C225)/($C225^2*(EXP($D$42:$D$50/$C225)-1)^2))</f>
        <v>47.199095197128734</v>
      </c>
      <c r="F225" s="223">
        <f t="shared" si="31"/>
        <v>12.471599999999999</v>
      </c>
      <c r="G225" s="224">
        <v>0</v>
      </c>
      <c r="H225" s="219">
        <f t="shared" si="28"/>
        <v>72.142295197128732</v>
      </c>
    </row>
    <row r="226" spans="3:11" ht="20" thickBot="1" x14ac:dyDescent="0.3">
      <c r="C226" s="163">
        <f t="shared" si="32"/>
        <v>1400</v>
      </c>
      <c r="D226" s="221">
        <f t="shared" si="30"/>
        <v>12.471599999999999</v>
      </c>
      <c r="E226" s="222" cm="1">
        <f t="array" ref="E226">$B$7*SUM(($D$42:$D$50*$D$42:$D$50)*EXP($D$42:$D$50/$C226)/($C226^2*(EXP($D$42:$D$50/$C226)-1)^2))</f>
        <v>49.812292331867766</v>
      </c>
      <c r="F226" s="223">
        <f t="shared" si="31"/>
        <v>12.471599999999999</v>
      </c>
      <c r="G226" s="224">
        <v>0</v>
      </c>
      <c r="H226" s="219">
        <f t="shared" si="28"/>
        <v>74.755492331867757</v>
      </c>
    </row>
    <row r="227" spans="3:11" ht="20" thickBot="1" x14ac:dyDescent="0.3">
      <c r="C227" s="163">
        <f t="shared" si="32"/>
        <v>1500</v>
      </c>
      <c r="D227" s="221">
        <f t="shared" si="30"/>
        <v>12.471599999999999</v>
      </c>
      <c r="E227" s="222" cm="1">
        <f t="array" ref="E227">$B$7*SUM(($D$42:$D$50*$D$42:$D$50)*EXP($D$42:$D$50/$C227)/($C227^2*(EXP($D$42:$D$50/$C227)-1)^2))</f>
        <v>52.122541541593264</v>
      </c>
      <c r="F227" s="223">
        <f t="shared" si="31"/>
        <v>12.471599999999999</v>
      </c>
      <c r="G227" s="224">
        <v>0</v>
      </c>
      <c r="H227" s="219">
        <f t="shared" si="28"/>
        <v>77.065741541593255</v>
      </c>
    </row>
    <row r="228" spans="3:11" ht="20" thickBot="1" x14ac:dyDescent="0.3">
      <c r="C228" s="163">
        <f t="shared" si="32"/>
        <v>1600</v>
      </c>
      <c r="D228" s="221">
        <f t="shared" si="30"/>
        <v>12.471599999999999</v>
      </c>
      <c r="E228" s="222" cm="1">
        <f t="array" ref="E228">$B$7*SUM(($D$42:$D$50*$D$42:$D$50)*EXP($D$42:$D$50/$C228)/($C228^2*(EXP($D$42:$D$50/$C228)-1)^2))</f>
        <v>54.165124207444343</v>
      </c>
      <c r="F228" s="223">
        <f t="shared" si="31"/>
        <v>12.471599999999999</v>
      </c>
      <c r="G228" s="224">
        <v>0</v>
      </c>
      <c r="H228" s="219">
        <f t="shared" si="28"/>
        <v>79.10832420744434</v>
      </c>
    </row>
    <row r="229" spans="3:11" ht="20" thickBot="1" x14ac:dyDescent="0.3">
      <c r="C229" s="163">
        <f t="shared" si="32"/>
        <v>1700</v>
      </c>
      <c r="D229" s="221">
        <f t="shared" si="30"/>
        <v>12.471599999999999</v>
      </c>
      <c r="E229" s="222" cm="1">
        <f t="array" ref="E229">$B$7*SUM(($D$42:$D$50*$D$42:$D$50)*EXP($D$42:$D$50/$C229)/($C229^2*(EXP($D$42:$D$50/$C229)-1)^2))</f>
        <v>55.972772610273616</v>
      </c>
      <c r="F229" s="223">
        <f t="shared" si="31"/>
        <v>12.471599999999999</v>
      </c>
      <c r="G229" s="224">
        <v>0</v>
      </c>
      <c r="H229" s="219">
        <f t="shared" si="28"/>
        <v>80.915972610273613</v>
      </c>
    </row>
    <row r="230" spans="3:11" ht="20" thickBot="1" x14ac:dyDescent="0.3">
      <c r="C230" s="163">
        <f t="shared" si="32"/>
        <v>1800</v>
      </c>
      <c r="D230" s="221">
        <f t="shared" si="30"/>
        <v>12.471599999999999</v>
      </c>
      <c r="E230" s="222" cm="1">
        <f t="array" ref="E230">$B$7*SUM(($D$42:$D$50*$D$42:$D$50)*EXP($D$42:$D$50/$C230)/($C230^2*(EXP($D$42:$D$50/$C230)-1)^2))</f>
        <v>57.575045721202748</v>
      </c>
      <c r="F230" s="223">
        <f t="shared" si="31"/>
        <v>12.471599999999999</v>
      </c>
      <c r="G230" s="224">
        <v>0</v>
      </c>
      <c r="H230" s="219">
        <f t="shared" si="28"/>
        <v>82.518245721202746</v>
      </c>
    </row>
    <row r="231" spans="3:11" ht="20" thickBot="1" x14ac:dyDescent="0.3">
      <c r="C231" s="163">
        <f t="shared" si="32"/>
        <v>1900</v>
      </c>
      <c r="D231" s="221">
        <f t="shared" si="30"/>
        <v>12.471599999999999</v>
      </c>
      <c r="E231" s="222" cm="1">
        <f t="array" ref="E231">$B$7*SUM(($D$42:$D$50*$D$42:$D$50)*EXP($D$42:$D$50/$C231)/($C231^2*(EXP($D$42:$D$50/$C231)-1)^2))</f>
        <v>58.998161585728603</v>
      </c>
      <c r="F231" s="223">
        <f t="shared" si="31"/>
        <v>12.471599999999999</v>
      </c>
      <c r="G231" s="224">
        <v>0</v>
      </c>
      <c r="H231" s="219">
        <f t="shared" si="28"/>
        <v>83.9413615857286</v>
      </c>
    </row>
    <row r="232" spans="3:11" ht="20" thickBot="1" x14ac:dyDescent="0.3">
      <c r="C232" s="170">
        <f t="shared" si="32"/>
        <v>2000</v>
      </c>
      <c r="D232" s="225">
        <f t="shared" si="30"/>
        <v>12.471599999999999</v>
      </c>
      <c r="E232" s="226" cm="1">
        <f t="array" ref="E232">$B$7*SUM(($D$42:$D$50*$D$42:$D$50)*EXP($D$42:$D$50/$C232)/($C232^2*(EXP($D$42:$D$50/$C232)-1)^2))</f>
        <v>60.265099710683764</v>
      </c>
      <c r="F232" s="227">
        <f t="shared" si="31"/>
        <v>12.471599999999999</v>
      </c>
      <c r="G232" s="228">
        <v>0</v>
      </c>
      <c r="H232" s="229">
        <f t="shared" si="28"/>
        <v>85.208299710683761</v>
      </c>
    </row>
    <row r="238" spans="3:11" ht="17" thickBot="1" x14ac:dyDescent="0.25"/>
    <row r="239" spans="3:11" ht="20" thickBot="1" x14ac:dyDescent="0.3">
      <c r="E239" s="60"/>
      <c r="F239" s="60" t="s">
        <v>77</v>
      </c>
      <c r="G239" s="60"/>
      <c r="H239" s="350" t="s">
        <v>108</v>
      </c>
      <c r="I239" s="351"/>
      <c r="J239" s="351"/>
      <c r="K239" s="352"/>
    </row>
    <row r="240" spans="3:11" ht="28" thickBot="1" x14ac:dyDescent="0.4">
      <c r="C240" s="153" t="s">
        <v>122</v>
      </c>
      <c r="D240" s="154"/>
      <c r="E240" s="60"/>
      <c r="F240" s="60"/>
      <c r="G240" s="60"/>
      <c r="H240" s="210" t="s">
        <v>110</v>
      </c>
      <c r="I240" s="210" t="s">
        <v>111</v>
      </c>
      <c r="J240" s="210" t="s">
        <v>112</v>
      </c>
      <c r="K240" s="210" t="s">
        <v>113</v>
      </c>
    </row>
    <row r="244" spans="3:10" ht="20" thickBot="1" x14ac:dyDescent="0.25">
      <c r="D244" s="353"/>
      <c r="E244" s="353"/>
    </row>
    <row r="245" spans="3:10" ht="20" thickBot="1" x14ac:dyDescent="0.25">
      <c r="D245" s="354" t="s">
        <v>123</v>
      </c>
      <c r="E245" s="355"/>
    </row>
    <row r="246" spans="3:10" ht="20" thickBot="1" x14ac:dyDescent="0.3">
      <c r="D246" s="177" t="s">
        <v>115</v>
      </c>
      <c r="E246" s="211" t="s">
        <v>116</v>
      </c>
    </row>
    <row r="247" spans="3:10" ht="19" x14ac:dyDescent="0.25">
      <c r="C247" s="86" t="s">
        <v>45</v>
      </c>
      <c r="D247" s="230">
        <f>$R23</f>
        <v>47.235999999999997</v>
      </c>
      <c r="E247" s="133">
        <f>D247*4.184</f>
        <v>197.635424</v>
      </c>
    </row>
    <row r="248" spans="3:10" ht="19" x14ac:dyDescent="0.25">
      <c r="C248" s="92" t="s">
        <v>48</v>
      </c>
      <c r="D248" s="230">
        <f t="shared" ref="D248:D251" si="34">$R24</f>
        <v>0</v>
      </c>
      <c r="E248" s="139">
        <f t="shared" ref="E248:E251" si="35">D248*4.184</f>
        <v>0</v>
      </c>
    </row>
    <row r="249" spans="3:10" ht="19" x14ac:dyDescent="0.25">
      <c r="C249" s="92" t="s">
        <v>50</v>
      </c>
      <c r="D249" s="230">
        <f t="shared" si="34"/>
        <v>34.261000000000003</v>
      </c>
      <c r="E249" s="139">
        <f t="shared" si="35"/>
        <v>143.34802400000001</v>
      </c>
    </row>
    <row r="250" spans="3:10" ht="19" x14ac:dyDescent="0.25">
      <c r="C250" s="92" t="s">
        <v>52</v>
      </c>
      <c r="D250" s="230">
        <f t="shared" si="34"/>
        <v>12.89</v>
      </c>
      <c r="E250" s="139">
        <f t="shared" si="35"/>
        <v>53.931760000000004</v>
      </c>
    </row>
    <row r="251" spans="3:10" ht="20" thickBot="1" x14ac:dyDescent="0.3">
      <c r="C251" s="97" t="s">
        <v>55</v>
      </c>
      <c r="D251" s="230">
        <f t="shared" si="34"/>
        <v>8.5000000000000006E-2</v>
      </c>
      <c r="E251" s="139">
        <f t="shared" si="35"/>
        <v>0.35564000000000007</v>
      </c>
    </row>
    <row r="253" spans="3:10" ht="17" thickBot="1" x14ac:dyDescent="0.25"/>
    <row r="254" spans="3:10" ht="20" thickBot="1" x14ac:dyDescent="0.3">
      <c r="C254" s="61" t="s">
        <v>34</v>
      </c>
      <c r="D254" s="231"/>
      <c r="E254" s="231"/>
      <c r="F254" s="231"/>
      <c r="G254" s="232"/>
      <c r="I254" s="70" t="s">
        <v>124</v>
      </c>
      <c r="J254" s="233">
        <f>($B$14^2)/(8*PI()*PI()*$G$258*$B$8)</f>
        <v>1.222230608475283</v>
      </c>
    </row>
    <row r="255" spans="3:10" ht="20" thickBot="1" x14ac:dyDescent="0.3">
      <c r="C255" s="234"/>
      <c r="D255" s="67" t="s">
        <v>37</v>
      </c>
      <c r="E255" s="68" t="s">
        <v>38</v>
      </c>
      <c r="F255" s="69" t="s">
        <v>39</v>
      </c>
      <c r="G255" s="207" t="s">
        <v>121</v>
      </c>
      <c r="I255" s="115"/>
      <c r="J255" s="115"/>
    </row>
    <row r="256" spans="3:10" ht="22" thickBot="1" x14ac:dyDescent="0.3">
      <c r="C256" s="78" t="s">
        <v>44</v>
      </c>
      <c r="D256" s="79">
        <f>D$23</f>
        <v>11.460050000000001</v>
      </c>
      <c r="E256" s="79">
        <f t="shared" ref="E256:F256" si="36">E$23</f>
        <v>11.46124</v>
      </c>
      <c r="F256" s="79">
        <f t="shared" si="36"/>
        <v>11.46124</v>
      </c>
      <c r="G256" s="235">
        <f>SQRT(F256^2 + E256^2 + D256^2)</f>
        <v>19.850762974699489</v>
      </c>
      <c r="J256" s="115"/>
    </row>
    <row r="257" spans="1:18" ht="22" thickBot="1" x14ac:dyDescent="0.3">
      <c r="C257" s="90" t="s">
        <v>47</v>
      </c>
      <c r="D257" s="91">
        <f>D256*$U$9</f>
        <v>1.9023682999999999E-26</v>
      </c>
      <c r="E257" s="91">
        <f t="shared" ref="E257:F257" si="37">E256*$U$9</f>
        <v>1.9025658399999998E-26</v>
      </c>
      <c r="F257" s="236">
        <f t="shared" si="37"/>
        <v>1.9025658399999998E-26</v>
      </c>
      <c r="G257" s="235">
        <f t="shared" ref="G257:G258" si="38">SQRT(F257^2 + E257^2 + D257^2)</f>
        <v>3.2952266538001144E-26</v>
      </c>
    </row>
    <row r="258" spans="1:18" ht="22" thickBot="1" x14ac:dyDescent="0.3">
      <c r="C258" s="93" t="s">
        <v>49</v>
      </c>
      <c r="D258" s="94">
        <f>D257*($Q$8)^2</f>
        <v>1.9023682999999999E-46</v>
      </c>
      <c r="E258" s="95">
        <f>E257*($Q$8)^2</f>
        <v>1.9025658400000001E-46</v>
      </c>
      <c r="F258" s="237">
        <f t="shared" ref="F258" si="39">F257*($Q$8)^2</f>
        <v>1.9025658400000001E-46</v>
      </c>
      <c r="G258" s="235">
        <f t="shared" si="38"/>
        <v>3.2952266538001147E-46</v>
      </c>
    </row>
    <row r="259" spans="1:18" ht="17" thickBot="1" x14ac:dyDescent="0.25"/>
    <row r="260" spans="1:18" ht="20" thickBot="1" x14ac:dyDescent="0.3">
      <c r="F260" s="238" t="s">
        <v>116</v>
      </c>
      <c r="G260" s="239"/>
      <c r="H260" s="239"/>
      <c r="I260" s="239"/>
      <c r="J260" s="240"/>
    </row>
    <row r="261" spans="1:18" ht="23" thickBot="1" x14ac:dyDescent="0.35">
      <c r="C261" s="201" t="s">
        <v>79</v>
      </c>
      <c r="D261" s="241" t="s">
        <v>125</v>
      </c>
      <c r="E261" s="187" t="s">
        <v>126</v>
      </c>
      <c r="F261" s="242" t="s">
        <v>117</v>
      </c>
      <c r="G261" s="243" t="s">
        <v>118</v>
      </c>
      <c r="H261" s="243" t="s">
        <v>119</v>
      </c>
      <c r="I261" s="244" t="s">
        <v>120</v>
      </c>
      <c r="J261" s="207" t="s">
        <v>121</v>
      </c>
      <c r="L261" s="157" t="s">
        <v>82</v>
      </c>
      <c r="M261" s="158"/>
      <c r="N261" s="158"/>
      <c r="O261" s="158"/>
      <c r="P261" s="158"/>
      <c r="Q261" s="158"/>
    </row>
    <row r="262" spans="1:18" ht="20" thickBot="1" x14ac:dyDescent="0.3">
      <c r="C262" s="187">
        <v>298.14999999999998</v>
      </c>
      <c r="D262" s="245">
        <f>$B$7*C262/$B$16</f>
        <v>2.4465219442388352E-2</v>
      </c>
      <c r="E262" s="246">
        <f>((2*PI()*$A$28*$U$9*$B$8*$C262)/($B$14*$B$14))^(3/2)</f>
        <v>6.2071894026533771E+31</v>
      </c>
      <c r="F262" s="247">
        <f t="shared" ref="F262:F280" si="40">$B$7*LN(($D262/$B$6)*EXP(5/2)*E262)</f>
        <v>143.34394329311561</v>
      </c>
      <c r="G262" s="248" cm="1">
        <f t="array" ref="G262">$B$7*SUM((($D$42:$D$50)/$C262)/(EXP($D$42:$D$50/$C262)-1)-LN(1-EXP(-$D$42:$D$50/$C262)))</f>
        <v>0.35628619407215534</v>
      </c>
      <c r="H262" s="249">
        <f>$B$7*(LN((SQRT(PI())/$A$31)*($C262^(3/2)/SQRT(C$29*D$29*E$29)))+3/2)</f>
        <v>53.930226367638582</v>
      </c>
      <c r="I262" s="250">
        <v>0</v>
      </c>
      <c r="J262" s="251">
        <f t="shared" ref="J262:J280" si="41">SUM(F262:I262)</f>
        <v>197.63045585482638</v>
      </c>
      <c r="L262" s="60"/>
      <c r="M262" s="60"/>
      <c r="N262" s="60"/>
      <c r="O262" s="60"/>
      <c r="P262" s="60"/>
      <c r="Q262" s="60"/>
    </row>
    <row r="263" spans="1:18" ht="20" thickBot="1" x14ac:dyDescent="0.3">
      <c r="C263" s="159">
        <v>300</v>
      </c>
      <c r="D263" s="245">
        <f>$B$7*C263/$B$16</f>
        <v>2.4617024426350848E-2</v>
      </c>
      <c r="E263" s="246">
        <f>((2*PI()*$A$28*$U$9*$B$8*$C263)/($B$14*$B$14))^(3/2)</f>
        <v>6.2650516965619017E+31</v>
      </c>
      <c r="F263" s="252">
        <f t="shared" si="40"/>
        <v>143.47252048149971</v>
      </c>
      <c r="G263" s="217" cm="1">
        <f t="array" ref="G263">$B$7*SUM((($D$42:$D$50)/$C263)/(EXP($D$42:$D$50/$C263)-1)-LN(1-EXP(-$D$42:$D$50/$C263)))</f>
        <v>0.36940209593207096</v>
      </c>
      <c r="H263" s="253">
        <f t="shared" ref="H263:H280" si="42">$B$7*(LN((SQRT(PI())/$A$31)*($C263^(3/2)/SQRT(C$29*D$29*E$29)))+3/2)</f>
        <v>54.007372680669086</v>
      </c>
      <c r="I263" s="220">
        <v>0</v>
      </c>
      <c r="J263" s="251">
        <f t="shared" si="41"/>
        <v>197.84929525810085</v>
      </c>
      <c r="N263" s="213" t="s">
        <v>117</v>
      </c>
      <c r="O263" s="214" t="s">
        <v>118</v>
      </c>
      <c r="P263" s="214" t="s">
        <v>119</v>
      </c>
      <c r="Q263" s="215" t="s">
        <v>120</v>
      </c>
      <c r="R263" s="207" t="s">
        <v>121</v>
      </c>
    </row>
    <row r="264" spans="1:18" ht="20" thickBot="1" x14ac:dyDescent="0.3">
      <c r="C264" s="163">
        <f>C263+100</f>
        <v>400</v>
      </c>
      <c r="D264" s="254">
        <f t="shared" ref="D264:D280" si="43">$B$7*C264/$B$16</f>
        <v>3.2822699235134464E-2</v>
      </c>
      <c r="E264" s="255">
        <f t="shared" ref="E264:E280" si="44">(2*PI()*$A$28*$U$9*$B$8*$C264/($B$14)^2)^(3/2)</f>
        <v>9.6456780893252501E+31</v>
      </c>
      <c r="F264" s="256">
        <f t="shared" si="40"/>
        <v>149.4522800394825</v>
      </c>
      <c r="G264" s="222" cm="1">
        <f t="array" ref="G264">$B$7*SUM((($D$42:$D$50)/$C264)/(EXP($D$42:$D$50/$C264)-1)-LN(1-EXP(-$D$42:$D$50/$C264)))</f>
        <v>1.5578337206433435</v>
      </c>
      <c r="H264" s="257">
        <f t="shared" si="42"/>
        <v>57.59522841545872</v>
      </c>
      <c r="I264" s="224">
        <v>0</v>
      </c>
      <c r="J264" s="251">
        <f t="shared" si="41"/>
        <v>208.60534217558455</v>
      </c>
      <c r="M264" s="166" t="s">
        <v>84</v>
      </c>
      <c r="N264" s="258">
        <f>F$262</f>
        <v>143.34394329311561</v>
      </c>
      <c r="O264" s="258">
        <f>G$262</f>
        <v>0.35628619407215534</v>
      </c>
      <c r="P264" s="258">
        <f>H$262</f>
        <v>53.930226367638582</v>
      </c>
      <c r="Q264" s="258">
        <f>I$262</f>
        <v>0</v>
      </c>
      <c r="R264" s="258">
        <f>J$262</f>
        <v>197.63045585482638</v>
      </c>
    </row>
    <row r="265" spans="1:18" ht="20" thickBot="1" x14ac:dyDescent="0.3">
      <c r="C265" s="163">
        <f t="shared" ref="C265:C280" si="45">C264+100</f>
        <v>500</v>
      </c>
      <c r="D265" s="254">
        <f t="shared" si="43"/>
        <v>4.1028374043918084E-2</v>
      </c>
      <c r="E265" s="255">
        <f t="shared" si="44"/>
        <v>1.3480244935507294E+32</v>
      </c>
      <c r="F265" s="256">
        <f t="shared" si="40"/>
        <v>154.09054189709971</v>
      </c>
      <c r="G265" s="222" cm="1">
        <f t="array" ref="G265">$B$7*SUM((($D$42:$D$50)/$C265)/(EXP($D$42:$D$50/$C265)-1)-LN(1-EXP(-$D$42:$D$50/$C265)))</f>
        <v>3.6351261768036633</v>
      </c>
      <c r="H265" s="257">
        <f t="shared" si="42"/>
        <v>60.378185530029022</v>
      </c>
      <c r="I265" s="224">
        <v>0</v>
      </c>
      <c r="J265" s="251">
        <f t="shared" si="41"/>
        <v>218.10385360393238</v>
      </c>
      <c r="M265" s="167" t="s">
        <v>85</v>
      </c>
      <c r="N265" s="258">
        <f>E249</f>
        <v>143.34802400000001</v>
      </c>
      <c r="O265" s="258">
        <f>E251</f>
        <v>0.35564000000000007</v>
      </c>
      <c r="P265" s="258">
        <f>E250</f>
        <v>53.931760000000004</v>
      </c>
      <c r="Q265" s="258">
        <f>E248</f>
        <v>0</v>
      </c>
      <c r="R265" s="258">
        <f>E247</f>
        <v>197.635424</v>
      </c>
    </row>
    <row r="266" spans="1:18" ht="23" thickBot="1" x14ac:dyDescent="0.35">
      <c r="C266" s="163">
        <f t="shared" si="45"/>
        <v>600</v>
      </c>
      <c r="D266" s="254">
        <f t="shared" si="43"/>
        <v>4.9234048852701696E-2</v>
      </c>
      <c r="E266" s="255">
        <f t="shared" si="44"/>
        <v>1.7720242156492869E+32</v>
      </c>
      <c r="F266" s="256">
        <f t="shared" si="40"/>
        <v>157.88027777661875</v>
      </c>
      <c r="G266" s="222" cm="1">
        <f t="array" ref="G266">$B$7*SUM((($D$42:$D$50)/$C266)/(EXP($D$42:$D$50/$C266)-1)-LN(1-EXP(-$D$42:$D$50/$C266)))</f>
        <v>6.3779569117927872</v>
      </c>
      <c r="H266" s="257">
        <f t="shared" si="42"/>
        <v>62.65202705774049</v>
      </c>
      <c r="I266" s="224">
        <v>0</v>
      </c>
      <c r="J266" s="251">
        <f t="shared" si="41"/>
        <v>226.91026174615203</v>
      </c>
      <c r="L266" s="60"/>
      <c r="M266" s="168" t="s">
        <v>86</v>
      </c>
      <c r="N266" s="169">
        <f>IFERROR(ABS(N264-N265)/N264,0)</f>
        <v>2.8467940748987632E-5</v>
      </c>
      <c r="O266" s="169">
        <f t="shared" ref="O266:R266" si="46">IFERROR(ABS(O264-O265)/O264,0)</f>
        <v>1.813693830708475E-3</v>
      </c>
      <c r="P266" s="169">
        <f t="shared" si="46"/>
        <v>2.8437343299237368E-5</v>
      </c>
      <c r="Q266" s="169">
        <f t="shared" si="46"/>
        <v>0</v>
      </c>
      <c r="R266" s="169">
        <f t="shared" si="46"/>
        <v>2.5138560512505207E-5</v>
      </c>
    </row>
    <row r="267" spans="1:18" ht="20" thickBot="1" x14ac:dyDescent="0.3">
      <c r="A267" s="259"/>
      <c r="C267" s="163">
        <f t="shared" si="45"/>
        <v>700</v>
      </c>
      <c r="D267" s="254">
        <f t="shared" si="43"/>
        <v>5.7439723661485309E-2</v>
      </c>
      <c r="E267" s="255">
        <f t="shared" si="44"/>
        <v>2.2330057269572045E+32</v>
      </c>
      <c r="F267" s="256">
        <f t="shared" si="40"/>
        <v>161.08445380750828</v>
      </c>
      <c r="G267" s="222" cm="1">
        <f t="array" ref="G267">$B$7*SUM((($D$42:$D$50)/$C267)/(EXP($D$42:$D$50/$C267)-1)-LN(1-EXP(-$D$42:$D$50/$C267)))</f>
        <v>9.5603628364572444</v>
      </c>
      <c r="H267" s="257">
        <f t="shared" si="42"/>
        <v>64.574532676274131</v>
      </c>
      <c r="I267" s="224">
        <v>0</v>
      </c>
      <c r="J267" s="251">
        <f t="shared" si="41"/>
        <v>235.21934932023964</v>
      </c>
    </row>
    <row r="268" spans="1:18" ht="20" thickBot="1" x14ac:dyDescent="0.3">
      <c r="A268" s="259"/>
      <c r="C268" s="163">
        <f t="shared" si="45"/>
        <v>800</v>
      </c>
      <c r="D268" s="254">
        <f t="shared" si="43"/>
        <v>6.5645398470268929E-2</v>
      </c>
      <c r="E268" s="255">
        <f t="shared" si="44"/>
        <v>2.7282097544417618E+32</v>
      </c>
      <c r="F268" s="256">
        <f t="shared" si="40"/>
        <v>163.86003733460157</v>
      </c>
      <c r="G268" s="222" cm="1">
        <f t="array" ref="G268">$B$7*SUM((($D$42:$D$50)/$C268)/(EXP($D$42:$D$50/$C268)-1)-LN(1-EXP(-$D$42:$D$50/$C268)))</f>
        <v>13.017476642191708</v>
      </c>
      <c r="H268" s="257">
        <f t="shared" si="42"/>
        <v>66.239882792530125</v>
      </c>
      <c r="I268" s="224">
        <v>0</v>
      </c>
      <c r="J268" s="251">
        <f t="shared" si="41"/>
        <v>243.11739676932339</v>
      </c>
    </row>
    <row r="269" spans="1:18" ht="20" thickBot="1" x14ac:dyDescent="0.3">
      <c r="C269" s="163">
        <f t="shared" si="45"/>
        <v>900</v>
      </c>
      <c r="D269" s="254">
        <f t="shared" si="43"/>
        <v>7.3851073279052548E-2</v>
      </c>
      <c r="E269" s="255">
        <f t="shared" si="44"/>
        <v>3.2554163551472771E+32</v>
      </c>
      <c r="F269" s="256">
        <f t="shared" si="40"/>
        <v>166.30827551375512</v>
      </c>
      <c r="G269" s="222" cm="1">
        <f t="array" ref="G269">$B$7*SUM((($D$42:$D$50)/$C269)/(EXP($D$42:$D$50/$C269)-1)-LN(1-EXP(-$D$42:$D$50/$C269)))</f>
        <v>16.635287332238967</v>
      </c>
      <c r="H269" s="257">
        <f t="shared" si="42"/>
        <v>67.708825700022288</v>
      </c>
      <c r="I269" s="224">
        <v>0</v>
      </c>
      <c r="J269" s="251">
        <f t="shared" si="41"/>
        <v>250.65238854601637</v>
      </c>
    </row>
    <row r="270" spans="1:18" ht="20" thickBot="1" x14ac:dyDescent="0.3">
      <c r="C270" s="163">
        <f t="shared" si="45"/>
        <v>1000</v>
      </c>
      <c r="D270" s="254">
        <f t="shared" si="43"/>
        <v>8.2056748087836168E-2</v>
      </c>
      <c r="E270" s="255">
        <f t="shared" si="44"/>
        <v>3.812789042381085E+32</v>
      </c>
      <c r="F270" s="256">
        <f t="shared" si="40"/>
        <v>168.49829919221864</v>
      </c>
      <c r="G270" s="222" cm="1">
        <f t="array" ref="G270">$B$7*SUM((($D$42:$D$50)/$C270)/(EXP($D$42:$D$50/$C270)-1)-LN(1-EXP(-$D$42:$D$50/$C270)))</f>
        <v>20.333916449870596</v>
      </c>
      <c r="H270" s="257">
        <f t="shared" si="42"/>
        <v>69.022839907100433</v>
      </c>
      <c r="I270" s="224">
        <v>0</v>
      </c>
      <c r="J270" s="251">
        <f t="shared" si="41"/>
        <v>257.85505554918967</v>
      </c>
    </row>
    <row r="271" spans="1:18" ht="20" thickBot="1" x14ac:dyDescent="0.3">
      <c r="C271" s="163">
        <f t="shared" si="45"/>
        <v>1100</v>
      </c>
      <c r="D271" s="254">
        <f t="shared" si="43"/>
        <v>9.0262422896619773E-2</v>
      </c>
      <c r="E271" s="255">
        <f t="shared" si="44"/>
        <v>4.3987755722410577E+32</v>
      </c>
      <c r="F271" s="256">
        <f t="shared" si="40"/>
        <v>170.4794165896314</v>
      </c>
      <c r="G271" s="222" cm="1">
        <f t="array" ref="G271">$B$7*SUM((($D$42:$D$50)/$C271)/(EXP($D$42:$D$50/$C271)-1)-LN(1-EXP(-$D$42:$D$50/$C271)))</f>
        <v>24.056490793759451</v>
      </c>
      <c r="H271" s="257">
        <f t="shared" si="42"/>
        <v>70.211510345548035</v>
      </c>
      <c r="I271" s="224">
        <v>0</v>
      </c>
      <c r="J271" s="251">
        <f t="shared" si="41"/>
        <v>264.7474177289389</v>
      </c>
    </row>
    <row r="272" spans="1:18" ht="20" thickBot="1" x14ac:dyDescent="0.3">
      <c r="C272" s="163">
        <f t="shared" si="45"/>
        <v>1200</v>
      </c>
      <c r="D272" s="254">
        <f t="shared" si="43"/>
        <v>9.8468097705403393E-2</v>
      </c>
      <c r="E272" s="255">
        <f t="shared" si="44"/>
        <v>5.0120413572495495E+32</v>
      </c>
      <c r="F272" s="256">
        <f t="shared" si="40"/>
        <v>172.28803507173782</v>
      </c>
      <c r="G272" s="222" cm="1">
        <f t="array" ref="G272">$B$7*SUM((($D$42:$D$50)/$C272)/(EXP($D$42:$D$50/$C272)-1)-LN(1-EXP(-$D$42:$D$50/$C272)))</f>
        <v>27.762407786175839</v>
      </c>
      <c r="H272" s="257">
        <f t="shared" si="42"/>
        <v>71.296681434811916</v>
      </c>
      <c r="I272" s="224">
        <v>0</v>
      </c>
      <c r="J272" s="251">
        <f t="shared" si="41"/>
        <v>271.34712429272554</v>
      </c>
    </row>
    <row r="273" spans="3:10" ht="20" thickBot="1" x14ac:dyDescent="0.3">
      <c r="C273" s="163">
        <f t="shared" si="45"/>
        <v>1300</v>
      </c>
      <c r="D273" s="254">
        <f t="shared" si="43"/>
        <v>0.10667377251418701</v>
      </c>
      <c r="E273" s="255">
        <f t="shared" si="44"/>
        <v>5.6514228773732626E+32</v>
      </c>
      <c r="F273" s="256">
        <f t="shared" si="40"/>
        <v>173.95180279343992</v>
      </c>
      <c r="G273" s="222" cm="1">
        <f t="array" ref="G273">$B$7*SUM((($D$42:$D$50)/$C273)/(EXP($D$42:$D$50/$C273)-1)-LN(1-EXP(-$D$42:$D$50/$C273)))</f>
        <v>31.422991200460419</v>
      </c>
      <c r="H273" s="257">
        <f t="shared" si="42"/>
        <v>72.294942067833176</v>
      </c>
      <c r="I273" s="224">
        <v>0</v>
      </c>
      <c r="J273" s="251">
        <f t="shared" si="41"/>
        <v>277.66973606173349</v>
      </c>
    </row>
    <row r="274" spans="3:10" ht="20" thickBot="1" x14ac:dyDescent="0.3">
      <c r="C274" s="163">
        <f t="shared" si="45"/>
        <v>1400</v>
      </c>
      <c r="D274" s="254">
        <f t="shared" si="43"/>
        <v>0.11487944732297062</v>
      </c>
      <c r="E274" s="255">
        <f t="shared" si="44"/>
        <v>6.315893967839269E+32</v>
      </c>
      <c r="F274" s="256">
        <f t="shared" si="40"/>
        <v>175.49221110262718</v>
      </c>
      <c r="G274" s="222" cm="1">
        <f t="array" ref="G274">$B$7*SUM((($D$42:$D$50)/$C274)/(EXP($D$42:$D$50/$C274)-1)-LN(1-EXP(-$D$42:$D$50/$C274)))</f>
        <v>35.018437140596603</v>
      </c>
      <c r="H274" s="257">
        <f t="shared" si="42"/>
        <v>73.21918705334555</v>
      </c>
      <c r="I274" s="224">
        <v>0</v>
      </c>
      <c r="J274" s="251">
        <f t="shared" si="41"/>
        <v>283.72983529656932</v>
      </c>
    </row>
    <row r="275" spans="3:10" ht="20" thickBot="1" x14ac:dyDescent="0.3">
      <c r="C275" s="163">
        <f t="shared" si="45"/>
        <v>1500</v>
      </c>
      <c r="D275" s="254">
        <f t="shared" si="43"/>
        <v>0.12308512213175424</v>
      </c>
      <c r="E275" s="255">
        <f t="shared" si="44"/>
        <v>7.0045407380314778E+32</v>
      </c>
      <c r="F275" s="256">
        <f t="shared" si="40"/>
        <v>176.926296929355</v>
      </c>
      <c r="G275" s="222" cm="1">
        <f t="array" ref="G275">$B$7*SUM((($D$42:$D$50)/$C275)/(EXP($D$42:$D$50/$C275)-1)-LN(1-EXP(-$D$42:$D$50/$C275)))</f>
        <v>38.535547408815987</v>
      </c>
      <c r="H275" s="257">
        <f t="shared" si="42"/>
        <v>74.07963854938221</v>
      </c>
      <c r="I275" s="224">
        <v>0</v>
      </c>
      <c r="J275" s="251">
        <f t="shared" si="41"/>
        <v>289.54148288755317</v>
      </c>
    </row>
    <row r="276" spans="3:10" ht="20" thickBot="1" x14ac:dyDescent="0.3">
      <c r="C276" s="163">
        <f t="shared" si="45"/>
        <v>1600</v>
      </c>
      <c r="D276" s="254">
        <f t="shared" si="43"/>
        <v>0.13129079694053786</v>
      </c>
      <c r="E276" s="255">
        <f t="shared" si="44"/>
        <v>7.7165424714602433E+32</v>
      </c>
      <c r="F276" s="256">
        <f t="shared" si="40"/>
        <v>178.26779462972061</v>
      </c>
      <c r="G276" s="222" cm="1">
        <f t="array" ref="G276">$B$7*SUM((($D$42:$D$50)/$C276)/(EXP($D$42:$D$50/$C276)-1)-LN(1-EXP(-$D$42:$D$50/$C276)))</f>
        <v>41.96601146727334</v>
      </c>
      <c r="H276" s="257">
        <f t="shared" si="42"/>
        <v>74.884537169601543</v>
      </c>
      <c r="I276" s="224">
        <v>0</v>
      </c>
      <c r="J276" s="251">
        <f t="shared" si="41"/>
        <v>295.1183432665955</v>
      </c>
    </row>
    <row r="277" spans="3:10" ht="20" thickBot="1" x14ac:dyDescent="0.3">
      <c r="C277" s="163">
        <f t="shared" si="45"/>
        <v>1700</v>
      </c>
      <c r="D277" s="254">
        <f t="shared" si="43"/>
        <v>0.13949647174932148</v>
      </c>
      <c r="E277" s="255">
        <f t="shared" si="44"/>
        <v>8.4511567885112007E+32</v>
      </c>
      <c r="F277" s="256">
        <f t="shared" si="40"/>
        <v>179.52793801879693</v>
      </c>
      <c r="G277" s="222" cm="1">
        <f t="array" ref="G277">$B$7*SUM((($D$42:$D$50)/$C277)/(EXP($D$42:$D$50/$C277)-1)-LN(1-EXP(-$D$42:$D$50/$C277)))</f>
        <v>45.305101192807541</v>
      </c>
      <c r="H277" s="257">
        <f t="shared" si="42"/>
        <v>75.640623203047397</v>
      </c>
      <c r="I277" s="224">
        <v>0</v>
      </c>
      <c r="J277" s="251">
        <f t="shared" si="41"/>
        <v>300.47366241465187</v>
      </c>
    </row>
    <row r="278" spans="3:10" ht="20" thickBot="1" x14ac:dyDescent="0.3">
      <c r="C278" s="163">
        <f t="shared" si="45"/>
        <v>1800</v>
      </c>
      <c r="D278" s="254">
        <f t="shared" si="43"/>
        <v>0.1477021465581051</v>
      </c>
      <c r="E278" s="255">
        <f t="shared" si="44"/>
        <v>9.2077079212408295E+32</v>
      </c>
      <c r="F278" s="256">
        <f t="shared" si="40"/>
        <v>180.71603280887405</v>
      </c>
      <c r="G278" s="222" cm="1">
        <f t="array" ref="G278">$B$7*SUM((($D$42:$D$50)/$C278)/(EXP($D$42:$D$50/$C278)-1)-LN(1-EXP(-$D$42:$D$50/$C278)))</f>
        <v>48.550684496373563</v>
      </c>
      <c r="H278" s="257">
        <f t="shared" si="42"/>
        <v>76.353480077093707</v>
      </c>
      <c r="I278" s="224">
        <v>0</v>
      </c>
      <c r="J278" s="251">
        <f t="shared" si="41"/>
        <v>305.6201973823413</v>
      </c>
    </row>
    <row r="279" spans="3:10" ht="20" thickBot="1" x14ac:dyDescent="0.3">
      <c r="C279" s="163">
        <f t="shared" si="45"/>
        <v>1900</v>
      </c>
      <c r="D279" s="254">
        <f t="shared" si="43"/>
        <v>0.15590782136688872</v>
      </c>
      <c r="E279" s="255">
        <f t="shared" si="44"/>
        <v>9.9855773079072226E+32</v>
      </c>
      <c r="F279" s="256">
        <f t="shared" si="40"/>
        <v>181.83987407019816</v>
      </c>
      <c r="G279" s="222" cm="1">
        <f t="array" ref="G279">$B$7*SUM((($D$42:$D$50)/$C279)/(EXP($D$42:$D$50/$C279)-1)-LN(1-EXP(-$D$42:$D$50/$C279)))</f>
        <v>51.702485404289554</v>
      </c>
      <c r="H279" s="257">
        <f t="shared" si="42"/>
        <v>77.027784833888077</v>
      </c>
      <c r="I279" s="224">
        <v>0</v>
      </c>
      <c r="J279" s="251">
        <f t="shared" si="41"/>
        <v>310.5701443083758</v>
      </c>
    </row>
    <row r="280" spans="3:10" ht="20" thickBot="1" x14ac:dyDescent="0.3">
      <c r="C280" s="170">
        <f t="shared" si="45"/>
        <v>2000</v>
      </c>
      <c r="D280" s="260">
        <f t="shared" si="43"/>
        <v>0.16411349617567234</v>
      </c>
      <c r="E280" s="261">
        <f t="shared" si="44"/>
        <v>1.0784195948405743E+33</v>
      </c>
      <c r="F280" s="262">
        <f t="shared" si="40"/>
        <v>182.90605648733768</v>
      </c>
      <c r="G280" s="226" cm="1">
        <f t="array" ref="G280">$B$7*SUM((($D$42:$D$50)/$C280)/(EXP($D$42:$D$50/$C280)-1)-LN(1-EXP(-$D$42:$D$50/$C280)))</f>
        <v>54.761533071282138</v>
      </c>
      <c r="H280" s="263">
        <f t="shared" si="42"/>
        <v>77.667494284171838</v>
      </c>
      <c r="I280" s="228">
        <v>0</v>
      </c>
      <c r="J280" s="264">
        <f t="shared" si="41"/>
        <v>315.33508384279168</v>
      </c>
    </row>
  </sheetData>
  <mergeCells count="11">
    <mergeCell ref="A18:V18"/>
    <mergeCell ref="A53:V53"/>
    <mergeCell ref="C100:L100"/>
    <mergeCell ref="H198:K198"/>
    <mergeCell ref="D203:E203"/>
    <mergeCell ref="H239:K239"/>
    <mergeCell ref="D244:E244"/>
    <mergeCell ref="D245:E245"/>
    <mergeCell ref="Z93:AB93"/>
    <mergeCell ref="AG101:AM101"/>
    <mergeCell ref="D212:H21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67725-4875-F446-AECE-EEC35CDFCC0E}">
  <dimension ref="A3:AH280"/>
  <sheetViews>
    <sheetView tabSelected="1" topLeftCell="A160" zoomScale="119" zoomScaleNormal="80" workbookViewId="0">
      <selection activeCell="F172" sqref="F172"/>
    </sheetView>
  </sheetViews>
  <sheetFormatPr baseColWidth="10" defaultRowHeight="16" x14ac:dyDescent="0.2"/>
  <cols>
    <col min="1" max="1" width="17.1640625" customWidth="1"/>
    <col min="2" max="2" width="17" customWidth="1"/>
    <col min="3" max="3" width="18.6640625" customWidth="1"/>
    <col min="4" max="4" width="20" customWidth="1"/>
    <col min="5" max="5" width="18" customWidth="1"/>
    <col min="6" max="6" width="14.33203125" customWidth="1"/>
    <col min="7" max="7" width="16.83203125" customWidth="1"/>
    <col min="8" max="8" width="11.33203125" customWidth="1"/>
    <col min="9" max="9" width="10.83203125" customWidth="1"/>
    <col min="10" max="10" width="14.6640625" customWidth="1"/>
    <col min="11" max="11" width="14.33203125" customWidth="1"/>
    <col min="12" max="12" width="14.1640625" customWidth="1"/>
    <col min="13" max="13" width="16" customWidth="1"/>
    <col min="14" max="14" width="13.33203125" customWidth="1"/>
    <col min="15" max="15" width="21.33203125" customWidth="1"/>
    <col min="16" max="16" width="24" customWidth="1"/>
    <col min="17" max="17" width="21" customWidth="1"/>
    <col min="18" max="18" width="20" customWidth="1"/>
    <col min="21" max="21" width="20.5" customWidth="1"/>
    <col min="22" max="22" width="18.1640625" customWidth="1"/>
    <col min="23" max="23" width="17.1640625" customWidth="1"/>
    <col min="24" max="25" width="16" customWidth="1"/>
    <col min="26" max="26" width="17.6640625" customWidth="1"/>
    <col min="30" max="30" width="15.1640625" customWidth="1"/>
    <col min="31" max="31" width="14" customWidth="1"/>
    <col min="32" max="32" width="17.33203125" customWidth="1"/>
  </cols>
  <sheetData>
    <row r="3" spans="1:22" x14ac:dyDescent="0.2">
      <c r="A3" s="1"/>
      <c r="B3" s="1"/>
    </row>
    <row r="4" spans="1:22" ht="20" thickBot="1" x14ac:dyDescent="0.3">
      <c r="A4" s="2"/>
      <c r="B4" s="2"/>
    </row>
    <row r="5" spans="1:22" ht="23" customHeight="1" thickBot="1" x14ac:dyDescent="0.35">
      <c r="A5" s="3" t="s">
        <v>0</v>
      </c>
      <c r="B5" s="4"/>
      <c r="D5" s="5" t="s">
        <v>1</v>
      </c>
      <c r="E5" s="6"/>
      <c r="F5" s="6"/>
      <c r="G5" s="6"/>
      <c r="H5" s="6"/>
      <c r="I5" s="6"/>
      <c r="J5" s="6"/>
      <c r="K5" s="6"/>
      <c r="L5" s="7"/>
      <c r="N5" s="8" t="s">
        <v>2</v>
      </c>
      <c r="O5" s="9"/>
      <c r="P5" s="9"/>
      <c r="Q5" s="10"/>
      <c r="S5" s="11" t="s">
        <v>3</v>
      </c>
      <c r="T5" s="12"/>
      <c r="U5" s="12"/>
      <c r="V5" s="13"/>
    </row>
    <row r="6" spans="1:22" ht="32" customHeight="1" x14ac:dyDescent="0.3">
      <c r="A6" s="14" t="s">
        <v>4</v>
      </c>
      <c r="B6" s="15">
        <v>6.0221399999999997E+23</v>
      </c>
      <c r="D6" s="16" t="s">
        <v>5</v>
      </c>
      <c r="E6" s="17" t="s">
        <v>6</v>
      </c>
      <c r="F6" s="17" t="s">
        <v>7</v>
      </c>
      <c r="G6" s="17" t="s">
        <v>8</v>
      </c>
      <c r="H6" s="17" t="s">
        <v>9</v>
      </c>
      <c r="I6" s="17" t="s">
        <v>10</v>
      </c>
      <c r="J6" s="18" t="s">
        <v>11</v>
      </c>
      <c r="K6" s="17" t="s">
        <v>12</v>
      </c>
      <c r="L6" s="19" t="s">
        <v>13</v>
      </c>
      <c r="N6" s="20" t="s">
        <v>14</v>
      </c>
      <c r="O6" s="21" t="s">
        <v>15</v>
      </c>
      <c r="P6" s="21" t="s">
        <v>16</v>
      </c>
      <c r="Q6" s="22" t="s">
        <v>17</v>
      </c>
      <c r="S6" s="23" t="s">
        <v>14</v>
      </c>
      <c r="T6" s="24" t="s">
        <v>18</v>
      </c>
      <c r="U6" s="24" t="s">
        <v>19</v>
      </c>
      <c r="V6" s="25" t="s">
        <v>20</v>
      </c>
    </row>
    <row r="7" spans="1:22" ht="22" x14ac:dyDescent="0.3">
      <c r="A7" s="26" t="s">
        <v>21</v>
      </c>
      <c r="B7" s="27">
        <v>8.3143999999999991</v>
      </c>
      <c r="D7" s="28" t="s">
        <v>6</v>
      </c>
      <c r="E7" s="29">
        <v>1</v>
      </c>
      <c r="F7" s="29">
        <v>27.210699999999999</v>
      </c>
      <c r="G7" s="29">
        <v>219474.63</v>
      </c>
      <c r="H7" s="29">
        <v>627.50300000000004</v>
      </c>
      <c r="I7" s="29">
        <v>2625.5</v>
      </c>
      <c r="J7" s="29">
        <v>315777</v>
      </c>
      <c r="K7" s="29">
        <v>4.3599999999999999E-18</v>
      </c>
      <c r="L7" s="348">
        <v>6579660000000000</v>
      </c>
      <c r="N7" s="31" t="s">
        <v>15</v>
      </c>
      <c r="O7" s="32">
        <v>1</v>
      </c>
      <c r="P7" s="32">
        <v>0.52917999956390005</v>
      </c>
      <c r="Q7" s="33">
        <v>5.2917999999999999E-11</v>
      </c>
      <c r="S7" s="34" t="s">
        <v>18</v>
      </c>
      <c r="T7" s="35">
        <v>1</v>
      </c>
      <c r="U7" s="36">
        <v>9.1093800000000005E-31</v>
      </c>
      <c r="V7" s="37">
        <f>U7*V8</f>
        <v>5.4875783132530122E-4</v>
      </c>
    </row>
    <row r="8" spans="1:22" ht="22" x14ac:dyDescent="0.3">
      <c r="A8" s="38" t="s">
        <v>22</v>
      </c>
      <c r="B8" s="39">
        <v>1.38065E-23</v>
      </c>
      <c r="D8" s="28" t="s">
        <v>7</v>
      </c>
      <c r="E8" s="29">
        <v>3.6750199999999997E-2</v>
      </c>
      <c r="F8" s="29">
        <v>1</v>
      </c>
      <c r="G8" s="29">
        <v>8065.73</v>
      </c>
      <c r="H8" s="29">
        <v>23.0609</v>
      </c>
      <c r="I8" s="29">
        <v>96.486900000000006</v>
      </c>
      <c r="J8" s="29">
        <v>11604.9</v>
      </c>
      <c r="K8" s="30">
        <v>1.6021E-19</v>
      </c>
      <c r="L8" s="348">
        <v>241804000000000</v>
      </c>
      <c r="N8" s="31" t="s">
        <v>16</v>
      </c>
      <c r="O8" s="40">
        <v>1.8897299999999999</v>
      </c>
      <c r="P8" s="32">
        <v>1</v>
      </c>
      <c r="Q8" s="33">
        <v>1E-10</v>
      </c>
      <c r="S8" s="34" t="s">
        <v>19</v>
      </c>
      <c r="T8" s="36">
        <v>1.098E+30</v>
      </c>
      <c r="U8" s="35">
        <v>1</v>
      </c>
      <c r="V8" s="37">
        <f>1/U9</f>
        <v>6.0240963855421691E+26</v>
      </c>
    </row>
    <row r="9" spans="1:22" ht="22" thickBot="1" x14ac:dyDescent="0.3">
      <c r="A9" s="26" t="s">
        <v>23</v>
      </c>
      <c r="B9" s="41">
        <v>1.6021760000000001E-16</v>
      </c>
      <c r="D9" s="28" t="s">
        <v>8</v>
      </c>
      <c r="E9" s="29">
        <v>4.5563300000000003E-6</v>
      </c>
      <c r="F9" s="29">
        <v>1.23981E-4</v>
      </c>
      <c r="G9" s="29">
        <v>1</v>
      </c>
      <c r="H9" s="29">
        <v>2.8591100000000002E-3</v>
      </c>
      <c r="I9" s="29">
        <v>1.19627E-2</v>
      </c>
      <c r="J9" s="29">
        <v>1.42879</v>
      </c>
      <c r="K9" s="29">
        <v>1.9863000000000001E-23</v>
      </c>
      <c r="L9" s="349">
        <v>29979300000</v>
      </c>
      <c r="N9" s="42" t="s">
        <v>17</v>
      </c>
      <c r="O9" s="43">
        <v>18900000000</v>
      </c>
      <c r="P9" s="43">
        <v>10000000000</v>
      </c>
      <c r="Q9" s="44">
        <v>1</v>
      </c>
      <c r="S9" s="45" t="s">
        <v>20</v>
      </c>
      <c r="T9" s="46">
        <f>U9*T8</f>
        <v>1822.6799999999998</v>
      </c>
      <c r="U9" s="46">
        <v>1.6599999999999999E-27</v>
      </c>
      <c r="V9" s="47">
        <v>1</v>
      </c>
    </row>
    <row r="10" spans="1:22" ht="21" x14ac:dyDescent="0.3">
      <c r="A10" s="48" t="s">
        <v>24</v>
      </c>
      <c r="B10" s="49">
        <v>9.1092999999999998E-31</v>
      </c>
      <c r="D10" s="28" t="s">
        <v>9</v>
      </c>
      <c r="E10" s="29">
        <v>1.59362E-3</v>
      </c>
      <c r="F10" s="29">
        <v>4.3363400000000003E-2</v>
      </c>
      <c r="G10" s="29">
        <v>349.75700000000001</v>
      </c>
      <c r="H10" s="29">
        <v>1</v>
      </c>
      <c r="I10" s="29">
        <v>4.1840000000000002</v>
      </c>
      <c r="J10" s="29">
        <v>503.22800000000001</v>
      </c>
      <c r="K10" s="29">
        <v>6.9500000000000005E-21</v>
      </c>
      <c r="L10" s="348">
        <v>10485400000000</v>
      </c>
    </row>
    <row r="11" spans="1:22" ht="22" x14ac:dyDescent="0.3">
      <c r="A11" s="26" t="s">
        <v>25</v>
      </c>
      <c r="B11" s="50">
        <v>8.8541799999999997E-12</v>
      </c>
      <c r="D11" s="28" t="s">
        <v>10</v>
      </c>
      <c r="E11" s="29">
        <v>3.8088E-4</v>
      </c>
      <c r="F11" s="29">
        <v>1.0364099999999999E-2</v>
      </c>
      <c r="G11" s="29">
        <v>83.593000000000004</v>
      </c>
      <c r="H11" s="29">
        <v>0.23900099999999999</v>
      </c>
      <c r="I11" s="29">
        <v>1</v>
      </c>
      <c r="J11" s="29">
        <v>120.274</v>
      </c>
      <c r="K11" s="29">
        <v>1.6599999999999999E-21</v>
      </c>
      <c r="L11" s="348">
        <v>2506070000000</v>
      </c>
    </row>
    <row r="12" spans="1:22" ht="22" x14ac:dyDescent="0.3">
      <c r="A12" s="48" t="s">
        <v>26</v>
      </c>
      <c r="B12" s="49">
        <v>5.2917700000000002E-12</v>
      </c>
      <c r="D12" s="51" t="s">
        <v>11</v>
      </c>
      <c r="E12" s="29">
        <v>3.1667800000000002E-6</v>
      </c>
      <c r="F12" s="29">
        <v>8.6170500000000004E-5</v>
      </c>
      <c r="G12" s="29">
        <v>0.69502799999999998</v>
      </c>
      <c r="H12" s="29">
        <v>1.9871699999999999E-3</v>
      </c>
      <c r="I12" s="29">
        <v>8.3143499999999999E-3</v>
      </c>
      <c r="J12" s="29">
        <v>1</v>
      </c>
      <c r="K12" s="29">
        <v>1.38054E-23</v>
      </c>
      <c r="L12" s="349">
        <v>20836400000</v>
      </c>
    </row>
    <row r="13" spans="1:22" ht="19" x14ac:dyDescent="0.25">
      <c r="A13" s="26" t="s">
        <v>27</v>
      </c>
      <c r="B13" s="52">
        <f>298.15</f>
        <v>298.14999999999998</v>
      </c>
      <c r="D13" s="28" t="s">
        <v>12</v>
      </c>
      <c r="E13" s="29">
        <v>2.294E+17</v>
      </c>
      <c r="F13" s="29">
        <v>6.24181E+18</v>
      </c>
      <c r="G13" s="29">
        <v>5.0344500000000003E+22</v>
      </c>
      <c r="H13" s="29">
        <v>1.44E+20</v>
      </c>
      <c r="I13" s="29">
        <v>6.02E+20</v>
      </c>
      <c r="J13" s="29">
        <v>7.2435399999999999E+22</v>
      </c>
      <c r="K13" s="29">
        <v>1</v>
      </c>
      <c r="L13" s="348">
        <v>1.5093E+33</v>
      </c>
    </row>
    <row r="14" spans="1:22" ht="20" thickBot="1" x14ac:dyDescent="0.3">
      <c r="A14" s="26" t="s">
        <v>28</v>
      </c>
      <c r="B14" s="53">
        <v>6.626068E-34</v>
      </c>
      <c r="D14" s="54" t="s">
        <v>13</v>
      </c>
      <c r="E14" s="55">
        <v>1.5198300000000001E-16</v>
      </c>
      <c r="F14" s="55">
        <v>4.13558E-15</v>
      </c>
      <c r="G14" s="55">
        <v>3.3356499999999997E-11</v>
      </c>
      <c r="H14" s="55">
        <v>9.5370200000000003E-14</v>
      </c>
      <c r="I14" s="55"/>
      <c r="J14" s="55">
        <v>4.7993E-11</v>
      </c>
      <c r="K14" s="55">
        <v>6.62561E-34</v>
      </c>
      <c r="L14" s="56">
        <v>1</v>
      </c>
    </row>
    <row r="15" spans="1:22" ht="19" x14ac:dyDescent="0.25">
      <c r="A15" s="48" t="s">
        <v>29</v>
      </c>
      <c r="B15" s="57">
        <v>1</v>
      </c>
    </row>
    <row r="16" spans="1:22" ht="19" x14ac:dyDescent="0.25">
      <c r="A16" s="26" t="s">
        <v>30</v>
      </c>
      <c r="B16" s="52">
        <v>101325</v>
      </c>
    </row>
    <row r="17" spans="1:27" ht="21" x14ac:dyDescent="0.25">
      <c r="A17" s="14" t="s">
        <v>31</v>
      </c>
      <c r="B17" s="58">
        <v>299792459</v>
      </c>
    </row>
    <row r="18" spans="1:27" ht="34" thickBot="1" x14ac:dyDescent="0.5">
      <c r="A18" s="361" t="s">
        <v>129</v>
      </c>
      <c r="B18" s="361"/>
      <c r="C18" s="361"/>
      <c r="D18" s="361"/>
      <c r="E18" s="361"/>
      <c r="F18" s="361"/>
      <c r="G18" s="361"/>
      <c r="H18" s="361"/>
      <c r="I18" s="361"/>
      <c r="J18" s="361"/>
      <c r="K18" s="361"/>
      <c r="L18" s="361"/>
      <c r="M18" s="361"/>
      <c r="N18" s="361"/>
      <c r="O18" s="361"/>
      <c r="P18" s="361"/>
      <c r="Q18" s="361"/>
      <c r="R18" s="361"/>
      <c r="S18" s="361"/>
      <c r="T18" s="361"/>
      <c r="U18" s="361"/>
      <c r="V18" s="361"/>
    </row>
    <row r="19" spans="1:27" ht="17" thickTop="1" x14ac:dyDescent="0.2"/>
    <row r="20" spans="1:27" ht="17" thickBot="1" x14ac:dyDescent="0.25"/>
    <row r="21" spans="1:27" ht="20" thickBot="1" x14ac:dyDescent="0.3">
      <c r="A21" s="59" t="s">
        <v>33</v>
      </c>
      <c r="B21" s="60"/>
      <c r="C21" s="61" t="s">
        <v>34</v>
      </c>
      <c r="D21" s="62"/>
      <c r="E21" s="62"/>
      <c r="F21" s="63"/>
      <c r="G21" s="60"/>
      <c r="H21" s="59" t="s">
        <v>35</v>
      </c>
      <c r="I21" s="60"/>
      <c r="J21" s="60"/>
      <c r="M21" s="60"/>
      <c r="N21" s="60"/>
      <c r="O21" s="64" t="s">
        <v>36</v>
      </c>
      <c r="P21" s="62"/>
      <c r="Q21" s="62"/>
      <c r="R21" s="63"/>
      <c r="S21" s="60"/>
      <c r="T21" s="60"/>
      <c r="U21" s="60"/>
      <c r="V21" s="60"/>
      <c r="W21" s="60"/>
      <c r="X21" s="60"/>
      <c r="Y21" s="60"/>
      <c r="Z21" s="60"/>
      <c r="AA21" s="60"/>
    </row>
    <row r="22" spans="1:27" ht="20" thickBot="1" x14ac:dyDescent="0.3">
      <c r="A22" s="65">
        <v>298.14999999999998</v>
      </c>
      <c r="B22" s="60"/>
      <c r="C22" s="66"/>
      <c r="D22" s="67" t="s">
        <v>37</v>
      </c>
      <c r="E22" s="68" t="s">
        <v>38</v>
      </c>
      <c r="F22" s="69" t="s">
        <v>39</v>
      </c>
      <c r="G22" s="60"/>
      <c r="H22" s="70" t="s">
        <v>40</v>
      </c>
      <c r="I22" s="71" t="s">
        <v>9</v>
      </c>
      <c r="J22" s="71" t="s">
        <v>10</v>
      </c>
      <c r="K22" s="72" t="s">
        <v>7</v>
      </c>
      <c r="L22" s="73" t="s">
        <v>12</v>
      </c>
      <c r="M22" s="60"/>
      <c r="N22" s="60"/>
      <c r="O22" s="74"/>
      <c r="P22" s="75" t="s">
        <v>41</v>
      </c>
      <c r="Q22" s="76" t="s">
        <v>42</v>
      </c>
      <c r="R22" s="77" t="s">
        <v>43</v>
      </c>
      <c r="S22" s="60"/>
      <c r="T22" s="60"/>
      <c r="U22" s="60"/>
      <c r="V22" s="60"/>
      <c r="W22" s="60"/>
      <c r="X22" s="60"/>
      <c r="Y22" s="60"/>
      <c r="Z22" s="60"/>
      <c r="AA22" s="60"/>
    </row>
    <row r="23" spans="1:27" ht="22" thickBot="1" x14ac:dyDescent="0.3">
      <c r="A23" s="60"/>
      <c r="B23" s="60"/>
      <c r="C23" s="78" t="s">
        <v>44</v>
      </c>
      <c r="D23" s="79">
        <v>6.7290000000000003E-2</v>
      </c>
      <c r="E23" s="80">
        <v>1.0772900000000001</v>
      </c>
      <c r="F23" s="81">
        <v>2.33209</v>
      </c>
      <c r="G23" s="60"/>
      <c r="H23" s="82">
        <v>0</v>
      </c>
      <c r="I23" s="83">
        <f>H23*$H$7</f>
        <v>0</v>
      </c>
      <c r="J23" s="83">
        <f>H23*$I$7</f>
        <v>0</v>
      </c>
      <c r="K23" s="84">
        <f>H23*$F$7</f>
        <v>0</v>
      </c>
      <c r="L23" s="85">
        <f>H23*$K$7</f>
        <v>0</v>
      </c>
      <c r="M23" s="60"/>
      <c r="N23" s="60"/>
      <c r="O23" s="86" t="s">
        <v>45</v>
      </c>
      <c r="P23" s="87">
        <v>0.88900000000000001</v>
      </c>
      <c r="Q23" s="88">
        <v>2.9809999999999999</v>
      </c>
      <c r="R23" s="89">
        <v>27.391999999999999</v>
      </c>
      <c r="S23" s="60"/>
      <c r="T23" s="60"/>
      <c r="U23" s="60"/>
      <c r="V23" s="60"/>
      <c r="W23" s="60"/>
      <c r="X23" s="60"/>
      <c r="Y23" s="60"/>
      <c r="Z23" s="60"/>
      <c r="AA23" s="60"/>
    </row>
    <row r="24" spans="1:27" ht="22" thickBot="1" x14ac:dyDescent="0.3">
      <c r="A24" s="59" t="s">
        <v>46</v>
      </c>
      <c r="B24" s="60"/>
      <c r="C24" s="90" t="s">
        <v>47</v>
      </c>
      <c r="D24" s="91">
        <f>D23*$U$9</f>
        <v>1.117014E-28</v>
      </c>
      <c r="E24" s="91">
        <f t="shared" ref="E24:F24" si="0">E23*$U$9</f>
        <v>1.7883014E-27</v>
      </c>
      <c r="F24" s="91">
        <f t="shared" si="0"/>
        <v>3.8712694000000001E-27</v>
      </c>
      <c r="G24" s="60"/>
      <c r="M24" s="60"/>
      <c r="N24" s="60"/>
      <c r="O24" s="92" t="s">
        <v>48</v>
      </c>
      <c r="P24" s="87">
        <v>0</v>
      </c>
      <c r="Q24" s="88">
        <v>0</v>
      </c>
      <c r="R24" s="89">
        <v>1.377</v>
      </c>
      <c r="S24" s="60"/>
      <c r="T24" s="60"/>
      <c r="U24" s="60"/>
      <c r="V24" s="60"/>
      <c r="W24" s="60"/>
      <c r="X24" s="60"/>
      <c r="Y24" s="60"/>
      <c r="Z24" s="60"/>
      <c r="AA24" s="60"/>
    </row>
    <row r="25" spans="1:27" ht="22" thickBot="1" x14ac:dyDescent="0.3">
      <c r="A25" s="65">
        <v>1</v>
      </c>
      <c r="B25" s="60"/>
      <c r="C25" s="93" t="s">
        <v>49</v>
      </c>
      <c r="D25" s="94">
        <f>D24*($Q$8)^2</f>
        <v>1.1170140000000001E-48</v>
      </c>
      <c r="E25" s="95">
        <f>E24*($Q$8)^2</f>
        <v>1.7883014000000001E-47</v>
      </c>
      <c r="F25" s="96">
        <f t="shared" ref="F25" si="1">F24*($Q$8)^2</f>
        <v>3.8712694000000007E-47</v>
      </c>
      <c r="G25" s="60"/>
      <c r="M25" s="60"/>
      <c r="N25" s="60"/>
      <c r="O25" s="92" t="s">
        <v>50</v>
      </c>
      <c r="P25" s="87">
        <v>0.88900000000000001</v>
      </c>
      <c r="Q25" s="88">
        <v>2.9809999999999999</v>
      </c>
      <c r="R25" s="89">
        <v>26.013999999999999</v>
      </c>
      <c r="S25" s="60"/>
      <c r="T25" s="60"/>
      <c r="U25" s="60"/>
      <c r="V25" s="60"/>
      <c r="W25" s="60"/>
      <c r="X25" s="60"/>
      <c r="Y25" s="60"/>
      <c r="Z25" s="60"/>
      <c r="AA25" s="60"/>
    </row>
    <row r="26" spans="1:27" ht="20" thickBot="1" x14ac:dyDescent="0.3">
      <c r="A26" s="60"/>
      <c r="B26" s="60"/>
      <c r="C26" s="60"/>
      <c r="D26" s="60"/>
      <c r="E26" s="60"/>
      <c r="F26" s="60"/>
      <c r="G26" s="60"/>
      <c r="H26" s="59" t="s">
        <v>51</v>
      </c>
      <c r="I26" s="60"/>
      <c r="J26" s="60"/>
      <c r="K26" s="60"/>
      <c r="M26" s="60"/>
      <c r="N26" s="60"/>
      <c r="O26" s="92" t="s">
        <v>52</v>
      </c>
      <c r="P26" s="87">
        <v>0</v>
      </c>
      <c r="Q26" s="88">
        <v>0</v>
      </c>
      <c r="R26" s="89">
        <v>0</v>
      </c>
      <c r="S26" s="60"/>
      <c r="T26" s="60"/>
      <c r="U26" s="60"/>
      <c r="V26" s="60"/>
      <c r="W26" s="60"/>
      <c r="X26" s="60"/>
      <c r="Y26" s="60"/>
      <c r="Z26" s="60"/>
      <c r="AA26" s="60"/>
    </row>
    <row r="27" spans="1:27" ht="20" thickBot="1" x14ac:dyDescent="0.3">
      <c r="A27" s="59" t="s">
        <v>53</v>
      </c>
      <c r="B27" s="60"/>
      <c r="C27" s="59" t="s">
        <v>54</v>
      </c>
      <c r="D27" s="60"/>
      <c r="E27" s="60"/>
      <c r="F27" s="60"/>
      <c r="G27" s="60"/>
      <c r="H27" s="70" t="s">
        <v>40</v>
      </c>
      <c r="I27" s="71" t="s">
        <v>9</v>
      </c>
      <c r="J27" s="71" t="s">
        <v>10</v>
      </c>
      <c r="K27" s="72" t="s">
        <v>7</v>
      </c>
      <c r="L27" s="73" t="s">
        <v>12</v>
      </c>
      <c r="M27" s="60"/>
      <c r="N27" s="60"/>
      <c r="O27" s="97" t="s">
        <v>55</v>
      </c>
      <c r="P27" s="98">
        <v>0</v>
      </c>
      <c r="Q27" s="99">
        <v>0</v>
      </c>
      <c r="R27" s="100">
        <v>0</v>
      </c>
      <c r="S27" s="60"/>
      <c r="T27" s="60"/>
      <c r="U27" s="60"/>
      <c r="V27" s="60"/>
      <c r="W27" s="60"/>
      <c r="X27" s="60"/>
      <c r="Y27" s="60"/>
      <c r="Z27" s="60"/>
      <c r="AA27" s="60"/>
    </row>
    <row r="28" spans="1:27" ht="20" thickBot="1" x14ac:dyDescent="0.3">
      <c r="A28" s="65">
        <v>1.00783</v>
      </c>
      <c r="B28" s="60"/>
      <c r="C28" s="101" t="s">
        <v>37</v>
      </c>
      <c r="D28" s="102" t="s">
        <v>38</v>
      </c>
      <c r="E28" s="103" t="s">
        <v>39</v>
      </c>
      <c r="F28" s="60"/>
      <c r="G28" s="60"/>
      <c r="H28" s="104">
        <v>1.4159999999999999E-3</v>
      </c>
      <c r="I28" s="83">
        <f>H28*$H$7</f>
        <v>0.88854424799999998</v>
      </c>
      <c r="J28" s="83">
        <f>H28*$I$7</f>
        <v>3.717708</v>
      </c>
      <c r="K28" s="105">
        <f>H28*$F$7</f>
        <v>3.85303512E-2</v>
      </c>
      <c r="L28" s="85">
        <f>H28*$K$7</f>
        <v>6.1737599999999998E-21</v>
      </c>
      <c r="M28" s="60"/>
      <c r="N28" s="60"/>
      <c r="O28" s="60"/>
      <c r="P28" s="60"/>
      <c r="Q28" s="60"/>
      <c r="R28" s="60"/>
      <c r="S28" s="60"/>
      <c r="T28" s="60"/>
      <c r="U28" s="60"/>
      <c r="V28" s="60"/>
      <c r="W28" s="60"/>
      <c r="X28" s="60"/>
      <c r="Y28" s="60"/>
      <c r="Z28" s="60"/>
      <c r="AA28" s="60"/>
    </row>
    <row r="29" spans="1:27" ht="20" thickBot="1" x14ac:dyDescent="0.3">
      <c r="A29" s="60"/>
      <c r="B29" s="60"/>
      <c r="C29" s="268" t="s">
        <v>127</v>
      </c>
      <c r="D29" s="269" t="s">
        <v>127</v>
      </c>
      <c r="E29" s="269" t="s">
        <v>127</v>
      </c>
      <c r="F29" s="60"/>
      <c r="G29" s="60"/>
      <c r="L29" s="60"/>
      <c r="M29" s="60"/>
      <c r="N29" s="60"/>
      <c r="O29" s="60"/>
      <c r="P29" s="60"/>
      <c r="Q29" s="60"/>
      <c r="R29" s="60"/>
      <c r="S29" s="60"/>
      <c r="T29" s="60"/>
      <c r="U29" s="60"/>
      <c r="V29" s="60"/>
      <c r="W29" s="60"/>
      <c r="X29" s="60"/>
      <c r="Y29" s="60"/>
      <c r="Z29" s="60"/>
      <c r="AA29" s="60"/>
    </row>
    <row r="30" spans="1:27" ht="20" thickBot="1" x14ac:dyDescent="0.3">
      <c r="A30" s="59" t="s">
        <v>56</v>
      </c>
      <c r="B30" s="60"/>
      <c r="F30" s="60"/>
      <c r="G30" s="60"/>
      <c r="M30" s="60"/>
      <c r="O30" s="108" t="s">
        <v>57</v>
      </c>
      <c r="P30" s="109"/>
      <c r="Q30" s="109"/>
      <c r="R30" s="110"/>
      <c r="S30" s="60"/>
      <c r="T30" s="60"/>
      <c r="U30" s="60"/>
      <c r="V30" s="60"/>
      <c r="W30" s="60"/>
      <c r="X30" s="60"/>
      <c r="Y30" s="60"/>
      <c r="Z30" s="60"/>
      <c r="AA30" s="60"/>
    </row>
    <row r="31" spans="1:27" ht="20" thickBot="1" x14ac:dyDescent="0.3">
      <c r="A31" s="65" t="s">
        <v>127</v>
      </c>
      <c r="B31" s="60"/>
      <c r="C31" s="59" t="s">
        <v>58</v>
      </c>
      <c r="D31" s="60"/>
      <c r="E31" s="60"/>
      <c r="F31" s="60"/>
      <c r="G31" s="60"/>
      <c r="H31" s="59" t="s">
        <v>59</v>
      </c>
      <c r="I31" s="60"/>
      <c r="J31" s="60"/>
      <c r="K31" s="60"/>
      <c r="L31" s="60"/>
      <c r="M31" s="60"/>
      <c r="N31" s="60"/>
      <c r="O31" s="111"/>
      <c r="P31" s="112" t="s">
        <v>60</v>
      </c>
      <c r="Q31" s="113" t="s">
        <v>61</v>
      </c>
      <c r="R31" s="114" t="s">
        <v>62</v>
      </c>
      <c r="S31" s="60"/>
      <c r="T31" s="60"/>
      <c r="U31" s="60"/>
      <c r="V31" s="60"/>
      <c r="W31" s="60"/>
      <c r="X31" s="60"/>
      <c r="Y31" s="60"/>
      <c r="Z31" s="60"/>
      <c r="AA31" s="60"/>
    </row>
    <row r="32" spans="1:27" ht="20" thickBot="1" x14ac:dyDescent="0.3">
      <c r="A32" s="60"/>
      <c r="B32" s="60"/>
      <c r="C32" s="115" t="s">
        <v>37</v>
      </c>
      <c r="D32" s="115" t="s">
        <v>38</v>
      </c>
      <c r="E32" s="115" t="s">
        <v>39</v>
      </c>
      <c r="F32" s="60"/>
      <c r="G32" s="60"/>
      <c r="H32" s="70" t="s">
        <v>40</v>
      </c>
      <c r="I32" s="71" t="s">
        <v>9</v>
      </c>
      <c r="J32" s="71" t="s">
        <v>10</v>
      </c>
      <c r="K32" s="72" t="s">
        <v>7</v>
      </c>
      <c r="L32" s="73" t="s">
        <v>12</v>
      </c>
      <c r="M32" s="60"/>
      <c r="N32" s="60"/>
      <c r="O32" s="86" t="s">
        <v>48</v>
      </c>
      <c r="P32" s="116">
        <v>2</v>
      </c>
      <c r="Q32" s="117">
        <v>0.30103000000000002</v>
      </c>
      <c r="R32" s="117">
        <v>0.69314699999999996</v>
      </c>
      <c r="S32" s="60"/>
      <c r="T32" s="60"/>
      <c r="U32" s="60"/>
      <c r="V32" s="60"/>
      <c r="W32" s="60"/>
      <c r="X32" s="60"/>
      <c r="Y32" s="60"/>
      <c r="Z32" s="60"/>
      <c r="AA32" s="60"/>
    </row>
    <row r="33" spans="1:27" ht="20" thickBot="1" x14ac:dyDescent="0.3">
      <c r="A33" s="60"/>
      <c r="B33" s="60"/>
      <c r="C33" s="266" t="s">
        <v>127</v>
      </c>
      <c r="D33" s="267" t="s">
        <v>127</v>
      </c>
      <c r="E33" s="267" t="s">
        <v>127</v>
      </c>
      <c r="F33" s="60"/>
      <c r="G33" s="60"/>
      <c r="H33" s="104">
        <v>2.3600000000000001E-3</v>
      </c>
      <c r="I33" s="83">
        <f>H33*$H$7</f>
        <v>1.4809070800000002</v>
      </c>
      <c r="J33" s="83">
        <f>H33*$I$7</f>
        <v>6.19618</v>
      </c>
      <c r="K33" s="105">
        <f>H33*$F$7</f>
        <v>6.4217252000000002E-2</v>
      </c>
      <c r="L33" s="85">
        <f>H33*$K$7</f>
        <v>1.02896E-20</v>
      </c>
      <c r="M33" s="60"/>
      <c r="N33" s="60"/>
      <c r="O33" s="92" t="s">
        <v>50</v>
      </c>
      <c r="P33" s="87">
        <v>39767.9</v>
      </c>
      <c r="Q33" s="88">
        <v>4.5995330000000001</v>
      </c>
      <c r="R33" s="88">
        <v>10.590816</v>
      </c>
      <c r="S33" s="60"/>
      <c r="T33" s="60"/>
      <c r="U33" s="60"/>
      <c r="V33" s="60"/>
      <c r="W33" s="60"/>
      <c r="X33" s="60"/>
      <c r="Y33" s="60"/>
      <c r="Z33" s="60"/>
      <c r="AA33" s="60"/>
    </row>
    <row r="34" spans="1:27" ht="19" x14ac:dyDescent="0.25">
      <c r="A34" s="60"/>
      <c r="B34" s="60"/>
      <c r="E34" s="60"/>
      <c r="F34" s="60"/>
      <c r="G34" s="60"/>
      <c r="M34" s="60"/>
      <c r="N34" s="60"/>
      <c r="O34" s="92" t="s">
        <v>52</v>
      </c>
      <c r="P34" s="87">
        <v>1</v>
      </c>
      <c r="Q34" s="88">
        <v>0</v>
      </c>
      <c r="R34" s="88">
        <v>0</v>
      </c>
      <c r="S34" s="60"/>
      <c r="T34" s="60"/>
      <c r="U34" s="60"/>
      <c r="V34" s="60"/>
      <c r="W34" s="60"/>
      <c r="X34" s="60"/>
      <c r="Y34" s="60"/>
      <c r="Z34" s="60"/>
      <c r="AA34" s="60"/>
    </row>
    <row r="35" spans="1:27" ht="19" x14ac:dyDescent="0.25">
      <c r="A35" s="60"/>
      <c r="B35" s="60"/>
      <c r="E35" s="60"/>
      <c r="F35" s="60"/>
      <c r="H35" s="60"/>
      <c r="I35" s="60"/>
      <c r="J35" s="60"/>
      <c r="K35" s="60"/>
      <c r="L35" s="60"/>
      <c r="M35" s="60"/>
      <c r="N35" s="60"/>
      <c r="O35" s="92" t="s">
        <v>63</v>
      </c>
      <c r="P35" s="87">
        <v>79535.8</v>
      </c>
      <c r="Q35" s="88">
        <v>4.900563</v>
      </c>
      <c r="R35" s="88">
        <v>11.283963</v>
      </c>
      <c r="S35" s="60"/>
      <c r="T35" s="60"/>
      <c r="U35" s="60"/>
      <c r="V35" s="60"/>
      <c r="W35" s="60"/>
      <c r="X35" s="60"/>
      <c r="Y35" s="60"/>
      <c r="Z35" s="60"/>
      <c r="AA35" s="60"/>
    </row>
    <row r="36" spans="1:27" ht="20" thickBot="1" x14ac:dyDescent="0.3">
      <c r="A36" s="60"/>
      <c r="B36" s="60"/>
      <c r="C36" s="59" t="s">
        <v>64</v>
      </c>
      <c r="D36" s="60"/>
      <c r="E36" s="60"/>
      <c r="F36" s="60"/>
      <c r="H36" s="59" t="s">
        <v>65</v>
      </c>
      <c r="I36" s="60"/>
      <c r="J36" s="60"/>
      <c r="K36" s="60"/>
      <c r="L36" s="60"/>
      <c r="M36" s="60"/>
      <c r="N36" s="60"/>
      <c r="O36" s="92" t="s">
        <v>66</v>
      </c>
      <c r="P36" s="87">
        <v>79535.8</v>
      </c>
      <c r="Q36" s="88">
        <v>4.900563</v>
      </c>
      <c r="R36" s="88">
        <v>11.283963</v>
      </c>
      <c r="S36" s="60"/>
      <c r="T36" s="60"/>
      <c r="U36" s="60"/>
      <c r="V36" s="60"/>
      <c r="W36" s="60"/>
      <c r="X36" s="60"/>
      <c r="Y36" s="60"/>
      <c r="Z36" s="60"/>
      <c r="AA36" s="60"/>
    </row>
    <row r="37" spans="1:27" ht="20" thickBot="1" x14ac:dyDescent="0.3">
      <c r="A37" s="60"/>
      <c r="B37" s="60"/>
      <c r="C37" s="121" t="s">
        <v>67</v>
      </c>
      <c r="D37" s="122">
        <v>0</v>
      </c>
      <c r="E37" s="60"/>
      <c r="F37" s="60"/>
      <c r="H37" s="70" t="s">
        <v>40</v>
      </c>
      <c r="I37" s="71" t="s">
        <v>9</v>
      </c>
      <c r="J37" s="71" t="s">
        <v>10</v>
      </c>
      <c r="K37" s="73" t="s">
        <v>7</v>
      </c>
      <c r="L37" s="73" t="s">
        <v>12</v>
      </c>
      <c r="M37" s="60"/>
      <c r="N37" s="60"/>
      <c r="O37" s="92" t="s">
        <v>68</v>
      </c>
      <c r="P37" s="87">
        <v>1</v>
      </c>
      <c r="Q37" s="88">
        <v>0</v>
      </c>
      <c r="R37" s="88">
        <v>0</v>
      </c>
      <c r="S37" s="60"/>
      <c r="T37" s="60"/>
      <c r="U37" s="60"/>
      <c r="V37" s="60"/>
      <c r="W37" s="60"/>
      <c r="X37" s="60"/>
      <c r="Y37" s="60"/>
      <c r="Z37" s="60"/>
      <c r="AA37" s="60"/>
    </row>
    <row r="38" spans="1:27" ht="20" thickBot="1" x14ac:dyDescent="0.3">
      <c r="A38" s="60"/>
      <c r="B38" s="60"/>
      <c r="C38" s="123" t="s">
        <v>69</v>
      </c>
      <c r="D38" s="124">
        <v>0</v>
      </c>
      <c r="E38" s="60"/>
      <c r="F38" s="60"/>
      <c r="H38" s="104">
        <v>-1.0654E-2</v>
      </c>
      <c r="I38" s="83">
        <f>H38*$H$7</f>
        <v>-6.6854169620000006</v>
      </c>
      <c r="J38" s="83">
        <f>H38*$I$7</f>
        <v>-27.972077000000002</v>
      </c>
      <c r="K38" s="105">
        <f>H38*$F$7</f>
        <v>-0.2899027978</v>
      </c>
      <c r="L38" s="85">
        <f>H38*$K$7</f>
        <v>-4.645144E-20</v>
      </c>
      <c r="M38" s="60"/>
      <c r="N38" s="60"/>
      <c r="O38" s="97" t="s">
        <v>70</v>
      </c>
      <c r="P38" s="87">
        <v>1</v>
      </c>
      <c r="Q38" s="88">
        <v>0</v>
      </c>
      <c r="R38" s="88">
        <v>0</v>
      </c>
      <c r="S38" s="60"/>
      <c r="T38" s="60"/>
      <c r="U38" s="60"/>
      <c r="V38" s="60"/>
      <c r="W38" s="60"/>
      <c r="X38" s="60"/>
      <c r="Y38" s="60"/>
      <c r="Z38" s="60"/>
      <c r="AA38" s="60"/>
    </row>
    <row r="39" spans="1:27" ht="19" x14ac:dyDescent="0.25">
      <c r="A39" s="60"/>
      <c r="B39" s="60"/>
      <c r="C39" s="60"/>
      <c r="D39" s="60"/>
      <c r="E39" s="60"/>
      <c r="F39" s="60"/>
      <c r="J39" s="60"/>
      <c r="K39" s="60"/>
      <c r="L39" s="60"/>
      <c r="M39" s="60"/>
      <c r="N39" s="60"/>
      <c r="O39" s="125"/>
      <c r="P39" s="60"/>
      <c r="Q39" s="60"/>
      <c r="R39" s="60"/>
      <c r="S39" s="60"/>
      <c r="T39" s="60"/>
      <c r="U39" s="60"/>
      <c r="V39" s="60"/>
      <c r="W39" s="60"/>
      <c r="X39" s="60"/>
      <c r="Y39" s="60"/>
      <c r="Z39" s="60"/>
      <c r="AA39" s="60"/>
    </row>
    <row r="40" spans="1:27" ht="20" thickBot="1" x14ac:dyDescent="0.3">
      <c r="A40" s="60"/>
      <c r="B40" s="60"/>
      <c r="C40" s="60"/>
      <c r="D40" s="60"/>
      <c r="E40" s="60"/>
      <c r="F40" s="60"/>
      <c r="J40" s="60"/>
      <c r="K40" s="60"/>
      <c r="L40" s="60"/>
      <c r="M40" s="60"/>
      <c r="N40" s="60"/>
      <c r="O40" s="125"/>
      <c r="P40" s="60"/>
      <c r="Q40" s="60"/>
      <c r="R40" s="60"/>
      <c r="S40" s="60"/>
      <c r="T40" s="60"/>
      <c r="U40" s="60"/>
      <c r="V40" s="60"/>
      <c r="W40" s="60"/>
      <c r="X40" s="60"/>
      <c r="Y40" s="60"/>
      <c r="Z40" s="60"/>
      <c r="AA40" s="60"/>
    </row>
    <row r="41" spans="1:27" ht="64" customHeight="1" thickBot="1" x14ac:dyDescent="0.3">
      <c r="A41" s="60"/>
      <c r="B41" s="60"/>
      <c r="D41" s="126" t="s">
        <v>71</v>
      </c>
      <c r="E41" s="127" t="s">
        <v>72</v>
      </c>
      <c r="F41" s="128" t="s">
        <v>73</v>
      </c>
      <c r="G41" s="129" t="s">
        <v>74</v>
      </c>
      <c r="I41" s="60"/>
      <c r="J41" s="60"/>
      <c r="K41" s="60"/>
      <c r="L41" s="60"/>
      <c r="M41" s="60"/>
      <c r="N41" s="60"/>
      <c r="O41" s="60"/>
      <c r="P41" s="60"/>
      <c r="Q41" s="60"/>
      <c r="R41" s="60"/>
      <c r="S41" s="60"/>
      <c r="T41" s="60"/>
      <c r="U41" s="60"/>
      <c r="V41" s="60"/>
      <c r="W41" s="60"/>
      <c r="X41" s="60"/>
      <c r="Y41" s="60"/>
      <c r="Z41" s="60"/>
      <c r="AA41" s="60"/>
    </row>
    <row r="42" spans="1:27" ht="20" thickBot="1" x14ac:dyDescent="0.3">
      <c r="A42" s="60"/>
      <c r="B42" s="60"/>
      <c r="C42" s="210">
        <v>1</v>
      </c>
      <c r="D42" s="272" t="s">
        <v>127</v>
      </c>
      <c r="E42" s="272" t="s">
        <v>127</v>
      </c>
      <c r="F42" s="272" t="s">
        <v>127</v>
      </c>
      <c r="G42" s="272" t="s">
        <v>127</v>
      </c>
      <c r="H42" s="135"/>
      <c r="K42" s="60"/>
      <c r="L42" s="60"/>
      <c r="M42" s="60"/>
      <c r="N42" s="60"/>
      <c r="O42" s="60"/>
      <c r="P42" s="60"/>
      <c r="Q42" s="60"/>
      <c r="R42" s="60"/>
      <c r="S42" s="60"/>
      <c r="T42" s="60"/>
      <c r="U42" s="60"/>
      <c r="V42" s="60"/>
      <c r="W42" s="60"/>
      <c r="X42" s="60"/>
      <c r="Y42" s="60"/>
      <c r="Z42" s="60"/>
      <c r="AA42" s="60"/>
    </row>
    <row r="43" spans="1:27" ht="19" x14ac:dyDescent="0.25">
      <c r="A43" s="60"/>
      <c r="B43" s="60"/>
      <c r="C43" s="135"/>
      <c r="D43" s="60"/>
      <c r="E43" s="60"/>
      <c r="F43" s="162"/>
      <c r="G43" s="60"/>
      <c r="H43" s="135"/>
      <c r="K43" s="60"/>
      <c r="L43" s="60"/>
      <c r="M43" s="60"/>
      <c r="N43" s="60"/>
      <c r="O43" s="60"/>
      <c r="P43" s="60"/>
      <c r="Q43" s="60"/>
      <c r="R43" s="60"/>
      <c r="S43" s="60"/>
      <c r="T43" s="60"/>
      <c r="U43" s="60"/>
      <c r="V43" s="60"/>
      <c r="W43" s="60"/>
      <c r="X43" s="60"/>
      <c r="Y43" s="60"/>
      <c r="Z43" s="60"/>
      <c r="AA43" s="60"/>
    </row>
    <row r="44" spans="1:27" ht="20" thickBot="1" x14ac:dyDescent="0.3">
      <c r="A44" s="60"/>
      <c r="B44" s="60"/>
      <c r="C44" s="135"/>
      <c r="D44" s="60"/>
      <c r="E44" s="60"/>
      <c r="F44" s="162"/>
      <c r="G44" s="60"/>
      <c r="H44" s="135"/>
      <c r="J44" s="141" t="s">
        <v>75</v>
      </c>
      <c r="M44" s="60"/>
      <c r="N44" s="60"/>
      <c r="O44" s="60"/>
      <c r="P44" s="60"/>
      <c r="Q44" s="60"/>
      <c r="R44" s="60"/>
      <c r="S44" s="60"/>
      <c r="T44" s="60"/>
      <c r="U44" s="60"/>
      <c r="V44" s="60"/>
      <c r="W44" s="60"/>
      <c r="X44" s="60"/>
      <c r="Y44" s="60"/>
      <c r="Z44" s="60"/>
      <c r="AA44" s="60"/>
    </row>
    <row r="45" spans="1:27" ht="20" thickBot="1" x14ac:dyDescent="0.3">
      <c r="A45" s="60"/>
      <c r="B45" s="60"/>
      <c r="C45" s="135"/>
      <c r="D45" s="60"/>
      <c r="E45" s="60"/>
      <c r="F45" s="162"/>
      <c r="G45" s="60"/>
      <c r="H45" s="135"/>
      <c r="J45" s="142">
        <v>1</v>
      </c>
      <c r="K45" s="144">
        <f>J45+1</f>
        <v>2</v>
      </c>
      <c r="L45" s="135"/>
      <c r="M45" s="60"/>
      <c r="N45" s="60"/>
      <c r="O45" s="60"/>
      <c r="P45" s="60"/>
      <c r="Q45" s="60"/>
      <c r="R45" s="60"/>
      <c r="S45" s="60"/>
      <c r="T45" s="60"/>
      <c r="U45" s="60"/>
      <c r="V45" s="60"/>
      <c r="W45" s="60"/>
      <c r="X45" s="60"/>
      <c r="Y45" s="60"/>
      <c r="Z45" s="60"/>
      <c r="AA45" s="60"/>
    </row>
    <row r="46" spans="1:27" ht="20" thickBot="1" x14ac:dyDescent="0.3">
      <c r="A46" s="60"/>
      <c r="B46" s="60"/>
      <c r="C46" s="135"/>
      <c r="D46" s="60"/>
      <c r="E46" s="60"/>
      <c r="F46" s="162"/>
      <c r="G46" s="60"/>
      <c r="H46" s="135"/>
      <c r="J46" s="145">
        <v>-0.50027278419099996</v>
      </c>
      <c r="K46" s="147">
        <v>-0.50027278419099996</v>
      </c>
      <c r="L46" s="265"/>
      <c r="M46" s="60"/>
      <c r="N46" s="60"/>
      <c r="O46" s="60"/>
      <c r="P46" s="60"/>
      <c r="Q46" s="60"/>
      <c r="R46" s="60"/>
      <c r="S46" s="60"/>
      <c r="T46" s="60"/>
      <c r="U46" s="60"/>
      <c r="V46" s="60"/>
      <c r="W46" s="60"/>
      <c r="X46" s="60"/>
      <c r="Y46" s="60"/>
      <c r="Z46" s="60"/>
      <c r="AA46" s="60"/>
    </row>
    <row r="47" spans="1:27" ht="19" x14ac:dyDescent="0.25">
      <c r="A47" s="60"/>
      <c r="B47" s="60"/>
      <c r="C47" s="135"/>
      <c r="D47" s="60"/>
      <c r="E47" s="60"/>
      <c r="F47" s="162"/>
      <c r="G47" s="60"/>
      <c r="H47" s="135"/>
      <c r="K47" s="60"/>
      <c r="L47" s="60"/>
      <c r="M47" s="60"/>
      <c r="N47" s="60"/>
      <c r="O47" s="60"/>
      <c r="P47" s="60"/>
      <c r="Q47" s="60"/>
      <c r="R47" s="60"/>
      <c r="S47" s="60"/>
      <c r="T47" s="60"/>
      <c r="U47" s="60"/>
      <c r="V47" s="60"/>
      <c r="W47" s="60"/>
      <c r="X47" s="60"/>
      <c r="Y47" s="60"/>
      <c r="Z47" s="60"/>
      <c r="AA47" s="60"/>
    </row>
    <row r="48" spans="1:27" ht="19" x14ac:dyDescent="0.25">
      <c r="A48" s="60"/>
      <c r="B48" s="60"/>
      <c r="C48" s="135"/>
      <c r="D48" s="60"/>
      <c r="E48" s="60"/>
      <c r="F48" s="162"/>
      <c r="G48" s="60"/>
      <c r="H48" s="135"/>
      <c r="K48" s="60"/>
      <c r="L48" s="60"/>
      <c r="M48" s="60"/>
      <c r="N48" s="60"/>
      <c r="O48" s="60"/>
      <c r="P48" s="60"/>
      <c r="Q48" s="60"/>
      <c r="R48" s="60"/>
      <c r="S48" s="60"/>
      <c r="T48" s="60"/>
      <c r="U48" s="60"/>
      <c r="V48" s="60"/>
      <c r="W48" s="60"/>
      <c r="X48" s="60"/>
      <c r="Y48" s="60"/>
      <c r="Z48" s="60"/>
      <c r="AA48" s="60"/>
    </row>
    <row r="49" spans="1:27" ht="19" x14ac:dyDescent="0.25">
      <c r="A49" s="60"/>
      <c r="B49" s="60"/>
      <c r="C49" s="135"/>
      <c r="D49" s="60"/>
      <c r="E49" s="60"/>
      <c r="F49" s="162"/>
      <c r="G49" s="60"/>
      <c r="H49" s="135"/>
      <c r="K49" s="60"/>
      <c r="L49" s="60"/>
      <c r="M49" s="60"/>
      <c r="N49" s="60"/>
      <c r="O49" s="60"/>
      <c r="P49" s="60"/>
      <c r="Q49" s="60"/>
      <c r="R49" s="60"/>
      <c r="S49" s="60"/>
      <c r="T49" s="60"/>
      <c r="U49" s="60"/>
      <c r="V49" s="60"/>
      <c r="W49" s="60"/>
      <c r="X49" s="60"/>
      <c r="Y49" s="60"/>
      <c r="Z49" s="60"/>
      <c r="AA49" s="60"/>
    </row>
    <row r="50" spans="1:27" ht="19" x14ac:dyDescent="0.25">
      <c r="A50" s="60"/>
      <c r="B50" s="60"/>
      <c r="C50" s="135"/>
      <c r="D50" s="60"/>
      <c r="E50" s="60"/>
      <c r="F50" s="162"/>
      <c r="G50" s="60"/>
      <c r="H50" s="135"/>
      <c r="K50" s="60"/>
      <c r="L50" s="60"/>
      <c r="M50" s="60"/>
      <c r="N50" s="60"/>
      <c r="O50" s="60"/>
      <c r="P50" s="60"/>
      <c r="Q50" s="60"/>
      <c r="R50" s="60"/>
      <c r="S50" s="60"/>
      <c r="T50" s="60"/>
      <c r="U50" s="60"/>
      <c r="V50" s="60"/>
      <c r="W50" s="60"/>
      <c r="X50" s="60"/>
      <c r="Y50" s="60"/>
      <c r="Z50" s="60"/>
      <c r="AA50" s="60"/>
    </row>
    <row r="51" spans="1:27" ht="19" x14ac:dyDescent="0.25">
      <c r="A51" s="60"/>
      <c r="B51" s="60"/>
      <c r="C51" s="60"/>
      <c r="D51" s="60"/>
      <c r="E51" s="60"/>
      <c r="F51" s="60"/>
      <c r="G51" s="60"/>
      <c r="H51" s="60"/>
      <c r="K51" s="60"/>
      <c r="L51" s="60"/>
      <c r="M51" s="60"/>
      <c r="N51" s="60"/>
      <c r="O51" s="60"/>
      <c r="P51" s="60"/>
      <c r="Q51" s="60"/>
      <c r="R51" s="60"/>
      <c r="S51" s="60"/>
      <c r="T51" s="60"/>
      <c r="U51" s="60"/>
      <c r="V51" s="60"/>
      <c r="W51" s="60"/>
      <c r="X51" s="60"/>
      <c r="Y51" s="60"/>
      <c r="Z51" s="60"/>
      <c r="AA51" s="60"/>
    </row>
    <row r="52" spans="1:27" ht="19" x14ac:dyDescent="0.25">
      <c r="A52" s="60"/>
      <c r="B52" s="60"/>
      <c r="C52" s="60"/>
      <c r="D52" s="60"/>
      <c r="E52" s="60"/>
      <c r="F52" s="60"/>
      <c r="G52" s="60"/>
      <c r="H52" s="60"/>
      <c r="I52" s="60"/>
      <c r="J52" s="60"/>
      <c r="K52" s="60"/>
      <c r="L52" s="60"/>
      <c r="M52" s="60"/>
      <c r="N52" s="60"/>
      <c r="O52" s="60"/>
      <c r="P52" s="60"/>
      <c r="Q52" s="60"/>
      <c r="R52" s="60"/>
      <c r="S52" s="60"/>
      <c r="T52" s="60"/>
      <c r="U52" s="60"/>
      <c r="V52" s="60"/>
      <c r="W52" s="60"/>
      <c r="X52" s="60"/>
      <c r="Y52" s="60"/>
      <c r="Z52" s="60"/>
      <c r="AA52" s="60"/>
    </row>
    <row r="53" spans="1:27" ht="30" thickBot="1" x14ac:dyDescent="0.4">
      <c r="A53" s="361" t="s">
        <v>130</v>
      </c>
      <c r="B53" s="361"/>
      <c r="C53" s="361"/>
      <c r="D53" s="361"/>
      <c r="E53" s="361"/>
      <c r="F53" s="361"/>
      <c r="G53" s="361"/>
      <c r="H53" s="361"/>
      <c r="I53" s="361"/>
      <c r="J53" s="361"/>
      <c r="K53" s="361"/>
      <c r="L53" s="361"/>
      <c r="M53" s="361"/>
      <c r="N53" s="361"/>
      <c r="O53" s="361"/>
      <c r="P53" s="361"/>
      <c r="Q53" s="361"/>
      <c r="R53" s="361"/>
      <c r="S53" s="361"/>
      <c r="T53" s="361"/>
      <c r="U53" s="361"/>
      <c r="V53" s="361"/>
      <c r="W53" s="60"/>
      <c r="X53" s="60"/>
      <c r="Y53" s="60"/>
      <c r="Z53" s="60"/>
      <c r="AA53" s="60"/>
    </row>
    <row r="54" spans="1:27" ht="20" thickTop="1" x14ac:dyDescent="0.25">
      <c r="A54" s="60"/>
      <c r="B54" s="60"/>
      <c r="C54" s="60"/>
      <c r="D54" s="60"/>
      <c r="E54" s="60"/>
      <c r="F54" s="60"/>
      <c r="G54" s="60"/>
      <c r="H54" s="60"/>
      <c r="I54" s="60"/>
      <c r="J54" s="60"/>
      <c r="K54" s="60"/>
      <c r="L54" s="60"/>
      <c r="M54" s="60"/>
      <c r="N54" s="60"/>
      <c r="O54" s="60"/>
      <c r="P54" s="60"/>
      <c r="Q54" s="60"/>
      <c r="R54" s="60"/>
      <c r="S54" s="60"/>
      <c r="T54" s="60"/>
      <c r="U54" s="60"/>
      <c r="V54" s="60"/>
      <c r="W54" s="60"/>
      <c r="X54" s="60"/>
      <c r="Y54" s="60"/>
      <c r="Z54" s="60"/>
      <c r="AA54" s="60"/>
    </row>
    <row r="55" spans="1:27" ht="19" x14ac:dyDescent="0.25">
      <c r="A55" s="60"/>
      <c r="B55" s="60"/>
      <c r="C55" s="60"/>
      <c r="D55" s="60"/>
      <c r="E55" s="60"/>
      <c r="F55" s="60" t="s">
        <v>77</v>
      </c>
      <c r="G55" s="60"/>
      <c r="H55" s="60"/>
      <c r="I55" s="60"/>
      <c r="J55" s="60"/>
      <c r="K55" s="60"/>
      <c r="L55" s="60"/>
      <c r="M55" s="60"/>
      <c r="N55" s="60"/>
      <c r="O55" s="60"/>
      <c r="Q55" s="60"/>
      <c r="R55" s="60"/>
      <c r="S55" s="60"/>
      <c r="T55" s="60"/>
      <c r="U55" s="60"/>
      <c r="V55" s="60"/>
      <c r="W55" s="60"/>
      <c r="X55" s="60"/>
      <c r="Y55" s="60"/>
      <c r="Z55" s="60"/>
      <c r="AA55" s="60"/>
    </row>
    <row r="56" spans="1:27" ht="27" x14ac:dyDescent="0.35">
      <c r="B56" s="60"/>
      <c r="C56" s="153" t="s">
        <v>78</v>
      </c>
      <c r="D56" s="154"/>
      <c r="E56" s="60"/>
      <c r="F56" s="60"/>
      <c r="G56" s="60"/>
      <c r="H56" s="60"/>
      <c r="I56" s="60"/>
      <c r="J56" s="60"/>
      <c r="K56" s="60"/>
      <c r="L56" s="60"/>
      <c r="M56" s="60"/>
      <c r="N56" s="60"/>
      <c r="O56" s="60"/>
      <c r="Q56" s="60"/>
      <c r="R56" s="60"/>
      <c r="S56" s="60"/>
      <c r="T56" s="60"/>
      <c r="U56" s="60"/>
      <c r="V56" s="60"/>
      <c r="W56" s="60"/>
      <c r="X56" s="60"/>
      <c r="Y56" s="60"/>
      <c r="Z56" s="60"/>
      <c r="AA56" s="60"/>
    </row>
    <row r="57" spans="1:27" ht="19" x14ac:dyDescent="0.25">
      <c r="B57" s="60"/>
      <c r="C57" s="60"/>
      <c r="D57" s="60"/>
      <c r="E57" s="60"/>
      <c r="F57" s="60"/>
      <c r="G57" s="60"/>
      <c r="H57" s="60"/>
      <c r="I57" s="60"/>
      <c r="J57" s="60"/>
      <c r="K57" s="60"/>
      <c r="L57" s="60"/>
      <c r="M57" s="60"/>
      <c r="N57" s="60"/>
      <c r="O57" s="60"/>
      <c r="Q57" s="60"/>
      <c r="R57" s="60"/>
      <c r="S57" s="60"/>
      <c r="T57" s="60"/>
      <c r="U57" s="60"/>
      <c r="V57" s="60"/>
      <c r="W57" s="60"/>
      <c r="X57" s="60"/>
      <c r="Y57" s="60"/>
      <c r="Z57" s="60"/>
      <c r="AA57" s="60"/>
    </row>
    <row r="58" spans="1:27" ht="19" x14ac:dyDescent="0.25">
      <c r="B58" s="60"/>
      <c r="C58" s="60"/>
      <c r="D58" s="60"/>
      <c r="E58" s="60"/>
      <c r="F58" s="60"/>
      <c r="G58" s="60"/>
      <c r="H58" s="60"/>
      <c r="I58" s="60"/>
      <c r="J58" s="60"/>
      <c r="K58" s="60"/>
      <c r="L58" s="60"/>
      <c r="M58" s="60"/>
      <c r="N58" s="60"/>
      <c r="O58" s="60"/>
      <c r="Q58" s="60"/>
      <c r="R58" s="60"/>
      <c r="S58" s="60"/>
      <c r="T58" s="60"/>
      <c r="U58" s="60"/>
      <c r="V58" s="60"/>
      <c r="W58" s="60"/>
      <c r="X58" s="60"/>
      <c r="Y58" s="60"/>
      <c r="Z58" s="60"/>
      <c r="AA58" s="60"/>
    </row>
    <row r="59" spans="1:27" ht="19" x14ac:dyDescent="0.25">
      <c r="B59" s="60"/>
      <c r="D59" s="60"/>
      <c r="E59" s="60"/>
      <c r="F59" s="60"/>
      <c r="G59" s="60"/>
      <c r="H59" s="60"/>
      <c r="I59" s="60"/>
      <c r="J59" s="60"/>
      <c r="K59" s="60"/>
      <c r="L59" s="60"/>
      <c r="M59" s="60"/>
      <c r="N59" s="60"/>
      <c r="O59" s="60"/>
      <c r="Q59" s="60"/>
      <c r="R59" s="60"/>
      <c r="S59" s="60"/>
      <c r="T59" s="60"/>
      <c r="U59" s="60"/>
      <c r="V59" s="60"/>
      <c r="W59" s="60"/>
      <c r="X59" s="60"/>
      <c r="Y59" s="60"/>
      <c r="Z59" s="60"/>
      <c r="AA59" s="60"/>
    </row>
    <row r="60" spans="1:27" ht="19" x14ac:dyDescent="0.25">
      <c r="B60" s="60"/>
      <c r="C60" s="60"/>
      <c r="D60" s="60"/>
      <c r="E60" s="60"/>
      <c r="F60" s="60"/>
      <c r="G60" s="60"/>
      <c r="H60" s="60"/>
      <c r="I60" s="60"/>
      <c r="J60" s="60"/>
      <c r="K60" s="60"/>
      <c r="L60" s="60"/>
      <c r="M60" s="60"/>
      <c r="N60" s="60"/>
      <c r="O60" s="60"/>
      <c r="Q60" s="60"/>
      <c r="R60" s="60"/>
      <c r="S60" s="60"/>
      <c r="T60" s="60"/>
      <c r="U60" s="60"/>
      <c r="V60" s="60"/>
      <c r="W60" s="60"/>
      <c r="X60" s="60"/>
      <c r="Y60" s="60"/>
      <c r="Z60" s="60"/>
      <c r="AA60" s="60"/>
    </row>
    <row r="61" spans="1:27" ht="19" x14ac:dyDescent="0.25">
      <c r="B61" s="60"/>
      <c r="C61" s="60"/>
      <c r="D61" s="60"/>
      <c r="E61" s="60"/>
      <c r="F61" s="60"/>
      <c r="G61" s="60"/>
      <c r="H61" s="60"/>
      <c r="I61" s="60"/>
      <c r="J61" s="60"/>
      <c r="K61" s="60"/>
      <c r="L61" s="60"/>
      <c r="M61" s="60"/>
      <c r="N61" s="60"/>
      <c r="O61" s="60"/>
      <c r="Q61" s="60"/>
      <c r="R61" s="60"/>
      <c r="S61" s="60"/>
      <c r="T61" s="60"/>
      <c r="U61" s="60"/>
      <c r="V61" s="60"/>
      <c r="W61" s="60"/>
      <c r="X61" s="60"/>
      <c r="Y61" s="60"/>
      <c r="Z61" s="60"/>
      <c r="AA61" s="60"/>
    </row>
    <row r="62" spans="1:27" ht="19" x14ac:dyDescent="0.25">
      <c r="B62" s="60"/>
      <c r="C62" s="60"/>
      <c r="D62" s="60"/>
      <c r="E62" s="60"/>
      <c r="F62" s="60"/>
      <c r="G62" s="60"/>
      <c r="H62" s="60"/>
      <c r="I62" s="60"/>
      <c r="J62" s="60"/>
      <c r="K62" s="60"/>
      <c r="L62" s="60"/>
      <c r="M62" s="60"/>
      <c r="N62" s="60"/>
      <c r="O62" s="60"/>
      <c r="Q62" s="60"/>
      <c r="R62" s="60"/>
      <c r="S62" s="60"/>
      <c r="T62" s="60"/>
      <c r="U62" s="60"/>
      <c r="V62" s="60"/>
      <c r="W62" s="60"/>
      <c r="X62" s="60"/>
      <c r="Y62" s="60"/>
      <c r="Z62" s="60"/>
      <c r="AA62" s="60"/>
    </row>
    <row r="63" spans="1:27" ht="20" thickBot="1" x14ac:dyDescent="0.3">
      <c r="B63" s="60"/>
      <c r="C63" s="60"/>
      <c r="D63" s="60"/>
      <c r="E63" s="60"/>
      <c r="F63" s="60"/>
      <c r="G63" s="60"/>
      <c r="H63" s="60"/>
      <c r="I63" s="60"/>
      <c r="J63" s="60"/>
      <c r="K63" s="60"/>
      <c r="L63" s="60"/>
      <c r="M63" s="60"/>
      <c r="N63" s="60"/>
      <c r="O63" s="60"/>
      <c r="Q63" s="60"/>
      <c r="R63" s="60"/>
      <c r="S63" s="60"/>
      <c r="T63" s="60"/>
      <c r="U63" s="60"/>
      <c r="V63" s="60"/>
      <c r="W63" s="60"/>
      <c r="X63" s="60"/>
      <c r="Y63" s="60"/>
      <c r="Z63" s="60"/>
      <c r="AA63" s="60"/>
    </row>
    <row r="64" spans="1:27" ht="30" customHeight="1" thickBot="1" x14ac:dyDescent="0.35">
      <c r="B64" s="60"/>
      <c r="C64" s="155" t="s">
        <v>79</v>
      </c>
      <c r="D64" s="156" t="s">
        <v>80</v>
      </c>
      <c r="E64" s="155" t="s">
        <v>81</v>
      </c>
      <c r="F64" s="60"/>
      <c r="G64" s="60"/>
      <c r="H64" s="157" t="s">
        <v>82</v>
      </c>
      <c r="I64" s="158"/>
      <c r="J64" s="158"/>
      <c r="K64" s="158"/>
      <c r="L64" s="158"/>
      <c r="M64" s="158"/>
      <c r="N64" s="158"/>
      <c r="O64" s="60"/>
      <c r="Q64" s="60"/>
      <c r="R64" s="60"/>
      <c r="S64" s="60"/>
      <c r="T64" s="60"/>
      <c r="U64" s="60"/>
      <c r="V64" s="60"/>
      <c r="W64" s="60"/>
      <c r="X64" s="60"/>
      <c r="Y64" s="60"/>
      <c r="Z64" s="60"/>
      <c r="AA64" s="60"/>
    </row>
    <row r="65" spans="2:27" ht="20" thickBot="1" x14ac:dyDescent="0.3">
      <c r="B65" s="60"/>
      <c r="C65" s="159">
        <v>298.14999999999998</v>
      </c>
      <c r="D65" s="160">
        <f t="shared" ref="D65:D83" si="2">C65*$B$8/$B$16</f>
        <v>4.0625788058228471E-26</v>
      </c>
      <c r="E65" s="161">
        <f xml:space="preserve"> (2*PI()*$A$28*$U$9*$B$8*C65/($B$14^2))^(3/2)*D65</f>
        <v>39748.853510380723</v>
      </c>
      <c r="F65" s="162"/>
      <c r="G65" s="60"/>
      <c r="H65" s="60"/>
      <c r="I65" s="60"/>
      <c r="J65" s="60"/>
      <c r="K65" s="60"/>
      <c r="L65" s="60"/>
      <c r="M65" s="60"/>
      <c r="N65" s="60"/>
      <c r="O65" s="60"/>
      <c r="Q65" s="60"/>
      <c r="R65" s="60"/>
      <c r="S65" s="60"/>
      <c r="T65" s="60"/>
      <c r="U65" s="60"/>
      <c r="V65" s="60"/>
      <c r="W65" s="60"/>
      <c r="X65" s="60"/>
      <c r="Y65" s="60"/>
      <c r="Z65" s="60"/>
      <c r="AA65" s="60"/>
    </row>
    <row r="66" spans="2:27" ht="20" thickBot="1" x14ac:dyDescent="0.3">
      <c r="B66" s="60"/>
      <c r="C66" s="159">
        <v>300</v>
      </c>
      <c r="D66" s="160">
        <f t="shared" si="2"/>
        <v>4.0877868245743891E-26</v>
      </c>
      <c r="E66" s="161">
        <f xml:space="preserve"> (2*PI()*$A$28*$U$9*$B$8*C66/($B$14^2))^(3/2)*D66</f>
        <v>40368.323106654447</v>
      </c>
      <c r="F66" s="60"/>
      <c r="G66" s="60"/>
      <c r="L66" s="155" t="s">
        <v>83</v>
      </c>
      <c r="M66" s="60"/>
      <c r="N66" s="60"/>
      <c r="O66" s="60"/>
      <c r="Q66" s="60"/>
      <c r="R66" s="60"/>
      <c r="S66" s="60"/>
      <c r="T66" s="60"/>
      <c r="U66" s="60"/>
      <c r="V66" s="60"/>
      <c r="W66" s="60"/>
      <c r="X66" s="60"/>
      <c r="Y66" s="60"/>
      <c r="Z66" s="60"/>
      <c r="AA66" s="60"/>
    </row>
    <row r="67" spans="2:27" ht="19" x14ac:dyDescent="0.25">
      <c r="B67" s="60"/>
      <c r="C67" s="163">
        <f>C66+100</f>
        <v>400</v>
      </c>
      <c r="D67" s="164">
        <f t="shared" si="2"/>
        <v>5.4503824327658529E-26</v>
      </c>
      <c r="E67" s="165">
        <f t="shared" ref="E67:E83" si="3" xml:space="preserve"> (2*PI()*$A$28*$U$9*$B$8*C67/($B$14^2))^(3/2)*D67</f>
        <v>82868.132310616726</v>
      </c>
      <c r="F67" s="60"/>
      <c r="G67" s="60"/>
      <c r="K67" s="166" t="s">
        <v>84</v>
      </c>
      <c r="L67" s="133">
        <f>$E$65</f>
        <v>39748.853510380723</v>
      </c>
      <c r="M67" s="60"/>
      <c r="N67" s="60"/>
      <c r="O67" s="60"/>
      <c r="Q67" s="60"/>
      <c r="R67" s="60"/>
      <c r="S67" s="60"/>
      <c r="T67" s="60"/>
      <c r="U67" s="60"/>
      <c r="V67" s="60"/>
      <c r="W67" s="60"/>
      <c r="X67" s="60"/>
      <c r="Y67" s="60"/>
      <c r="Z67" s="60"/>
      <c r="AA67" s="60"/>
    </row>
    <row r="68" spans="2:27" ht="20" thickBot="1" x14ac:dyDescent="0.3">
      <c r="B68" s="60"/>
      <c r="C68" s="163">
        <f t="shared" ref="C68:C83" si="4">C67+100</f>
        <v>500</v>
      </c>
      <c r="D68" s="164">
        <f t="shared" si="2"/>
        <v>6.812978040957315E-26</v>
      </c>
      <c r="E68" s="165">
        <f t="shared" si="3"/>
        <v>144764.66954295631</v>
      </c>
      <c r="F68" s="60"/>
      <c r="G68" s="60"/>
      <c r="K68" s="167" t="s">
        <v>85</v>
      </c>
      <c r="L68" s="151">
        <f>P33</f>
        <v>39767.9</v>
      </c>
      <c r="M68" s="60"/>
      <c r="N68" s="60"/>
      <c r="O68" s="60"/>
      <c r="Q68" s="60"/>
      <c r="R68" s="60"/>
      <c r="S68" s="60"/>
      <c r="T68" s="60"/>
      <c r="U68" s="60"/>
      <c r="V68" s="60"/>
      <c r="W68" s="60"/>
      <c r="X68" s="60"/>
      <c r="Y68" s="60"/>
      <c r="Z68" s="60"/>
      <c r="AA68" s="60"/>
    </row>
    <row r="69" spans="2:27" ht="22" x14ac:dyDescent="0.3">
      <c r="B69" s="60"/>
      <c r="C69" s="163">
        <f t="shared" si="4"/>
        <v>600</v>
      </c>
      <c r="D69" s="164">
        <f t="shared" si="2"/>
        <v>8.1755736491487783E-26</v>
      </c>
      <c r="E69" s="165">
        <f t="shared" si="3"/>
        <v>228357.72011076027</v>
      </c>
      <c r="F69" s="60"/>
      <c r="G69" s="60"/>
      <c r="H69" s="60"/>
      <c r="I69" s="60"/>
      <c r="K69" s="168" t="s">
        <v>86</v>
      </c>
      <c r="L69" s="169">
        <f>ABS(L67-L68)/L67</f>
        <v>4.7917079204069958E-4</v>
      </c>
      <c r="M69" s="60"/>
      <c r="N69" s="60"/>
      <c r="O69" s="60"/>
      <c r="Q69" s="60"/>
      <c r="R69" s="60"/>
      <c r="S69" s="60"/>
      <c r="T69" s="60"/>
      <c r="U69" s="60"/>
      <c r="V69" s="60"/>
      <c r="W69" s="60"/>
      <c r="X69" s="60"/>
      <c r="Y69" s="60"/>
      <c r="Z69" s="60"/>
      <c r="AA69" s="60"/>
    </row>
    <row r="70" spans="2:27" ht="19" x14ac:dyDescent="0.25">
      <c r="B70" s="60"/>
      <c r="C70" s="163">
        <f t="shared" si="4"/>
        <v>700</v>
      </c>
      <c r="D70" s="164">
        <f t="shared" si="2"/>
        <v>9.5381692573402415E-26</v>
      </c>
      <c r="E70" s="165">
        <f t="shared" si="3"/>
        <v>335724.21923775156</v>
      </c>
      <c r="F70" s="60"/>
      <c r="G70" s="60"/>
      <c r="Q70" s="60"/>
      <c r="R70" s="60"/>
      <c r="S70" s="60"/>
      <c r="T70" s="60"/>
      <c r="U70" s="60"/>
      <c r="V70" s="60"/>
      <c r="W70" s="60"/>
      <c r="X70" s="60"/>
      <c r="Y70" s="60"/>
      <c r="Z70" s="60"/>
      <c r="AA70" s="60"/>
    </row>
    <row r="71" spans="2:27" ht="19" x14ac:dyDescent="0.25">
      <c r="B71" s="60"/>
      <c r="C71" s="163">
        <f t="shared" si="4"/>
        <v>800</v>
      </c>
      <c r="D71" s="164">
        <f t="shared" si="2"/>
        <v>1.0900764865531706E-25</v>
      </c>
      <c r="E71" s="165">
        <f t="shared" si="3"/>
        <v>468772.94640881027</v>
      </c>
      <c r="F71" s="60"/>
      <c r="G71" s="60"/>
      <c r="Q71" s="60"/>
      <c r="R71" s="60"/>
      <c r="S71" s="60"/>
      <c r="T71" s="60"/>
      <c r="U71" s="60"/>
      <c r="V71" s="60"/>
      <c r="W71" s="60"/>
      <c r="X71" s="60"/>
      <c r="Y71" s="60"/>
      <c r="Z71" s="60"/>
      <c r="AA71" s="60"/>
    </row>
    <row r="72" spans="2:27" ht="19" x14ac:dyDescent="0.25">
      <c r="B72" s="60"/>
      <c r="C72" s="163">
        <f t="shared" si="4"/>
        <v>900</v>
      </c>
      <c r="D72" s="164">
        <f t="shared" si="2"/>
        <v>1.2263360473723168E-25</v>
      </c>
      <c r="E72" s="165">
        <f t="shared" si="3"/>
        <v>629279.87973373779</v>
      </c>
      <c r="F72" s="60"/>
      <c r="G72" s="60"/>
      <c r="Q72" s="60"/>
      <c r="R72" s="60"/>
      <c r="S72" s="60"/>
      <c r="T72" s="60"/>
      <c r="U72" s="60"/>
      <c r="V72" s="60"/>
      <c r="W72" s="60"/>
      <c r="X72" s="60"/>
      <c r="Y72" s="60"/>
      <c r="Z72" s="60"/>
      <c r="AA72" s="60"/>
    </row>
    <row r="73" spans="2:27" ht="19" x14ac:dyDescent="0.25">
      <c r="C73" s="163">
        <f t="shared" si="4"/>
        <v>1000</v>
      </c>
      <c r="D73" s="164">
        <f t="shared" si="2"/>
        <v>1.362595608191463E-25</v>
      </c>
      <c r="E73" s="165">
        <f t="shared" si="3"/>
        <v>818912.6360804349</v>
      </c>
    </row>
    <row r="74" spans="2:27" ht="19" x14ac:dyDescent="0.25">
      <c r="C74" s="163">
        <f t="shared" si="4"/>
        <v>1100</v>
      </c>
      <c r="D74" s="164">
        <f t="shared" si="2"/>
        <v>1.4988551690106094E-25</v>
      </c>
      <c r="E74" s="165">
        <f t="shared" si="3"/>
        <v>1039248.2105053912</v>
      </c>
    </row>
    <row r="75" spans="2:27" ht="19" x14ac:dyDescent="0.25">
      <c r="C75" s="163">
        <f t="shared" si="4"/>
        <v>1200</v>
      </c>
      <c r="D75" s="164">
        <f t="shared" si="2"/>
        <v>1.6351147298297557E-25</v>
      </c>
      <c r="E75" s="165">
        <f t="shared" si="3"/>
        <v>1291786.3394129495</v>
      </c>
    </row>
    <row r="76" spans="2:27" ht="19" x14ac:dyDescent="0.25">
      <c r="C76" s="163">
        <f t="shared" si="4"/>
        <v>1300</v>
      </c>
      <c r="D76" s="164">
        <f t="shared" si="2"/>
        <v>1.7713742906489019E-25</v>
      </c>
      <c r="E76" s="165">
        <f t="shared" si="3"/>
        <v>1577959.8664058954</v>
      </c>
    </row>
    <row r="77" spans="2:27" ht="19" x14ac:dyDescent="0.25">
      <c r="C77" s="163">
        <f t="shared" si="4"/>
        <v>1400</v>
      </c>
      <c r="D77" s="164">
        <f t="shared" si="2"/>
        <v>1.9076338514680483E-25</v>
      </c>
      <c r="E77" s="165">
        <f t="shared" si="3"/>
        <v>1899142.9762525919</v>
      </c>
    </row>
    <row r="78" spans="2:27" ht="19" x14ac:dyDescent="0.25">
      <c r="C78" s="163">
        <f t="shared" si="4"/>
        <v>1500</v>
      </c>
      <c r="D78" s="164">
        <f t="shared" si="2"/>
        <v>2.043893412287195E-25</v>
      </c>
      <c r="E78" s="165">
        <f t="shared" si="3"/>
        <v>2256657.865103865</v>
      </c>
    </row>
    <row r="79" spans="2:27" ht="19" x14ac:dyDescent="0.25">
      <c r="C79" s="163">
        <f t="shared" si="4"/>
        <v>1600</v>
      </c>
      <c r="D79" s="164">
        <f t="shared" si="2"/>
        <v>2.1801529731063412E-25</v>
      </c>
      <c r="E79" s="165">
        <f t="shared" si="3"/>
        <v>2651780.2339397119</v>
      </c>
    </row>
    <row r="80" spans="2:27" ht="19" x14ac:dyDescent="0.25">
      <c r="C80" s="163">
        <f t="shared" si="4"/>
        <v>1700</v>
      </c>
      <c r="D80" s="164">
        <f t="shared" si="2"/>
        <v>2.3164125339254876E-25</v>
      </c>
      <c r="E80" s="165">
        <f t="shared" si="3"/>
        <v>3085743.8770825602</v>
      </c>
    </row>
    <row r="81" spans="3:26" ht="19" x14ac:dyDescent="0.25">
      <c r="C81" s="163">
        <f t="shared" si="4"/>
        <v>1800</v>
      </c>
      <c r="D81" s="164">
        <f t="shared" si="2"/>
        <v>2.4526720947446336E-25</v>
      </c>
      <c r="E81" s="165">
        <f t="shared" si="3"/>
        <v>3559744.5617918582</v>
      </c>
    </row>
    <row r="82" spans="3:26" ht="19" x14ac:dyDescent="0.25">
      <c r="C82" s="163">
        <f t="shared" si="4"/>
        <v>1900</v>
      </c>
      <c r="D82" s="164">
        <f t="shared" si="2"/>
        <v>2.58893165556378E-25</v>
      </c>
      <c r="E82" s="165">
        <f t="shared" si="3"/>
        <v>4074943.3434961871</v>
      </c>
    </row>
    <row r="83" spans="3:26" ht="20" thickBot="1" x14ac:dyDescent="0.3">
      <c r="C83" s="170">
        <f t="shared" si="4"/>
        <v>2000</v>
      </c>
      <c r="D83" s="171">
        <f t="shared" si="2"/>
        <v>2.725191216382926E-25</v>
      </c>
      <c r="E83" s="172">
        <f t="shared" si="3"/>
        <v>4632469.425374628</v>
      </c>
    </row>
    <row r="92" spans="3:26" ht="22" customHeight="1" x14ac:dyDescent="0.25">
      <c r="F92" s="60" t="s">
        <v>77</v>
      </c>
      <c r="Y92" s="60" t="s">
        <v>77</v>
      </c>
    </row>
    <row r="93" spans="3:26" ht="27" x14ac:dyDescent="0.35">
      <c r="C93" s="153" t="s">
        <v>87</v>
      </c>
      <c r="D93" s="173"/>
      <c r="E93" s="60"/>
      <c r="F93" s="60"/>
      <c r="G93" s="60"/>
      <c r="U93" s="356" t="s">
        <v>137</v>
      </c>
      <c r="V93" s="356"/>
      <c r="W93" s="356"/>
      <c r="X93" s="60"/>
      <c r="Y93" s="60"/>
      <c r="Z93" s="60"/>
    </row>
    <row r="94" spans="3:26" ht="19" x14ac:dyDescent="0.25">
      <c r="E94" s="60"/>
      <c r="G94" s="60"/>
      <c r="X94" s="60"/>
      <c r="Z94" s="60"/>
    </row>
    <row r="95" spans="3:26" ht="20" thickBot="1" x14ac:dyDescent="0.3">
      <c r="E95" s="60"/>
      <c r="F95" s="60"/>
      <c r="G95" s="60"/>
    </row>
    <row r="96" spans="3:26" ht="20" thickBot="1" x14ac:dyDescent="0.3">
      <c r="C96" s="174" t="s">
        <v>88</v>
      </c>
      <c r="E96" s="60"/>
      <c r="F96" s="60"/>
      <c r="G96" s="60"/>
    </row>
    <row r="97" spans="3:34" ht="22" thickBot="1" x14ac:dyDescent="0.3">
      <c r="C97" s="175" t="s">
        <v>89</v>
      </c>
      <c r="D97" s="273" t="str" cm="1">
        <f t="array" ref="D97">INDEX($E:$E,(COLUMN(D97)-4)*1+42)</f>
        <v>-</v>
      </c>
      <c r="E97" s="60"/>
      <c r="F97" s="60"/>
      <c r="G97" s="60"/>
      <c r="H97" s="60"/>
      <c r="I97" s="60"/>
      <c r="J97" s="60"/>
      <c r="K97" s="60"/>
      <c r="L97" s="60"/>
    </row>
    <row r="98" spans="3:34" ht="20" thickBot="1" x14ac:dyDescent="0.3">
      <c r="C98" s="177" t="s">
        <v>90</v>
      </c>
      <c r="D98" s="206" t="s">
        <v>127</v>
      </c>
      <c r="E98" s="162"/>
      <c r="F98" s="162"/>
      <c r="G98" s="162"/>
      <c r="H98" s="162"/>
      <c r="I98" s="162"/>
      <c r="J98" s="162"/>
      <c r="K98" s="162"/>
      <c r="L98" s="162"/>
    </row>
    <row r="99" spans="3:34" ht="17" thickBot="1" x14ac:dyDescent="0.25"/>
    <row r="100" spans="3:34" ht="30" customHeight="1" thickBot="1" x14ac:dyDescent="0.5">
      <c r="C100" s="362" t="s">
        <v>91</v>
      </c>
      <c r="D100" s="369"/>
      <c r="E100" s="181" t="s">
        <v>92</v>
      </c>
    </row>
    <row r="101" spans="3:34" ht="38" customHeight="1" thickBot="1" x14ac:dyDescent="0.35">
      <c r="C101" s="182" t="s">
        <v>93</v>
      </c>
      <c r="D101" s="274">
        <v>1</v>
      </c>
      <c r="E101" s="276"/>
      <c r="F101" s="275"/>
      <c r="G101" s="275"/>
      <c r="H101" s="275"/>
      <c r="I101" s="275"/>
      <c r="K101" s="157" t="s">
        <v>82</v>
      </c>
      <c r="L101" s="158"/>
      <c r="M101" s="158"/>
      <c r="N101" s="158"/>
      <c r="O101" s="158"/>
      <c r="Q101" s="60"/>
      <c r="U101" s="297" t="s">
        <v>79</v>
      </c>
      <c r="V101" s="294" t="s">
        <v>138</v>
      </c>
      <c r="W101" s="295" t="s">
        <v>139</v>
      </c>
      <c r="X101" s="295" t="s">
        <v>142</v>
      </c>
      <c r="Y101" s="295" t="s">
        <v>140</v>
      </c>
      <c r="Z101" s="296" t="s">
        <v>141</v>
      </c>
      <c r="AB101" s="357" t="s">
        <v>82</v>
      </c>
      <c r="AC101" s="357"/>
      <c r="AD101" s="357"/>
      <c r="AE101" s="357"/>
      <c r="AF101" s="357"/>
      <c r="AG101" s="357"/>
      <c r="AH101" s="357"/>
    </row>
    <row r="102" spans="3:34" ht="20" thickBot="1" x14ac:dyDescent="0.3">
      <c r="C102" s="187">
        <v>298.14999999999998</v>
      </c>
      <c r="D102" s="277">
        <f>1</f>
        <v>1</v>
      </c>
      <c r="E102" s="280">
        <f xml:space="preserve"> PRODUCT(D102)</f>
        <v>1</v>
      </c>
      <c r="F102" s="259"/>
      <c r="G102" s="259"/>
      <c r="H102" s="259"/>
      <c r="I102" s="259"/>
      <c r="U102" s="187">
        <v>298.14999999999998</v>
      </c>
      <c r="V102" s="304">
        <f>$E65</f>
        <v>39748.853510380723</v>
      </c>
      <c r="W102" s="305">
        <f>$E102</f>
        <v>1</v>
      </c>
      <c r="X102" s="306">
        <f>$D137</f>
        <v>1</v>
      </c>
      <c r="Y102" s="307">
        <f>$D175</f>
        <v>2</v>
      </c>
      <c r="Z102" s="235">
        <f>PRODUCT(V102:Y102)</f>
        <v>79497.707020761445</v>
      </c>
    </row>
    <row r="103" spans="3:34" ht="20" thickBot="1" x14ac:dyDescent="0.3">
      <c r="C103" s="192">
        <v>300</v>
      </c>
      <c r="D103" s="277">
        <f>1</f>
        <v>1</v>
      </c>
      <c r="E103" s="281">
        <f t="shared" ref="E103:E119" si="5" xml:space="preserve"> PRODUCT(D103)</f>
        <v>1</v>
      </c>
      <c r="F103" s="259"/>
      <c r="G103" s="259"/>
      <c r="H103" s="259"/>
      <c r="I103" s="259"/>
      <c r="M103" s="155" t="s">
        <v>83</v>
      </c>
      <c r="U103" s="192">
        <v>300</v>
      </c>
      <c r="V103" s="308">
        <f t="shared" ref="V103:V120" si="6">$E66</f>
        <v>40368.323106654447</v>
      </c>
      <c r="W103" s="60">
        <f t="shared" ref="W103:W120" si="7">$E103</f>
        <v>1</v>
      </c>
      <c r="X103" s="162">
        <f t="shared" ref="X103:X120" si="8">$D138</f>
        <v>1</v>
      </c>
      <c r="Y103" s="309">
        <f t="shared" ref="Y103:Y120" si="9">$D176</f>
        <v>2</v>
      </c>
      <c r="Z103" s="235">
        <f t="shared" ref="Z103:Z120" si="10">PRODUCT(V103:Y103)</f>
        <v>80736.646213308893</v>
      </c>
    </row>
    <row r="104" spans="3:34" ht="20" thickBot="1" x14ac:dyDescent="0.3">
      <c r="C104" s="197">
        <f>C103+100</f>
        <v>400</v>
      </c>
      <c r="D104" s="278">
        <f>1</f>
        <v>1</v>
      </c>
      <c r="E104" s="281">
        <f t="shared" si="5"/>
        <v>1</v>
      </c>
      <c r="F104" s="259"/>
      <c r="G104" s="259"/>
      <c r="H104" s="259"/>
      <c r="I104" s="259"/>
      <c r="L104" s="166" t="s">
        <v>84</v>
      </c>
      <c r="M104" s="133">
        <f>E102</f>
        <v>1</v>
      </c>
      <c r="U104" s="197">
        <f>U103+100</f>
        <v>400</v>
      </c>
      <c r="V104" s="308">
        <f t="shared" si="6"/>
        <v>82868.132310616726</v>
      </c>
      <c r="W104" s="60">
        <f t="shared" si="7"/>
        <v>1</v>
      </c>
      <c r="X104" s="162">
        <f t="shared" si="8"/>
        <v>1</v>
      </c>
      <c r="Y104" s="309">
        <f t="shared" si="9"/>
        <v>2</v>
      </c>
      <c r="Z104" s="235">
        <f t="shared" si="10"/>
        <v>165736.26462123345</v>
      </c>
    </row>
    <row r="105" spans="3:34" ht="20" thickBot="1" x14ac:dyDescent="0.3">
      <c r="C105" s="197">
        <f t="shared" ref="C105:C120" si="11">C104+100</f>
        <v>500</v>
      </c>
      <c r="D105" s="278">
        <f>1</f>
        <v>1</v>
      </c>
      <c r="E105" s="281">
        <f t="shared" si="5"/>
        <v>1</v>
      </c>
      <c r="F105" s="259"/>
      <c r="G105" s="259"/>
      <c r="H105" s="259"/>
      <c r="I105" s="259"/>
      <c r="L105" s="167" t="s">
        <v>85</v>
      </c>
      <c r="M105" s="151">
        <f>P37</f>
        <v>1</v>
      </c>
      <c r="U105" s="197">
        <f t="shared" ref="U105:U120" si="12">U104+100</f>
        <v>500</v>
      </c>
      <c r="V105" s="308">
        <f t="shared" si="6"/>
        <v>144764.66954295631</v>
      </c>
      <c r="W105" s="60">
        <f t="shared" si="7"/>
        <v>1</v>
      </c>
      <c r="X105" s="162">
        <f t="shared" si="8"/>
        <v>1</v>
      </c>
      <c r="Y105" s="309">
        <f t="shared" si="9"/>
        <v>2</v>
      </c>
      <c r="Z105" s="235">
        <f t="shared" si="10"/>
        <v>289529.33908591262</v>
      </c>
      <c r="AE105" s="201" t="s">
        <v>83</v>
      </c>
      <c r="AF105" s="316"/>
    </row>
    <row r="106" spans="3:34" ht="23" thickBot="1" x14ac:dyDescent="0.35">
      <c r="C106" s="197">
        <f t="shared" si="11"/>
        <v>600</v>
      </c>
      <c r="D106" s="278">
        <f>1</f>
        <v>1</v>
      </c>
      <c r="E106" s="281">
        <f t="shared" si="5"/>
        <v>1</v>
      </c>
      <c r="F106" s="259"/>
      <c r="G106" s="259"/>
      <c r="H106" s="259"/>
      <c r="I106" s="259"/>
      <c r="L106" s="168" t="s">
        <v>86</v>
      </c>
      <c r="M106" s="169">
        <f>ABS(M104-M105)/M104</f>
        <v>0</v>
      </c>
      <c r="U106" s="197">
        <f t="shared" si="12"/>
        <v>600</v>
      </c>
      <c r="V106" s="308">
        <f t="shared" si="6"/>
        <v>228357.72011076027</v>
      </c>
      <c r="W106" s="60">
        <f t="shared" si="7"/>
        <v>1</v>
      </c>
      <c r="X106" s="162">
        <f t="shared" si="8"/>
        <v>1</v>
      </c>
      <c r="Y106" s="309">
        <f t="shared" si="9"/>
        <v>2</v>
      </c>
      <c r="Z106" s="235">
        <f t="shared" si="10"/>
        <v>456715.44022152055</v>
      </c>
      <c r="AD106" s="166" t="s">
        <v>84</v>
      </c>
      <c r="AE106" s="284">
        <f>Z102</f>
        <v>79497.707020761445</v>
      </c>
      <c r="AF106" s="308"/>
    </row>
    <row r="107" spans="3:34" ht="20" thickBot="1" x14ac:dyDescent="0.3">
      <c r="C107" s="197">
        <f t="shared" si="11"/>
        <v>700</v>
      </c>
      <c r="D107" s="278">
        <f>1</f>
        <v>1</v>
      </c>
      <c r="E107" s="281">
        <f t="shared" si="5"/>
        <v>1</v>
      </c>
      <c r="F107" s="259"/>
      <c r="G107" s="259"/>
      <c r="H107" s="259"/>
      <c r="I107" s="259"/>
      <c r="U107" s="197">
        <f t="shared" si="12"/>
        <v>700</v>
      </c>
      <c r="V107" s="308">
        <f t="shared" si="6"/>
        <v>335724.21923775156</v>
      </c>
      <c r="W107" s="60">
        <f t="shared" si="7"/>
        <v>1</v>
      </c>
      <c r="X107" s="162">
        <f t="shared" si="8"/>
        <v>1</v>
      </c>
      <c r="Y107" s="309">
        <f t="shared" si="9"/>
        <v>2</v>
      </c>
      <c r="Z107" s="235">
        <f t="shared" si="10"/>
        <v>671448.43847550312</v>
      </c>
      <c r="AD107" s="167" t="s">
        <v>85</v>
      </c>
      <c r="AE107" s="285">
        <f>$P35</f>
        <v>79535.8</v>
      </c>
      <c r="AF107" s="308"/>
    </row>
    <row r="108" spans="3:34" ht="23" thickBot="1" x14ac:dyDescent="0.35">
      <c r="C108" s="197">
        <f t="shared" si="11"/>
        <v>800</v>
      </c>
      <c r="D108" s="278">
        <f>1</f>
        <v>1</v>
      </c>
      <c r="E108" s="281">
        <f t="shared" si="5"/>
        <v>1</v>
      </c>
      <c r="F108" s="259"/>
      <c r="G108" s="259"/>
      <c r="H108" s="259"/>
      <c r="I108" s="259"/>
      <c r="U108" s="197">
        <f t="shared" si="12"/>
        <v>800</v>
      </c>
      <c r="V108" s="308">
        <f t="shared" si="6"/>
        <v>468772.94640881027</v>
      </c>
      <c r="W108" s="60">
        <f t="shared" si="7"/>
        <v>1</v>
      </c>
      <c r="X108" s="162">
        <f t="shared" si="8"/>
        <v>1</v>
      </c>
      <c r="Y108" s="309">
        <f t="shared" si="9"/>
        <v>2</v>
      </c>
      <c r="Z108" s="235">
        <f t="shared" si="10"/>
        <v>937545.89281762054</v>
      </c>
      <c r="AD108" s="168" t="s">
        <v>86</v>
      </c>
      <c r="AE108" s="169">
        <f>ABS(AE106-AE107)/AE106</f>
        <v>4.7917079204069958E-4</v>
      </c>
      <c r="AF108" s="317"/>
    </row>
    <row r="109" spans="3:34" ht="20" thickBot="1" x14ac:dyDescent="0.3">
      <c r="C109" s="197">
        <f t="shared" si="11"/>
        <v>900</v>
      </c>
      <c r="D109" s="278">
        <f>1</f>
        <v>1</v>
      </c>
      <c r="E109" s="281">
        <f t="shared" si="5"/>
        <v>1</v>
      </c>
      <c r="F109" s="259"/>
      <c r="G109" s="259"/>
      <c r="H109" s="259"/>
      <c r="I109" s="259"/>
      <c r="U109" s="197">
        <f t="shared" si="12"/>
        <v>900</v>
      </c>
      <c r="V109" s="308">
        <f t="shared" si="6"/>
        <v>629279.87973373779</v>
      </c>
      <c r="W109" s="60">
        <f t="shared" si="7"/>
        <v>1</v>
      </c>
      <c r="X109" s="162">
        <f t="shared" si="8"/>
        <v>1</v>
      </c>
      <c r="Y109" s="309">
        <f t="shared" si="9"/>
        <v>2</v>
      </c>
      <c r="Z109" s="235">
        <f t="shared" si="10"/>
        <v>1258559.7594674756</v>
      </c>
    </row>
    <row r="110" spans="3:34" ht="20" thickBot="1" x14ac:dyDescent="0.3">
      <c r="C110" s="197">
        <f t="shared" si="11"/>
        <v>1000</v>
      </c>
      <c r="D110" s="278">
        <f>1</f>
        <v>1</v>
      </c>
      <c r="E110" s="281">
        <f t="shared" si="5"/>
        <v>1</v>
      </c>
      <c r="F110" s="259"/>
      <c r="G110" s="259"/>
      <c r="H110" s="259"/>
      <c r="I110" s="259"/>
      <c r="U110" s="197">
        <f t="shared" si="12"/>
        <v>1000</v>
      </c>
      <c r="V110" s="308">
        <f t="shared" si="6"/>
        <v>818912.6360804349</v>
      </c>
      <c r="W110" s="60">
        <f t="shared" si="7"/>
        <v>1</v>
      </c>
      <c r="X110" s="162">
        <f t="shared" si="8"/>
        <v>1</v>
      </c>
      <c r="Y110" s="309">
        <f t="shared" si="9"/>
        <v>2</v>
      </c>
      <c r="Z110" s="235">
        <f t="shared" si="10"/>
        <v>1637825.2721608698</v>
      </c>
    </row>
    <row r="111" spans="3:34" ht="20" thickBot="1" x14ac:dyDescent="0.3">
      <c r="C111" s="197">
        <f t="shared" si="11"/>
        <v>1100</v>
      </c>
      <c r="D111" s="278">
        <f>1</f>
        <v>1</v>
      </c>
      <c r="E111" s="281">
        <f t="shared" si="5"/>
        <v>1</v>
      </c>
      <c r="F111" s="259"/>
      <c r="G111" s="259"/>
      <c r="H111" s="259"/>
      <c r="I111" s="259"/>
      <c r="U111" s="197">
        <f t="shared" si="12"/>
        <v>1100</v>
      </c>
      <c r="V111" s="308">
        <f t="shared" si="6"/>
        <v>1039248.2105053912</v>
      </c>
      <c r="W111" s="60">
        <f t="shared" si="7"/>
        <v>1</v>
      </c>
      <c r="X111" s="162">
        <f t="shared" si="8"/>
        <v>1</v>
      </c>
      <c r="Y111" s="309">
        <f t="shared" si="9"/>
        <v>2</v>
      </c>
      <c r="Z111" s="235">
        <f t="shared" si="10"/>
        <v>2078496.4210107825</v>
      </c>
    </row>
    <row r="112" spans="3:34" ht="20" thickBot="1" x14ac:dyDescent="0.3">
      <c r="C112" s="197">
        <f t="shared" si="11"/>
        <v>1200</v>
      </c>
      <c r="D112" s="278">
        <f>1</f>
        <v>1</v>
      </c>
      <c r="E112" s="281">
        <f t="shared" si="5"/>
        <v>1</v>
      </c>
      <c r="F112" s="259"/>
      <c r="G112" s="259"/>
      <c r="H112" s="259"/>
      <c r="I112" s="259"/>
      <c r="U112" s="197">
        <f t="shared" si="12"/>
        <v>1200</v>
      </c>
      <c r="V112" s="308">
        <f t="shared" si="6"/>
        <v>1291786.3394129495</v>
      </c>
      <c r="W112" s="60">
        <f t="shared" si="7"/>
        <v>1</v>
      </c>
      <c r="X112" s="162">
        <f t="shared" si="8"/>
        <v>1</v>
      </c>
      <c r="Y112" s="309">
        <f t="shared" si="9"/>
        <v>2</v>
      </c>
      <c r="Z112" s="235">
        <f t="shared" si="10"/>
        <v>2583572.678825899</v>
      </c>
    </row>
    <row r="113" spans="2:26" ht="20" thickBot="1" x14ac:dyDescent="0.3">
      <c r="C113" s="197">
        <f t="shared" si="11"/>
        <v>1300</v>
      </c>
      <c r="D113" s="278">
        <f>1</f>
        <v>1</v>
      </c>
      <c r="E113" s="281">
        <f t="shared" si="5"/>
        <v>1</v>
      </c>
      <c r="F113" s="259"/>
      <c r="G113" s="259"/>
      <c r="H113" s="259"/>
      <c r="I113" s="259"/>
      <c r="U113" s="197">
        <f t="shared" si="12"/>
        <v>1300</v>
      </c>
      <c r="V113" s="308">
        <f t="shared" si="6"/>
        <v>1577959.8664058954</v>
      </c>
      <c r="W113" s="60">
        <f t="shared" si="7"/>
        <v>1</v>
      </c>
      <c r="X113" s="162">
        <f t="shared" si="8"/>
        <v>1</v>
      </c>
      <c r="Y113" s="309">
        <f t="shared" si="9"/>
        <v>2</v>
      </c>
      <c r="Z113" s="235">
        <f t="shared" si="10"/>
        <v>3155919.7328117909</v>
      </c>
    </row>
    <row r="114" spans="2:26" ht="20" thickBot="1" x14ac:dyDescent="0.3">
      <c r="C114" s="197">
        <f t="shared" si="11"/>
        <v>1400</v>
      </c>
      <c r="D114" s="278">
        <f>1</f>
        <v>1</v>
      </c>
      <c r="E114" s="281">
        <f t="shared" si="5"/>
        <v>1</v>
      </c>
      <c r="F114" s="259"/>
      <c r="G114" s="259"/>
      <c r="H114" s="259"/>
      <c r="I114" s="259"/>
      <c r="U114" s="197">
        <f t="shared" si="12"/>
        <v>1400</v>
      </c>
      <c r="V114" s="308">
        <f t="shared" si="6"/>
        <v>1899142.9762525919</v>
      </c>
      <c r="W114" s="60">
        <f t="shared" si="7"/>
        <v>1</v>
      </c>
      <c r="X114" s="162">
        <f t="shared" si="8"/>
        <v>1</v>
      </c>
      <c r="Y114" s="309">
        <f t="shared" si="9"/>
        <v>2</v>
      </c>
      <c r="Z114" s="235">
        <f t="shared" si="10"/>
        <v>3798285.9525051839</v>
      </c>
    </row>
    <row r="115" spans="2:26" ht="20" thickBot="1" x14ac:dyDescent="0.3">
      <c r="C115" s="197">
        <f t="shared" si="11"/>
        <v>1500</v>
      </c>
      <c r="D115" s="278">
        <f>1</f>
        <v>1</v>
      </c>
      <c r="E115" s="281">
        <f t="shared" si="5"/>
        <v>1</v>
      </c>
      <c r="F115" s="259"/>
      <c r="G115" s="259"/>
      <c r="H115" s="259"/>
      <c r="I115" s="259"/>
      <c r="U115" s="197">
        <f t="shared" si="12"/>
        <v>1500</v>
      </c>
      <c r="V115" s="308">
        <f t="shared" si="6"/>
        <v>2256657.865103865</v>
      </c>
      <c r="W115" s="60">
        <f t="shared" si="7"/>
        <v>1</v>
      </c>
      <c r="X115" s="162">
        <f t="shared" si="8"/>
        <v>1</v>
      </c>
      <c r="Y115" s="309">
        <f t="shared" si="9"/>
        <v>2</v>
      </c>
      <c r="Z115" s="235">
        <f t="shared" si="10"/>
        <v>4513315.7302077301</v>
      </c>
    </row>
    <row r="116" spans="2:26" ht="20" thickBot="1" x14ac:dyDescent="0.3">
      <c r="C116" s="197">
        <f t="shared" si="11"/>
        <v>1600</v>
      </c>
      <c r="D116" s="278">
        <f>1</f>
        <v>1</v>
      </c>
      <c r="E116" s="281">
        <f t="shared" si="5"/>
        <v>1</v>
      </c>
      <c r="F116" s="259"/>
      <c r="G116" s="259"/>
      <c r="H116" s="259"/>
      <c r="I116" s="259"/>
      <c r="U116" s="197">
        <f t="shared" si="12"/>
        <v>1600</v>
      </c>
      <c r="V116" s="308">
        <f t="shared" si="6"/>
        <v>2651780.2339397119</v>
      </c>
      <c r="W116" s="60">
        <f t="shared" si="7"/>
        <v>1</v>
      </c>
      <c r="X116" s="162">
        <f t="shared" si="8"/>
        <v>1</v>
      </c>
      <c r="Y116" s="309">
        <f t="shared" si="9"/>
        <v>2</v>
      </c>
      <c r="Z116" s="235">
        <f t="shared" si="10"/>
        <v>5303560.4678794239</v>
      </c>
    </row>
    <row r="117" spans="2:26" ht="20" thickBot="1" x14ac:dyDescent="0.3">
      <c r="C117" s="197">
        <f t="shared" si="11"/>
        <v>1700</v>
      </c>
      <c r="D117" s="278">
        <f>1</f>
        <v>1</v>
      </c>
      <c r="E117" s="281">
        <f t="shared" si="5"/>
        <v>1</v>
      </c>
      <c r="F117" s="259"/>
      <c r="G117" s="259"/>
      <c r="H117" s="259"/>
      <c r="I117" s="259"/>
      <c r="U117" s="197">
        <f t="shared" si="12"/>
        <v>1700</v>
      </c>
      <c r="V117" s="308">
        <f t="shared" si="6"/>
        <v>3085743.8770825602</v>
      </c>
      <c r="W117" s="60">
        <f t="shared" si="7"/>
        <v>1</v>
      </c>
      <c r="X117" s="162">
        <f t="shared" si="8"/>
        <v>1</v>
      </c>
      <c r="Y117" s="309">
        <f t="shared" si="9"/>
        <v>2</v>
      </c>
      <c r="Z117" s="235">
        <f t="shared" si="10"/>
        <v>6171487.7541651204</v>
      </c>
    </row>
    <row r="118" spans="2:26" ht="20" thickBot="1" x14ac:dyDescent="0.3">
      <c r="C118" s="197">
        <f t="shared" si="11"/>
        <v>1800</v>
      </c>
      <c r="D118" s="278">
        <f>1</f>
        <v>1</v>
      </c>
      <c r="E118" s="281">
        <f t="shared" si="5"/>
        <v>1</v>
      </c>
      <c r="F118" s="259"/>
      <c r="G118" s="259"/>
      <c r="H118" s="259"/>
      <c r="I118" s="259"/>
      <c r="U118" s="197">
        <f t="shared" si="12"/>
        <v>1800</v>
      </c>
      <c r="V118" s="308">
        <f t="shared" si="6"/>
        <v>3559744.5617918582</v>
      </c>
      <c r="W118" s="60">
        <f t="shared" si="7"/>
        <v>1</v>
      </c>
      <c r="X118" s="162">
        <f t="shared" si="8"/>
        <v>1</v>
      </c>
      <c r="Y118" s="309">
        <f t="shared" si="9"/>
        <v>2</v>
      </c>
      <c r="Z118" s="235">
        <f t="shared" si="10"/>
        <v>7119489.1235837163</v>
      </c>
    </row>
    <row r="119" spans="2:26" ht="20" thickBot="1" x14ac:dyDescent="0.3">
      <c r="C119" s="197">
        <f t="shared" si="11"/>
        <v>1900</v>
      </c>
      <c r="D119" s="278">
        <f>1</f>
        <v>1</v>
      </c>
      <c r="E119" s="281">
        <f t="shared" si="5"/>
        <v>1</v>
      </c>
      <c r="F119" s="259"/>
      <c r="G119" s="259"/>
      <c r="H119" s="259"/>
      <c r="I119" s="259"/>
      <c r="U119" s="197">
        <f t="shared" si="12"/>
        <v>1900</v>
      </c>
      <c r="V119" s="308">
        <f t="shared" si="6"/>
        <v>4074943.3434961871</v>
      </c>
      <c r="W119" s="60">
        <f t="shared" si="7"/>
        <v>1</v>
      </c>
      <c r="X119" s="162">
        <f t="shared" si="8"/>
        <v>1</v>
      </c>
      <c r="Y119" s="309">
        <f t="shared" si="9"/>
        <v>2</v>
      </c>
      <c r="Z119" s="235">
        <f t="shared" si="10"/>
        <v>8149886.6869923742</v>
      </c>
    </row>
    <row r="120" spans="2:26" ht="20" thickBot="1" x14ac:dyDescent="0.3">
      <c r="C120" s="198">
        <f t="shared" si="11"/>
        <v>2000</v>
      </c>
      <c r="D120" s="279">
        <f>1</f>
        <v>1</v>
      </c>
      <c r="E120" s="282">
        <f xml:space="preserve"> PRODUCT(D120)</f>
        <v>1</v>
      </c>
      <c r="F120" s="259"/>
      <c r="G120" s="259"/>
      <c r="H120" s="259"/>
      <c r="I120" s="259"/>
      <c r="U120" s="198">
        <f t="shared" si="12"/>
        <v>2000</v>
      </c>
      <c r="V120" s="310">
        <f t="shared" si="6"/>
        <v>4632469.425374628</v>
      </c>
      <c r="W120" s="311">
        <f t="shared" si="7"/>
        <v>1</v>
      </c>
      <c r="X120" s="312">
        <f t="shared" si="8"/>
        <v>1</v>
      </c>
      <c r="Y120" s="313">
        <f t="shared" si="9"/>
        <v>2</v>
      </c>
      <c r="Z120" s="235">
        <f t="shared" si="10"/>
        <v>9264938.8507492561</v>
      </c>
    </row>
    <row r="127" spans="2:26" ht="19" x14ac:dyDescent="0.25">
      <c r="B127" s="60"/>
      <c r="C127" s="60"/>
      <c r="D127" s="60"/>
      <c r="E127" s="60"/>
      <c r="F127" s="60" t="s">
        <v>77</v>
      </c>
      <c r="G127" s="60"/>
      <c r="H127" s="60"/>
      <c r="I127" s="60"/>
      <c r="J127" s="60"/>
      <c r="K127" s="60"/>
      <c r="L127" s="60"/>
      <c r="M127" s="60"/>
      <c r="N127" s="60"/>
      <c r="O127" s="60"/>
    </row>
    <row r="128" spans="2:26" ht="27" x14ac:dyDescent="0.35">
      <c r="B128" s="60"/>
      <c r="C128" s="153" t="s">
        <v>94</v>
      </c>
      <c r="D128" s="154"/>
      <c r="E128" s="60"/>
      <c r="F128" s="60"/>
      <c r="G128" s="60"/>
      <c r="H128" s="60"/>
      <c r="I128" s="60"/>
      <c r="J128" s="60"/>
      <c r="K128" s="60"/>
      <c r="L128" s="60"/>
      <c r="M128" s="60"/>
      <c r="N128" s="60"/>
      <c r="O128" s="60"/>
    </row>
    <row r="129" spans="2:15" ht="20" thickBot="1" x14ac:dyDescent="0.3">
      <c r="B129" s="60"/>
      <c r="C129" s="60"/>
      <c r="D129" s="60"/>
      <c r="E129" s="60"/>
      <c r="F129" s="60"/>
      <c r="G129" s="60"/>
      <c r="H129" s="60"/>
      <c r="I129" s="60"/>
      <c r="J129" s="60"/>
      <c r="K129" s="60"/>
      <c r="L129" s="60"/>
      <c r="M129" s="60"/>
      <c r="N129" s="60"/>
      <c r="O129" s="60"/>
    </row>
    <row r="130" spans="2:15" ht="20" thickBot="1" x14ac:dyDescent="0.3">
      <c r="B130" s="60"/>
      <c r="C130" s="61" t="s">
        <v>34</v>
      </c>
      <c r="D130" s="62"/>
      <c r="E130" s="62"/>
      <c r="F130" s="63"/>
      <c r="G130" s="60"/>
      <c r="H130" s="60"/>
      <c r="I130" s="60"/>
      <c r="J130" s="60"/>
      <c r="K130" s="60"/>
      <c r="L130" s="60"/>
      <c r="M130" s="60"/>
      <c r="N130" s="60"/>
      <c r="O130" s="60"/>
    </row>
    <row r="131" spans="2:15" ht="20" thickBot="1" x14ac:dyDescent="0.3">
      <c r="B131" s="60"/>
      <c r="C131" s="66"/>
      <c r="D131" s="67" t="s">
        <v>37</v>
      </c>
      <c r="E131" s="68" t="s">
        <v>38</v>
      </c>
      <c r="F131" s="69" t="s">
        <v>39</v>
      </c>
      <c r="G131" s="60"/>
      <c r="H131" s="60"/>
      <c r="I131" s="60"/>
      <c r="J131" s="60"/>
      <c r="K131" s="60"/>
      <c r="L131" s="60"/>
      <c r="M131" s="60"/>
      <c r="N131" s="60"/>
      <c r="O131" s="60"/>
    </row>
    <row r="132" spans="2:15" ht="22" thickBot="1" x14ac:dyDescent="0.3">
      <c r="B132" s="60"/>
      <c r="C132" s="200" t="s">
        <v>95</v>
      </c>
      <c r="D132" s="94">
        <f>D24*($Q$8)^2</f>
        <v>1.1170140000000001E-48</v>
      </c>
      <c r="E132" s="94">
        <f t="shared" ref="E132:F132" si="13">E24*($Q$8)^2</f>
        <v>1.7883014000000001E-47</v>
      </c>
      <c r="F132" s="94">
        <f t="shared" si="13"/>
        <v>3.8712694000000007E-47</v>
      </c>
      <c r="G132" s="60"/>
      <c r="H132" s="60"/>
      <c r="I132" s="60"/>
      <c r="J132" s="60"/>
      <c r="K132" s="60"/>
      <c r="L132" s="60"/>
      <c r="M132" s="60"/>
      <c r="N132" s="60"/>
      <c r="O132" s="60"/>
    </row>
    <row r="133" spans="2:15" ht="19" x14ac:dyDescent="0.25">
      <c r="B133" s="60"/>
      <c r="C133" s="60"/>
      <c r="D133" s="60"/>
      <c r="E133" s="60"/>
      <c r="F133" s="60"/>
      <c r="G133" s="60"/>
      <c r="H133" s="60"/>
      <c r="I133" s="60"/>
      <c r="J133" s="60"/>
      <c r="K133" s="60"/>
      <c r="L133" s="60"/>
      <c r="M133" s="60"/>
      <c r="N133" s="60"/>
      <c r="O133" s="60"/>
    </row>
    <row r="134" spans="2:15" ht="19" x14ac:dyDescent="0.25">
      <c r="B134" s="60"/>
      <c r="C134" s="60"/>
      <c r="D134" s="60"/>
      <c r="E134" s="60"/>
      <c r="F134" s="60"/>
      <c r="G134" s="60"/>
      <c r="H134" s="60"/>
      <c r="I134" s="60"/>
      <c r="J134" s="60"/>
      <c r="K134" s="60"/>
      <c r="L134" s="60"/>
      <c r="M134" s="60"/>
      <c r="N134" s="60"/>
      <c r="O134" s="60"/>
    </row>
    <row r="135" spans="2:15" ht="20" thickBot="1" x14ac:dyDescent="0.3">
      <c r="B135" s="60"/>
      <c r="C135" s="60"/>
      <c r="D135" s="60"/>
      <c r="E135" s="60"/>
      <c r="F135" s="60"/>
      <c r="G135" s="60"/>
      <c r="H135" s="60"/>
      <c r="I135" s="60"/>
      <c r="J135" s="60"/>
      <c r="K135" s="60"/>
      <c r="L135" s="60"/>
      <c r="M135" s="60"/>
      <c r="N135" s="60"/>
      <c r="O135" s="60"/>
    </row>
    <row r="136" spans="2:15" ht="23" thickBot="1" x14ac:dyDescent="0.35">
      <c r="B136" s="60"/>
      <c r="C136" s="201" t="s">
        <v>79</v>
      </c>
      <c r="D136" s="155" t="s">
        <v>128</v>
      </c>
      <c r="E136" s="283"/>
      <c r="F136" s="60"/>
      <c r="G136" s="60"/>
      <c r="H136" s="157" t="s">
        <v>82</v>
      </c>
      <c r="I136" s="158"/>
      <c r="J136" s="158"/>
      <c r="K136" s="158"/>
      <c r="L136" s="158"/>
      <c r="M136" s="158"/>
      <c r="N136" s="158"/>
      <c r="O136" s="60"/>
    </row>
    <row r="137" spans="2:15" ht="20" thickBot="1" x14ac:dyDescent="0.3">
      <c r="B137" s="60"/>
      <c r="C137" s="159">
        <v>298.14999999999998</v>
      </c>
      <c r="D137" s="161">
        <f>1</f>
        <v>1</v>
      </c>
      <c r="E137" s="162"/>
      <c r="F137" s="162"/>
      <c r="G137" s="60"/>
      <c r="H137" s="60"/>
      <c r="I137" s="60"/>
      <c r="J137" s="60"/>
      <c r="K137" s="60"/>
      <c r="L137" s="60"/>
      <c r="M137" s="60"/>
      <c r="N137" s="60"/>
      <c r="O137" s="60"/>
    </row>
    <row r="138" spans="2:15" ht="20" thickBot="1" x14ac:dyDescent="0.3">
      <c r="B138" s="60"/>
      <c r="C138" s="159">
        <v>300</v>
      </c>
      <c r="D138" s="161">
        <f>1</f>
        <v>1</v>
      </c>
      <c r="E138" s="162"/>
      <c r="F138" s="60"/>
      <c r="G138" s="60"/>
      <c r="L138" s="155" t="s">
        <v>83</v>
      </c>
      <c r="M138" s="283"/>
      <c r="N138" s="60"/>
      <c r="O138" s="60"/>
    </row>
    <row r="139" spans="2:15" ht="19" x14ac:dyDescent="0.25">
      <c r="B139" s="60"/>
      <c r="C139" s="163">
        <f>C138+100</f>
        <v>400</v>
      </c>
      <c r="D139" s="165">
        <f>1</f>
        <v>1</v>
      </c>
      <c r="E139" s="162"/>
      <c r="F139" s="60"/>
      <c r="G139" s="115"/>
      <c r="H139" s="60"/>
      <c r="K139" s="166" t="s">
        <v>84</v>
      </c>
      <c r="L139" s="133">
        <f>1</f>
        <v>1</v>
      </c>
      <c r="M139" s="162"/>
      <c r="N139" s="60"/>
      <c r="O139" s="60"/>
    </row>
    <row r="140" spans="2:15" ht="20" thickBot="1" x14ac:dyDescent="0.3">
      <c r="B140" s="60"/>
      <c r="C140" s="163">
        <f t="shared" ref="C140:C155" si="14">C139+100</f>
        <v>500</v>
      </c>
      <c r="D140" s="165">
        <f>1</f>
        <v>1</v>
      </c>
      <c r="E140" s="162"/>
      <c r="F140" s="60"/>
      <c r="G140" s="60"/>
      <c r="K140" s="167" t="s">
        <v>85</v>
      </c>
      <c r="L140" s="151">
        <f>P34</f>
        <v>1</v>
      </c>
      <c r="M140" s="162"/>
      <c r="N140" s="60"/>
      <c r="O140" s="60"/>
    </row>
    <row r="141" spans="2:15" ht="22" x14ac:dyDescent="0.3">
      <c r="B141" s="60"/>
      <c r="C141" s="163">
        <f t="shared" si="14"/>
        <v>600</v>
      </c>
      <c r="D141" s="165">
        <f>1</f>
        <v>1</v>
      </c>
      <c r="E141" s="162"/>
      <c r="F141" s="60"/>
      <c r="G141" s="60"/>
      <c r="H141" s="60"/>
      <c r="I141" s="60"/>
      <c r="K141" s="168" t="s">
        <v>86</v>
      </c>
      <c r="L141" s="169">
        <f>ABS(L139-L140)/L139</f>
        <v>0</v>
      </c>
      <c r="M141" s="286"/>
      <c r="N141" s="60"/>
      <c r="O141" s="60"/>
    </row>
    <row r="142" spans="2:15" ht="19" x14ac:dyDescent="0.25">
      <c r="B142" s="60"/>
      <c r="C142" s="163">
        <f t="shared" si="14"/>
        <v>700</v>
      </c>
      <c r="D142" s="165">
        <f>1</f>
        <v>1</v>
      </c>
      <c r="E142" s="162"/>
      <c r="F142" s="60"/>
      <c r="G142" s="60"/>
    </row>
    <row r="143" spans="2:15" ht="19" x14ac:dyDescent="0.25">
      <c r="B143" s="60"/>
      <c r="C143" s="163">
        <f t="shared" si="14"/>
        <v>800</v>
      </c>
      <c r="D143" s="165">
        <f>1</f>
        <v>1</v>
      </c>
      <c r="E143" s="162"/>
      <c r="F143" s="60"/>
      <c r="G143" s="60"/>
    </row>
    <row r="144" spans="2:15" ht="19" x14ac:dyDescent="0.25">
      <c r="B144" s="60"/>
      <c r="C144" s="163">
        <f t="shared" si="14"/>
        <v>900</v>
      </c>
      <c r="D144" s="165">
        <f>1</f>
        <v>1</v>
      </c>
      <c r="E144" s="162"/>
      <c r="F144" s="60"/>
      <c r="G144" s="60"/>
    </row>
    <row r="145" spans="3:5" ht="19" x14ac:dyDescent="0.25">
      <c r="C145" s="163">
        <f t="shared" si="14"/>
        <v>1000</v>
      </c>
      <c r="D145" s="165">
        <f>1</f>
        <v>1</v>
      </c>
      <c r="E145" s="162"/>
    </row>
    <row r="146" spans="3:5" ht="19" x14ac:dyDescent="0.25">
      <c r="C146" s="163">
        <f t="shared" si="14"/>
        <v>1100</v>
      </c>
      <c r="D146" s="165">
        <f>1</f>
        <v>1</v>
      </c>
      <c r="E146" s="162"/>
    </row>
    <row r="147" spans="3:5" ht="19" x14ac:dyDescent="0.25">
      <c r="C147" s="163">
        <f t="shared" si="14"/>
        <v>1200</v>
      </c>
      <c r="D147" s="165">
        <f>1</f>
        <v>1</v>
      </c>
      <c r="E147" s="162"/>
    </row>
    <row r="148" spans="3:5" ht="19" x14ac:dyDescent="0.25">
      <c r="C148" s="163">
        <f t="shared" si="14"/>
        <v>1300</v>
      </c>
      <c r="D148" s="165">
        <f>1</f>
        <v>1</v>
      </c>
      <c r="E148" s="162"/>
    </row>
    <row r="149" spans="3:5" ht="19" x14ac:dyDescent="0.25">
      <c r="C149" s="163">
        <f t="shared" si="14"/>
        <v>1400</v>
      </c>
      <c r="D149" s="165">
        <f>1</f>
        <v>1</v>
      </c>
      <c r="E149" s="162"/>
    </row>
    <row r="150" spans="3:5" ht="19" x14ac:dyDescent="0.25">
      <c r="C150" s="163">
        <f t="shared" si="14"/>
        <v>1500</v>
      </c>
      <c r="D150" s="165">
        <f>1</f>
        <v>1</v>
      </c>
      <c r="E150" s="162"/>
    </row>
    <row r="151" spans="3:5" ht="19" x14ac:dyDescent="0.25">
      <c r="C151" s="163">
        <f t="shared" si="14"/>
        <v>1600</v>
      </c>
      <c r="D151" s="165">
        <f>1</f>
        <v>1</v>
      </c>
      <c r="E151" s="162"/>
    </row>
    <row r="152" spans="3:5" ht="19" x14ac:dyDescent="0.25">
      <c r="C152" s="163">
        <f t="shared" si="14"/>
        <v>1700</v>
      </c>
      <c r="D152" s="165">
        <f>1</f>
        <v>1</v>
      </c>
      <c r="E152" s="162"/>
    </row>
    <row r="153" spans="3:5" ht="19" x14ac:dyDescent="0.25">
      <c r="C153" s="163">
        <f t="shared" si="14"/>
        <v>1800</v>
      </c>
      <c r="D153" s="165">
        <f>1</f>
        <v>1</v>
      </c>
      <c r="E153" s="162"/>
    </row>
    <row r="154" spans="3:5" ht="19" x14ac:dyDescent="0.25">
      <c r="C154" s="163">
        <f t="shared" si="14"/>
        <v>1900</v>
      </c>
      <c r="D154" s="165">
        <f>1</f>
        <v>1</v>
      </c>
      <c r="E154" s="162"/>
    </row>
    <row r="155" spans="3:5" ht="20" thickBot="1" x14ac:dyDescent="0.3">
      <c r="C155" s="170">
        <f t="shared" si="14"/>
        <v>2000</v>
      </c>
      <c r="D155" s="172">
        <f>1</f>
        <v>1</v>
      </c>
    </row>
    <row r="162" spans="2:16" ht="19" x14ac:dyDescent="0.25">
      <c r="B162" s="60"/>
      <c r="C162" s="60"/>
      <c r="D162" s="60"/>
      <c r="E162" s="60"/>
      <c r="F162" s="60"/>
      <c r="G162" s="60"/>
      <c r="H162" s="60"/>
      <c r="I162" s="60"/>
      <c r="J162" s="60"/>
      <c r="K162" s="60"/>
      <c r="L162" s="60"/>
      <c r="M162" s="60"/>
      <c r="N162" s="60"/>
      <c r="O162" s="60"/>
      <c r="P162" s="60"/>
    </row>
    <row r="163" spans="2:16" ht="19" x14ac:dyDescent="0.25">
      <c r="B163" s="60"/>
      <c r="C163" s="60"/>
      <c r="D163" s="60"/>
      <c r="E163" s="60"/>
      <c r="F163" s="60" t="s">
        <v>77</v>
      </c>
      <c r="G163" s="60"/>
      <c r="H163" s="60"/>
      <c r="I163" s="60"/>
      <c r="J163" s="60"/>
      <c r="K163" s="60"/>
      <c r="L163" s="60"/>
      <c r="M163" s="60"/>
      <c r="N163" s="60"/>
      <c r="O163" s="60"/>
    </row>
    <row r="164" spans="2:16" ht="27" x14ac:dyDescent="0.35">
      <c r="B164" s="60"/>
      <c r="C164" s="153" t="s">
        <v>101</v>
      </c>
      <c r="D164" s="154"/>
      <c r="E164" s="60"/>
      <c r="F164" s="60"/>
      <c r="G164" s="60"/>
      <c r="H164" s="60"/>
      <c r="I164" s="60"/>
      <c r="J164" s="60"/>
      <c r="K164" s="60"/>
      <c r="L164" s="60"/>
      <c r="M164" s="60"/>
      <c r="N164" s="60"/>
      <c r="O164" s="60"/>
    </row>
    <row r="165" spans="2:16" ht="19" x14ac:dyDescent="0.25">
      <c r="B165" s="60"/>
      <c r="C165" s="60"/>
      <c r="D165" s="60"/>
      <c r="E165" s="60"/>
      <c r="F165" s="60"/>
      <c r="G165" s="60"/>
      <c r="H165" s="60"/>
      <c r="I165" s="60"/>
      <c r="J165" s="60"/>
      <c r="K165" s="60"/>
      <c r="L165" s="60"/>
      <c r="M165" s="60"/>
      <c r="N165" s="60"/>
      <c r="O165" s="60"/>
    </row>
    <row r="166" spans="2:16" ht="20" thickBot="1" x14ac:dyDescent="0.3">
      <c r="B166" s="60"/>
      <c r="C166" s="141" t="s">
        <v>102</v>
      </c>
      <c r="F166" s="60"/>
      <c r="G166" s="60"/>
      <c r="H166" s="60"/>
      <c r="I166" s="60"/>
      <c r="J166" s="60"/>
      <c r="K166" s="60"/>
      <c r="L166" s="60"/>
      <c r="M166" s="60"/>
      <c r="N166" s="60"/>
      <c r="O166" s="60"/>
    </row>
    <row r="167" spans="2:16" ht="20" thickBot="1" x14ac:dyDescent="0.3">
      <c r="B167" s="60"/>
      <c r="C167" s="186"/>
      <c r="D167" s="142">
        <v>1</v>
      </c>
      <c r="E167" s="144" t="s">
        <v>103</v>
      </c>
      <c r="G167" s="60"/>
      <c r="H167" s="60"/>
      <c r="I167" s="60"/>
      <c r="J167" s="60"/>
      <c r="K167" s="60"/>
      <c r="L167" s="60"/>
      <c r="M167" s="60"/>
      <c r="N167" s="60"/>
      <c r="O167" s="60"/>
    </row>
    <row r="168" spans="2:16" ht="20" thickBot="1" x14ac:dyDescent="0.3">
      <c r="B168" s="60"/>
      <c r="C168" s="203" t="s">
        <v>104</v>
      </c>
      <c r="D168" s="204">
        <f>J$46</f>
        <v>-0.50027278419099996</v>
      </c>
      <c r="E168" s="204">
        <f t="shared" ref="E168:F168" si="15">K$46</f>
        <v>-0.50027278419099996</v>
      </c>
      <c r="F168" s="371"/>
      <c r="G168" s="60"/>
      <c r="H168" s="60"/>
      <c r="I168" s="60"/>
      <c r="J168" s="60"/>
      <c r="K168" s="60"/>
      <c r="L168" s="60"/>
      <c r="M168" s="60"/>
      <c r="N168" s="60"/>
      <c r="O168" s="60"/>
    </row>
    <row r="169" spans="2:16" ht="20" thickBot="1" x14ac:dyDescent="0.3">
      <c r="B169" s="60"/>
      <c r="C169" s="205" t="s">
        <v>105</v>
      </c>
      <c r="D169" s="206">
        <f>D168*$K$7</f>
        <v>-2.1811893390727599E-18</v>
      </c>
      <c r="E169" s="206">
        <f t="shared" ref="E169:F169" si="16">E168*$K$7</f>
        <v>-2.1811893390727599E-18</v>
      </c>
      <c r="F169" s="372"/>
      <c r="G169" s="60"/>
      <c r="H169" s="60"/>
      <c r="I169" s="60"/>
      <c r="J169" s="60"/>
      <c r="K169" s="60"/>
      <c r="L169" s="60"/>
      <c r="M169" s="60"/>
      <c r="N169" s="60"/>
      <c r="O169" s="60"/>
    </row>
    <row r="170" spans="2:16" ht="20" thickBot="1" x14ac:dyDescent="0.3">
      <c r="B170" s="60"/>
      <c r="D170" s="60"/>
      <c r="E170" s="60"/>
      <c r="F170" s="60"/>
      <c r="G170" s="60"/>
      <c r="H170" s="60"/>
      <c r="I170" s="60"/>
      <c r="J170" s="60"/>
      <c r="K170" s="60"/>
      <c r="L170" s="60"/>
      <c r="M170" s="60"/>
      <c r="N170" s="60"/>
      <c r="O170" s="60"/>
    </row>
    <row r="171" spans="2:16" ht="22" thickBot="1" x14ac:dyDescent="0.35">
      <c r="B171" s="60"/>
      <c r="C171" s="207" t="s">
        <v>106</v>
      </c>
      <c r="D171" s="60"/>
      <c r="E171" s="60"/>
      <c r="F171" s="60"/>
      <c r="G171" s="60"/>
      <c r="H171" s="60"/>
      <c r="I171" s="60"/>
      <c r="J171" s="60"/>
      <c r="K171" s="60"/>
      <c r="L171" s="60"/>
      <c r="M171" s="60"/>
      <c r="N171" s="60"/>
      <c r="O171" s="60"/>
    </row>
    <row r="172" spans="2:16" ht="23" thickBot="1" x14ac:dyDescent="0.35">
      <c r="B172" s="60"/>
      <c r="C172" s="208">
        <f>E169+L23</f>
        <v>-2.1811893390727599E-18</v>
      </c>
      <c r="F172" s="60"/>
      <c r="G172" s="60"/>
      <c r="H172" s="157" t="s">
        <v>82</v>
      </c>
      <c r="I172" s="158"/>
      <c r="J172" s="158"/>
      <c r="K172" s="158"/>
      <c r="L172" s="158"/>
      <c r="M172" s="158"/>
      <c r="N172" s="60"/>
      <c r="O172" s="60"/>
    </row>
    <row r="173" spans="2:16" ht="20" thickBot="1" x14ac:dyDescent="0.3">
      <c r="B173" s="60"/>
      <c r="F173" s="162"/>
      <c r="G173" s="60"/>
      <c r="H173" s="60"/>
      <c r="I173" s="60"/>
      <c r="J173" s="60"/>
      <c r="K173" s="60"/>
      <c r="L173" s="60"/>
      <c r="M173" s="60"/>
      <c r="N173" s="60"/>
      <c r="O173" s="60"/>
    </row>
    <row r="174" spans="2:16" ht="22" thickBot="1" x14ac:dyDescent="0.3">
      <c r="B174" s="60"/>
      <c r="C174" s="201" t="s">
        <v>79</v>
      </c>
      <c r="D174" s="209" t="s">
        <v>107</v>
      </c>
      <c r="F174" s="60"/>
      <c r="G174" s="60"/>
      <c r="L174" s="155" t="s">
        <v>83</v>
      </c>
      <c r="M174" s="60"/>
      <c r="N174" s="60"/>
      <c r="O174" s="60"/>
    </row>
    <row r="175" spans="2:16" ht="20" thickBot="1" x14ac:dyDescent="0.3">
      <c r="B175" s="60"/>
      <c r="C175" s="159">
        <v>298.14999999999998</v>
      </c>
      <c r="D175" s="161">
        <f>2</f>
        <v>2</v>
      </c>
      <c r="F175" s="60"/>
      <c r="G175" s="60"/>
      <c r="K175" s="166" t="s">
        <v>84</v>
      </c>
      <c r="L175" s="133">
        <f>2</f>
        <v>2</v>
      </c>
      <c r="M175" s="60"/>
      <c r="N175" s="60"/>
      <c r="O175" s="60"/>
    </row>
    <row r="176" spans="2:16" ht="20" thickBot="1" x14ac:dyDescent="0.3">
      <c r="B176" s="60"/>
      <c r="C176" s="159">
        <v>300</v>
      </c>
      <c r="D176" s="161">
        <f>2</f>
        <v>2</v>
      </c>
      <c r="F176" s="60"/>
      <c r="G176" s="60"/>
      <c r="K176" s="167" t="s">
        <v>85</v>
      </c>
      <c r="L176" s="151">
        <f>P32</f>
        <v>2</v>
      </c>
      <c r="M176" s="60"/>
      <c r="N176" s="60"/>
      <c r="O176" s="60"/>
    </row>
    <row r="177" spans="2:15" ht="22" x14ac:dyDescent="0.3">
      <c r="B177" s="60"/>
      <c r="C177" s="163">
        <f>C176+100</f>
        <v>400</v>
      </c>
      <c r="D177" s="165">
        <f>2</f>
        <v>2</v>
      </c>
      <c r="F177" s="60"/>
      <c r="G177" s="60"/>
      <c r="H177" s="60"/>
      <c r="I177" s="60"/>
      <c r="K177" s="168" t="s">
        <v>86</v>
      </c>
      <c r="L177" s="169">
        <f>ABS(L175-L176)/L175</f>
        <v>0</v>
      </c>
      <c r="M177" s="60"/>
      <c r="N177" s="60"/>
      <c r="O177" s="60"/>
    </row>
    <row r="178" spans="2:15" ht="19" x14ac:dyDescent="0.25">
      <c r="B178" s="60"/>
      <c r="C178" s="163">
        <f t="shared" ref="C178:C193" si="17">C177+100</f>
        <v>500</v>
      </c>
      <c r="D178" s="165">
        <f>2</f>
        <v>2</v>
      </c>
      <c r="F178" s="60"/>
      <c r="G178" s="60"/>
    </row>
    <row r="179" spans="2:15" ht="19" x14ac:dyDescent="0.25">
      <c r="B179" s="60"/>
      <c r="C179" s="163">
        <f t="shared" si="17"/>
        <v>600</v>
      </c>
      <c r="D179" s="165">
        <f>2</f>
        <v>2</v>
      </c>
      <c r="F179" s="60"/>
      <c r="G179" s="60"/>
    </row>
    <row r="180" spans="2:15" ht="19" x14ac:dyDescent="0.25">
      <c r="B180" s="60"/>
      <c r="C180" s="163">
        <f t="shared" si="17"/>
        <v>700</v>
      </c>
      <c r="D180" s="165">
        <f>2</f>
        <v>2</v>
      </c>
      <c r="F180" s="60"/>
      <c r="G180" s="60"/>
    </row>
    <row r="181" spans="2:15" ht="19" x14ac:dyDescent="0.25">
      <c r="C181" s="163">
        <f t="shared" si="17"/>
        <v>800</v>
      </c>
      <c r="D181" s="165">
        <f>2</f>
        <v>2</v>
      </c>
    </row>
    <row r="182" spans="2:15" ht="19" x14ac:dyDescent="0.25">
      <c r="C182" s="163">
        <f t="shared" si="17"/>
        <v>900</v>
      </c>
      <c r="D182" s="165">
        <f>2</f>
        <v>2</v>
      </c>
    </row>
    <row r="183" spans="2:15" ht="19" x14ac:dyDescent="0.25">
      <c r="C183" s="163">
        <f t="shared" si="17"/>
        <v>1000</v>
      </c>
      <c r="D183" s="165">
        <f>2</f>
        <v>2</v>
      </c>
    </row>
    <row r="184" spans="2:15" ht="19" x14ac:dyDescent="0.25">
      <c r="C184" s="163">
        <f t="shared" si="17"/>
        <v>1100</v>
      </c>
      <c r="D184" s="165">
        <f>2</f>
        <v>2</v>
      </c>
    </row>
    <row r="185" spans="2:15" ht="19" x14ac:dyDescent="0.25">
      <c r="C185" s="163">
        <f t="shared" si="17"/>
        <v>1200</v>
      </c>
      <c r="D185" s="165">
        <f>2</f>
        <v>2</v>
      </c>
    </row>
    <row r="186" spans="2:15" ht="19" x14ac:dyDescent="0.25">
      <c r="C186" s="163">
        <f t="shared" si="17"/>
        <v>1300</v>
      </c>
      <c r="D186" s="165">
        <f>2</f>
        <v>2</v>
      </c>
    </row>
    <row r="187" spans="2:15" ht="19" x14ac:dyDescent="0.25">
      <c r="C187" s="163">
        <f t="shared" si="17"/>
        <v>1400</v>
      </c>
      <c r="D187" s="165">
        <f>2</f>
        <v>2</v>
      </c>
    </row>
    <row r="188" spans="2:15" ht="19" x14ac:dyDescent="0.25">
      <c r="C188" s="163">
        <f t="shared" si="17"/>
        <v>1500</v>
      </c>
      <c r="D188" s="165">
        <f>2</f>
        <v>2</v>
      </c>
    </row>
    <row r="189" spans="2:15" ht="19" x14ac:dyDescent="0.25">
      <c r="C189" s="163">
        <f t="shared" si="17"/>
        <v>1600</v>
      </c>
      <c r="D189" s="165">
        <f>2</f>
        <v>2</v>
      </c>
    </row>
    <row r="190" spans="2:15" ht="19" x14ac:dyDescent="0.25">
      <c r="C190" s="163">
        <f t="shared" si="17"/>
        <v>1700</v>
      </c>
      <c r="D190" s="165">
        <f>2</f>
        <v>2</v>
      </c>
    </row>
    <row r="191" spans="2:15" ht="19" x14ac:dyDescent="0.25">
      <c r="C191" s="163">
        <f t="shared" si="17"/>
        <v>1800</v>
      </c>
      <c r="D191" s="165">
        <f>2</f>
        <v>2</v>
      </c>
    </row>
    <row r="192" spans="2:15" ht="19" x14ac:dyDescent="0.25">
      <c r="C192" s="163">
        <f t="shared" si="17"/>
        <v>1900</v>
      </c>
      <c r="D192" s="165">
        <f>2</f>
        <v>2</v>
      </c>
    </row>
    <row r="193" spans="3:11" ht="20" thickBot="1" x14ac:dyDescent="0.3">
      <c r="C193" s="170">
        <f t="shared" si="17"/>
        <v>2000</v>
      </c>
      <c r="D193" s="172">
        <f>2</f>
        <v>2</v>
      </c>
    </row>
    <row r="197" spans="3:11" ht="17" thickBot="1" x14ac:dyDescent="0.25"/>
    <row r="198" spans="3:11" ht="20" thickBot="1" x14ac:dyDescent="0.3">
      <c r="E198" s="60"/>
      <c r="F198" s="60" t="s">
        <v>77</v>
      </c>
      <c r="G198" s="60"/>
      <c r="H198" s="365" t="s">
        <v>108</v>
      </c>
      <c r="I198" s="366"/>
      <c r="J198" s="366"/>
      <c r="K198" s="367"/>
    </row>
    <row r="199" spans="3:11" ht="28" thickBot="1" x14ac:dyDescent="0.4">
      <c r="C199" s="153" t="s">
        <v>109</v>
      </c>
      <c r="D199" s="154"/>
      <c r="E199" s="60"/>
      <c r="F199" s="60"/>
      <c r="G199" s="60"/>
      <c r="H199" s="210" t="s">
        <v>110</v>
      </c>
      <c r="I199" s="210" t="s">
        <v>111</v>
      </c>
      <c r="J199" s="210" t="s">
        <v>112</v>
      </c>
      <c r="K199" s="210" t="s">
        <v>113</v>
      </c>
    </row>
    <row r="202" spans="3:11" ht="17" thickBot="1" x14ac:dyDescent="0.25"/>
    <row r="203" spans="3:11" ht="20" thickBot="1" x14ac:dyDescent="0.25">
      <c r="D203" s="354" t="s">
        <v>114</v>
      </c>
      <c r="E203" s="355"/>
    </row>
    <row r="204" spans="3:11" ht="20" thickBot="1" x14ac:dyDescent="0.3">
      <c r="D204" s="177" t="s">
        <v>115</v>
      </c>
      <c r="E204" s="211" t="s">
        <v>116</v>
      </c>
    </row>
    <row r="205" spans="3:11" ht="19" x14ac:dyDescent="0.25">
      <c r="C205" s="86" t="s">
        <v>45</v>
      </c>
      <c r="D205" s="212">
        <f>$Q23</f>
        <v>2.9809999999999999</v>
      </c>
      <c r="E205" s="133">
        <f>D205*4.184</f>
        <v>12.472504000000001</v>
      </c>
    </row>
    <row r="206" spans="3:11" ht="19" x14ac:dyDescent="0.25">
      <c r="C206" s="92" t="s">
        <v>48</v>
      </c>
      <c r="D206" s="212">
        <f t="shared" ref="D206:D209" si="18">$Q24</f>
        <v>0</v>
      </c>
      <c r="E206" s="139">
        <f t="shared" ref="E206:E209" si="19">D206*4.184</f>
        <v>0</v>
      </c>
    </row>
    <row r="207" spans="3:11" ht="19" x14ac:dyDescent="0.25">
      <c r="C207" s="92" t="s">
        <v>50</v>
      </c>
      <c r="D207" s="212">
        <f t="shared" si="18"/>
        <v>2.9809999999999999</v>
      </c>
      <c r="E207" s="139">
        <f t="shared" si="19"/>
        <v>12.472504000000001</v>
      </c>
    </row>
    <row r="208" spans="3:11" ht="19" x14ac:dyDescent="0.25">
      <c r="C208" s="92" t="s">
        <v>52</v>
      </c>
      <c r="D208" s="212">
        <f t="shared" si="18"/>
        <v>0</v>
      </c>
      <c r="E208" s="139">
        <f t="shared" si="19"/>
        <v>0</v>
      </c>
    </row>
    <row r="209" spans="3:16" ht="20" thickBot="1" x14ac:dyDescent="0.3">
      <c r="C209" s="97" t="s">
        <v>55</v>
      </c>
      <c r="D209" s="212">
        <f t="shared" si="18"/>
        <v>0</v>
      </c>
      <c r="E209" s="139">
        <f t="shared" si="19"/>
        <v>0</v>
      </c>
      <c r="K209">
        <f>COLUMN(E205)</f>
        <v>5</v>
      </c>
    </row>
    <row r="210" spans="3:16" ht="24" customHeight="1" x14ac:dyDescent="0.2"/>
    <row r="211" spans="3:16" ht="17" thickBot="1" x14ac:dyDescent="0.25"/>
    <row r="212" spans="3:16" ht="23" thickBot="1" x14ac:dyDescent="0.35">
      <c r="D212" s="358" t="s">
        <v>116</v>
      </c>
      <c r="E212" s="359"/>
      <c r="F212" s="359"/>
      <c r="G212" s="359"/>
      <c r="H212" s="360"/>
      <c r="J212" s="157" t="s">
        <v>82</v>
      </c>
      <c r="K212" s="158"/>
      <c r="L212" s="158"/>
      <c r="M212" s="158"/>
      <c r="N212" s="158"/>
      <c r="O212" s="158"/>
      <c r="P212" s="60"/>
    </row>
    <row r="213" spans="3:16" ht="20" thickBot="1" x14ac:dyDescent="0.3">
      <c r="C213" s="201" t="s">
        <v>79</v>
      </c>
      <c r="D213" s="213" t="s">
        <v>117</v>
      </c>
      <c r="E213" s="214" t="s">
        <v>118</v>
      </c>
      <c r="F213" s="214" t="s">
        <v>119</v>
      </c>
      <c r="G213" s="215" t="s">
        <v>120</v>
      </c>
      <c r="H213" s="207" t="s">
        <v>121</v>
      </c>
      <c r="J213" s="60"/>
      <c r="K213" s="60"/>
      <c r="L213" s="60"/>
      <c r="M213" s="60"/>
      <c r="N213" s="60"/>
      <c r="O213" s="60"/>
      <c r="P213" s="60"/>
    </row>
    <row r="214" spans="3:16" ht="20" thickBot="1" x14ac:dyDescent="0.3">
      <c r="C214" s="187">
        <v>298.14999999999998</v>
      </c>
      <c r="D214" s="252">
        <f>3*$B$7/2</f>
        <v>12.471599999999999</v>
      </c>
      <c r="E214" s="253">
        <v>0</v>
      </c>
      <c r="F214" s="253">
        <v>0</v>
      </c>
      <c r="G214" s="253">
        <v>0</v>
      </c>
      <c r="H214" s="219">
        <f t="shared" ref="H214:H232" si="20">SUM(D214:G214)</f>
        <v>12.471599999999999</v>
      </c>
      <c r="K214" s="213" t="s">
        <v>117</v>
      </c>
      <c r="L214" s="214" t="s">
        <v>118</v>
      </c>
      <c r="M214" s="214" t="s">
        <v>119</v>
      </c>
      <c r="N214" s="215" t="s">
        <v>120</v>
      </c>
      <c r="O214" s="207" t="s">
        <v>121</v>
      </c>
      <c r="P214" s="60"/>
    </row>
    <row r="215" spans="3:16" ht="20" thickBot="1" x14ac:dyDescent="0.3">
      <c r="C215" s="159">
        <v>300</v>
      </c>
      <c r="D215" s="252">
        <f>3*$B$7/2</f>
        <v>12.471599999999999</v>
      </c>
      <c r="E215" s="253">
        <v>0</v>
      </c>
      <c r="F215" s="253">
        <v>0</v>
      </c>
      <c r="G215" s="287">
        <v>0</v>
      </c>
      <c r="H215" s="219">
        <f t="shared" si="20"/>
        <v>12.471599999999999</v>
      </c>
      <c r="J215" s="166" t="s">
        <v>84</v>
      </c>
      <c r="K215" s="133">
        <f>D$214</f>
        <v>12.471599999999999</v>
      </c>
      <c r="L215" s="133">
        <f t="shared" ref="L215:O215" si="21">E$214</f>
        <v>0</v>
      </c>
      <c r="M215" s="133">
        <f t="shared" si="21"/>
        <v>0</v>
      </c>
      <c r="N215" s="133">
        <f t="shared" si="21"/>
        <v>0</v>
      </c>
      <c r="O215" s="133">
        <f t="shared" si="21"/>
        <v>12.471599999999999</v>
      </c>
      <c r="P215" s="60"/>
    </row>
    <row r="216" spans="3:16" ht="20" thickBot="1" x14ac:dyDescent="0.3">
      <c r="C216" s="163">
        <f>C215+100</f>
        <v>400</v>
      </c>
      <c r="D216" s="256">
        <f t="shared" ref="D216:D232" si="22">3*$B$7/2</f>
        <v>12.471599999999999</v>
      </c>
      <c r="E216" s="257">
        <v>0</v>
      </c>
      <c r="F216" s="257">
        <v>0</v>
      </c>
      <c r="G216" s="288">
        <v>0</v>
      </c>
      <c r="H216" s="219">
        <f t="shared" si="20"/>
        <v>12.471599999999999</v>
      </c>
      <c r="J216" s="167" t="s">
        <v>85</v>
      </c>
      <c r="K216" s="151">
        <f>E207</f>
        <v>12.472504000000001</v>
      </c>
      <c r="L216" s="151">
        <f>E209</f>
        <v>0</v>
      </c>
      <c r="M216" s="151">
        <f>E208</f>
        <v>0</v>
      </c>
      <c r="N216" s="151">
        <f>E206</f>
        <v>0</v>
      </c>
      <c r="O216" s="151">
        <f>E205</f>
        <v>12.472504000000001</v>
      </c>
      <c r="P216" s="60"/>
    </row>
    <row r="217" spans="3:16" ht="23" thickBot="1" x14ac:dyDescent="0.35">
      <c r="C217" s="163">
        <f t="shared" ref="C217:C232" si="23">C216+100</f>
        <v>500</v>
      </c>
      <c r="D217" s="256">
        <f t="shared" si="22"/>
        <v>12.471599999999999</v>
      </c>
      <c r="E217" s="257">
        <v>0</v>
      </c>
      <c r="F217" s="257">
        <v>0</v>
      </c>
      <c r="G217" s="288">
        <v>0</v>
      </c>
      <c r="H217" s="219">
        <f t="shared" si="20"/>
        <v>12.471599999999999</v>
      </c>
      <c r="J217" s="168" t="s">
        <v>86</v>
      </c>
      <c r="K217" s="169">
        <f>IFERROR(ABS(K215-K216)/K215,0)</f>
        <v>7.2484685204946797E-5</v>
      </c>
      <c r="L217" s="169">
        <f t="shared" ref="L217:O217" si="24">IFERROR(ABS(L215-L216)/L215,0)</f>
        <v>0</v>
      </c>
      <c r="M217" s="169">
        <f t="shared" si="24"/>
        <v>0</v>
      </c>
      <c r="N217" s="169">
        <f t="shared" si="24"/>
        <v>0</v>
      </c>
      <c r="O217" s="169">
        <f t="shared" si="24"/>
        <v>7.2484685204946797E-5</v>
      </c>
      <c r="P217" s="60"/>
    </row>
    <row r="218" spans="3:16" ht="20" thickBot="1" x14ac:dyDescent="0.3">
      <c r="C218" s="163">
        <f t="shared" si="23"/>
        <v>600</v>
      </c>
      <c r="D218" s="256">
        <f t="shared" si="22"/>
        <v>12.471599999999999</v>
      </c>
      <c r="E218" s="257">
        <v>0</v>
      </c>
      <c r="F218" s="257">
        <v>0</v>
      </c>
      <c r="G218" s="288">
        <v>0</v>
      </c>
      <c r="H218" s="219">
        <f t="shared" si="20"/>
        <v>12.471599999999999</v>
      </c>
    </row>
    <row r="219" spans="3:16" ht="20" thickBot="1" x14ac:dyDescent="0.3">
      <c r="C219" s="163">
        <f t="shared" si="23"/>
        <v>700</v>
      </c>
      <c r="D219" s="256">
        <f t="shared" si="22"/>
        <v>12.471599999999999</v>
      </c>
      <c r="E219" s="257">
        <v>0</v>
      </c>
      <c r="F219" s="257">
        <v>0</v>
      </c>
      <c r="G219" s="288">
        <v>0</v>
      </c>
      <c r="H219" s="219">
        <f t="shared" si="20"/>
        <v>12.471599999999999</v>
      </c>
    </row>
    <row r="220" spans="3:16" ht="20" thickBot="1" x14ac:dyDescent="0.3">
      <c r="C220" s="163">
        <f t="shared" si="23"/>
        <v>800</v>
      </c>
      <c r="D220" s="256">
        <f t="shared" si="22"/>
        <v>12.471599999999999</v>
      </c>
      <c r="E220" s="257">
        <v>0</v>
      </c>
      <c r="F220" s="257">
        <v>0</v>
      </c>
      <c r="G220" s="288">
        <v>0</v>
      </c>
      <c r="H220" s="219">
        <f t="shared" si="20"/>
        <v>12.471599999999999</v>
      </c>
    </row>
    <row r="221" spans="3:16" ht="20" thickBot="1" x14ac:dyDescent="0.3">
      <c r="C221" s="163">
        <f t="shared" si="23"/>
        <v>900</v>
      </c>
      <c r="D221" s="256">
        <f t="shared" si="22"/>
        <v>12.471599999999999</v>
      </c>
      <c r="E221" s="257">
        <v>0</v>
      </c>
      <c r="F221" s="257">
        <v>0</v>
      </c>
      <c r="G221" s="288">
        <v>0</v>
      </c>
      <c r="H221" s="219">
        <f t="shared" si="20"/>
        <v>12.471599999999999</v>
      </c>
    </row>
    <row r="222" spans="3:16" ht="20" thickBot="1" x14ac:dyDescent="0.3">
      <c r="C222" s="163">
        <f t="shared" si="23"/>
        <v>1000</v>
      </c>
      <c r="D222" s="256">
        <f t="shared" si="22"/>
        <v>12.471599999999999</v>
      </c>
      <c r="E222" s="257">
        <v>0</v>
      </c>
      <c r="F222" s="257">
        <v>0</v>
      </c>
      <c r="G222" s="288">
        <v>0</v>
      </c>
      <c r="H222" s="219">
        <f t="shared" si="20"/>
        <v>12.471599999999999</v>
      </c>
    </row>
    <row r="223" spans="3:16" ht="20" thickBot="1" x14ac:dyDescent="0.3">
      <c r="C223" s="163">
        <f t="shared" si="23"/>
        <v>1100</v>
      </c>
      <c r="D223" s="256">
        <f t="shared" si="22"/>
        <v>12.471599999999999</v>
      </c>
      <c r="E223" s="257">
        <v>0</v>
      </c>
      <c r="F223" s="257">
        <v>0</v>
      </c>
      <c r="G223" s="288">
        <v>0</v>
      </c>
      <c r="H223" s="219">
        <f t="shared" si="20"/>
        <v>12.471599999999999</v>
      </c>
    </row>
    <row r="224" spans="3:16" ht="20" thickBot="1" x14ac:dyDescent="0.3">
      <c r="C224" s="163">
        <f t="shared" si="23"/>
        <v>1200</v>
      </c>
      <c r="D224" s="256">
        <f t="shared" si="22"/>
        <v>12.471599999999999</v>
      </c>
      <c r="E224" s="257">
        <v>0</v>
      </c>
      <c r="F224" s="257">
        <v>0</v>
      </c>
      <c r="G224" s="288">
        <v>0</v>
      </c>
      <c r="H224" s="219">
        <f t="shared" si="20"/>
        <v>12.471599999999999</v>
      </c>
    </row>
    <row r="225" spans="3:11" ht="20" thickBot="1" x14ac:dyDescent="0.3">
      <c r="C225" s="163">
        <f t="shared" si="23"/>
        <v>1300</v>
      </c>
      <c r="D225" s="256">
        <f t="shared" si="22"/>
        <v>12.471599999999999</v>
      </c>
      <c r="E225" s="257">
        <v>0</v>
      </c>
      <c r="F225" s="257">
        <v>0</v>
      </c>
      <c r="G225" s="288">
        <v>0</v>
      </c>
      <c r="H225" s="219">
        <f t="shared" si="20"/>
        <v>12.471599999999999</v>
      </c>
    </row>
    <row r="226" spans="3:11" ht="20" thickBot="1" x14ac:dyDescent="0.3">
      <c r="C226" s="163">
        <f t="shared" si="23"/>
        <v>1400</v>
      </c>
      <c r="D226" s="256">
        <f t="shared" si="22"/>
        <v>12.471599999999999</v>
      </c>
      <c r="E226" s="257">
        <v>0</v>
      </c>
      <c r="F226" s="257">
        <v>0</v>
      </c>
      <c r="G226" s="288">
        <v>0</v>
      </c>
      <c r="H226" s="219">
        <f t="shared" si="20"/>
        <v>12.471599999999999</v>
      </c>
    </row>
    <row r="227" spans="3:11" ht="20" thickBot="1" x14ac:dyDescent="0.3">
      <c r="C227" s="163">
        <f t="shared" si="23"/>
        <v>1500</v>
      </c>
      <c r="D227" s="256">
        <f t="shared" si="22"/>
        <v>12.471599999999999</v>
      </c>
      <c r="E227" s="257">
        <v>0</v>
      </c>
      <c r="F227" s="257">
        <v>0</v>
      </c>
      <c r="G227" s="288">
        <v>0</v>
      </c>
      <c r="H227" s="219">
        <f t="shared" si="20"/>
        <v>12.471599999999999</v>
      </c>
    </row>
    <row r="228" spans="3:11" ht="20" thickBot="1" x14ac:dyDescent="0.3">
      <c r="C228" s="163">
        <f t="shared" si="23"/>
        <v>1600</v>
      </c>
      <c r="D228" s="256">
        <f t="shared" si="22"/>
        <v>12.471599999999999</v>
      </c>
      <c r="E228" s="257">
        <v>0</v>
      </c>
      <c r="F228" s="257">
        <v>0</v>
      </c>
      <c r="G228" s="288">
        <v>0</v>
      </c>
      <c r="H228" s="219">
        <f t="shared" si="20"/>
        <v>12.471599999999999</v>
      </c>
    </row>
    <row r="229" spans="3:11" ht="20" thickBot="1" x14ac:dyDescent="0.3">
      <c r="C229" s="163">
        <f t="shared" si="23"/>
        <v>1700</v>
      </c>
      <c r="D229" s="256">
        <f t="shared" si="22"/>
        <v>12.471599999999999</v>
      </c>
      <c r="E229" s="257">
        <v>0</v>
      </c>
      <c r="F229" s="257">
        <v>0</v>
      </c>
      <c r="G229" s="288">
        <v>0</v>
      </c>
      <c r="H229" s="219">
        <f t="shared" si="20"/>
        <v>12.471599999999999</v>
      </c>
    </row>
    <row r="230" spans="3:11" ht="20" thickBot="1" x14ac:dyDescent="0.3">
      <c r="C230" s="163">
        <f t="shared" si="23"/>
        <v>1800</v>
      </c>
      <c r="D230" s="256">
        <f t="shared" si="22"/>
        <v>12.471599999999999</v>
      </c>
      <c r="E230" s="257">
        <v>0</v>
      </c>
      <c r="F230" s="257">
        <v>0</v>
      </c>
      <c r="G230" s="288">
        <v>0</v>
      </c>
      <c r="H230" s="219">
        <f t="shared" si="20"/>
        <v>12.471599999999999</v>
      </c>
    </row>
    <row r="231" spans="3:11" ht="20" thickBot="1" x14ac:dyDescent="0.3">
      <c r="C231" s="163">
        <f t="shared" si="23"/>
        <v>1900</v>
      </c>
      <c r="D231" s="256">
        <f t="shared" si="22"/>
        <v>12.471599999999999</v>
      </c>
      <c r="E231" s="257">
        <v>0</v>
      </c>
      <c r="F231" s="257">
        <v>0</v>
      </c>
      <c r="G231" s="288">
        <v>0</v>
      </c>
      <c r="H231" s="219">
        <f t="shared" si="20"/>
        <v>12.471599999999999</v>
      </c>
    </row>
    <row r="232" spans="3:11" ht="20" thickBot="1" x14ac:dyDescent="0.3">
      <c r="C232" s="170">
        <f t="shared" si="23"/>
        <v>2000</v>
      </c>
      <c r="D232" s="262">
        <f t="shared" si="22"/>
        <v>12.471599999999999</v>
      </c>
      <c r="E232" s="263">
        <v>0</v>
      </c>
      <c r="F232" s="263">
        <v>0</v>
      </c>
      <c r="G232" s="289">
        <v>0</v>
      </c>
      <c r="H232" s="229">
        <f t="shared" si="20"/>
        <v>12.471599999999999</v>
      </c>
    </row>
    <row r="238" spans="3:11" ht="17" thickBot="1" x14ac:dyDescent="0.25"/>
    <row r="239" spans="3:11" ht="20" thickBot="1" x14ac:dyDescent="0.3">
      <c r="E239" s="60"/>
      <c r="F239" s="60" t="s">
        <v>77</v>
      </c>
      <c r="G239" s="60"/>
      <c r="H239" s="365" t="s">
        <v>108</v>
      </c>
      <c r="I239" s="366"/>
      <c r="J239" s="366"/>
      <c r="K239" s="367"/>
    </row>
    <row r="240" spans="3:11" ht="28" thickBot="1" x14ac:dyDescent="0.4">
      <c r="C240" s="153" t="s">
        <v>122</v>
      </c>
      <c r="D240" s="154"/>
      <c r="E240" s="60"/>
      <c r="F240" s="60"/>
      <c r="G240" s="60"/>
      <c r="H240" s="210" t="s">
        <v>110</v>
      </c>
      <c r="I240" s="210" t="s">
        <v>111</v>
      </c>
      <c r="J240" s="210" t="s">
        <v>112</v>
      </c>
      <c r="K240" s="210" t="s">
        <v>113</v>
      </c>
    </row>
    <row r="244" spans="3:10" ht="20" thickBot="1" x14ac:dyDescent="0.25">
      <c r="D244" s="368"/>
      <c r="E244" s="368"/>
    </row>
    <row r="245" spans="3:10" ht="20" thickBot="1" x14ac:dyDescent="0.25">
      <c r="D245" s="354" t="s">
        <v>123</v>
      </c>
      <c r="E245" s="355"/>
    </row>
    <row r="246" spans="3:10" ht="20" thickBot="1" x14ac:dyDescent="0.3">
      <c r="D246" s="177" t="s">
        <v>115</v>
      </c>
      <c r="E246" s="211" t="s">
        <v>116</v>
      </c>
    </row>
    <row r="247" spans="3:10" ht="19" x14ac:dyDescent="0.25">
      <c r="C247" s="86" t="s">
        <v>45</v>
      </c>
      <c r="D247" s="230">
        <f>$R23</f>
        <v>27.391999999999999</v>
      </c>
      <c r="E247" s="133">
        <f>D247*4.184</f>
        <v>114.60812800000001</v>
      </c>
    </row>
    <row r="248" spans="3:10" ht="19" x14ac:dyDescent="0.25">
      <c r="C248" s="92" t="s">
        <v>48</v>
      </c>
      <c r="D248" s="230">
        <f t="shared" ref="D248:D251" si="25">$R24</f>
        <v>1.377</v>
      </c>
      <c r="E248" s="139">
        <f t="shared" ref="E248:E251" si="26">D248*4.184</f>
        <v>5.761368</v>
      </c>
    </row>
    <row r="249" spans="3:10" ht="19" x14ac:dyDescent="0.25">
      <c r="C249" s="92" t="s">
        <v>50</v>
      </c>
      <c r="D249" s="230">
        <f t="shared" si="25"/>
        <v>26.013999999999999</v>
      </c>
      <c r="E249" s="139">
        <f t="shared" si="26"/>
        <v>108.84257600000001</v>
      </c>
    </row>
    <row r="250" spans="3:10" ht="19" x14ac:dyDescent="0.25">
      <c r="C250" s="92" t="s">
        <v>52</v>
      </c>
      <c r="D250" s="230">
        <f t="shared" si="25"/>
        <v>0</v>
      </c>
      <c r="E250" s="139">
        <f t="shared" si="26"/>
        <v>0</v>
      </c>
    </row>
    <row r="251" spans="3:10" ht="20" thickBot="1" x14ac:dyDescent="0.3">
      <c r="C251" s="97" t="s">
        <v>55</v>
      </c>
      <c r="D251" s="230">
        <f t="shared" si="25"/>
        <v>0</v>
      </c>
      <c r="E251" s="139">
        <f t="shared" si="26"/>
        <v>0</v>
      </c>
    </row>
    <row r="253" spans="3:10" ht="17" thickBot="1" x14ac:dyDescent="0.25"/>
    <row r="254" spans="3:10" ht="20" thickBot="1" x14ac:dyDescent="0.3">
      <c r="C254" s="61" t="s">
        <v>34</v>
      </c>
      <c r="D254" s="231"/>
      <c r="E254" s="231"/>
      <c r="F254" s="231"/>
      <c r="G254" s="232"/>
      <c r="I254" s="70" t="s">
        <v>124</v>
      </c>
      <c r="J254" s="233">
        <f>($B$14^2)/(8*PI()*PI()*$G$258*$B$8)</f>
        <v>9.4413881949532694</v>
      </c>
    </row>
    <row r="255" spans="3:10" ht="20" thickBot="1" x14ac:dyDescent="0.3">
      <c r="C255" s="234"/>
      <c r="D255" s="67" t="s">
        <v>37</v>
      </c>
      <c r="E255" s="68" t="s">
        <v>38</v>
      </c>
      <c r="F255" s="69" t="s">
        <v>39</v>
      </c>
      <c r="G255" s="207" t="s">
        <v>121</v>
      </c>
      <c r="I255" s="115"/>
      <c r="J255" s="115"/>
    </row>
    <row r="256" spans="3:10" ht="22" thickBot="1" x14ac:dyDescent="0.3">
      <c r="C256" s="78" t="s">
        <v>44</v>
      </c>
      <c r="D256" s="79">
        <f>D$23</f>
        <v>6.7290000000000003E-2</v>
      </c>
      <c r="E256" s="79">
        <f t="shared" ref="E256:F256" si="27">E$23</f>
        <v>1.0772900000000001</v>
      </c>
      <c r="F256" s="79">
        <f t="shared" si="27"/>
        <v>2.33209</v>
      </c>
      <c r="G256" s="235">
        <f>SQRT(F256^2 + E256^2 + D256^2)</f>
        <v>2.569771479392672</v>
      </c>
      <c r="J256" s="115"/>
    </row>
    <row r="257" spans="1:18" ht="22" thickBot="1" x14ac:dyDescent="0.3">
      <c r="C257" s="90" t="s">
        <v>47</v>
      </c>
      <c r="D257" s="91">
        <f>D256*$U$9</f>
        <v>1.117014E-28</v>
      </c>
      <c r="E257" s="91">
        <f t="shared" ref="E257:F257" si="28">E256*$U$9</f>
        <v>1.7883014E-27</v>
      </c>
      <c r="F257" s="236">
        <f t="shared" si="28"/>
        <v>3.8712694000000001E-27</v>
      </c>
      <c r="G257" s="235">
        <f t="shared" ref="G257:G258" si="29">SQRT(F257^2 + E257^2 + D257^2)</f>
        <v>4.2658206557918347E-27</v>
      </c>
    </row>
    <row r="258" spans="1:18" ht="22" thickBot="1" x14ac:dyDescent="0.3">
      <c r="C258" s="93" t="s">
        <v>49</v>
      </c>
      <c r="D258" s="94">
        <f>D257*($Q$8)^2</f>
        <v>1.1170140000000001E-48</v>
      </c>
      <c r="E258" s="95">
        <f>E257*($Q$8)^2</f>
        <v>1.7883014000000001E-47</v>
      </c>
      <c r="F258" s="237">
        <f t="shared" ref="F258" si="30">F257*($Q$8)^2</f>
        <v>3.8712694000000007E-47</v>
      </c>
      <c r="G258" s="235">
        <f t="shared" si="29"/>
        <v>4.2658206557918358E-47</v>
      </c>
    </row>
    <row r="259" spans="1:18" ht="17" thickBot="1" x14ac:dyDescent="0.25"/>
    <row r="260" spans="1:18" ht="20" thickBot="1" x14ac:dyDescent="0.3">
      <c r="F260" s="238" t="s">
        <v>116</v>
      </c>
      <c r="G260" s="239"/>
      <c r="H260" s="239"/>
      <c r="I260" s="239"/>
      <c r="J260" s="240"/>
    </row>
    <row r="261" spans="1:18" ht="23" thickBot="1" x14ac:dyDescent="0.35">
      <c r="C261" s="201" t="s">
        <v>79</v>
      </c>
      <c r="D261" s="241" t="s">
        <v>125</v>
      </c>
      <c r="E261" s="187" t="s">
        <v>126</v>
      </c>
      <c r="F261" s="242" t="s">
        <v>117</v>
      </c>
      <c r="G261" s="243" t="s">
        <v>118</v>
      </c>
      <c r="H261" s="243" t="s">
        <v>119</v>
      </c>
      <c r="I261" s="244" t="s">
        <v>120</v>
      </c>
      <c r="J261" s="207" t="s">
        <v>121</v>
      </c>
      <c r="L261" s="157" t="s">
        <v>82</v>
      </c>
      <c r="M261" s="158"/>
      <c r="N261" s="158"/>
      <c r="O261" s="158"/>
      <c r="P261" s="158"/>
      <c r="Q261" s="158"/>
    </row>
    <row r="262" spans="1:18" ht="20" thickBot="1" x14ac:dyDescent="0.3">
      <c r="C262" s="187">
        <v>298.14999999999998</v>
      </c>
      <c r="D262" s="245">
        <f>$B$7*C262/$B$16</f>
        <v>2.4465219442388352E-2</v>
      </c>
      <c r="E262" s="246">
        <f>((2*PI()*$A$28*$U$9*$B$8*$C262)/($B$14*$B$14))^(3/2)</f>
        <v>9.7841433754858247E+29</v>
      </c>
      <c r="F262" s="247">
        <f t="shared" ref="F262:F280" si="31">$B$7*LN(($D262/$B$6)*EXP(5/2)*E262)</f>
        <v>108.83822435209699</v>
      </c>
      <c r="G262" s="249">
        <f>0</f>
        <v>0</v>
      </c>
      <c r="H262" s="249">
        <f>0</f>
        <v>0</v>
      </c>
      <c r="I262" s="290">
        <f xml:space="preserve"> $B$7*LN(2)</f>
        <v>5.7631029180476085</v>
      </c>
      <c r="J262" s="251">
        <f t="shared" ref="J262:J280" si="32">SUM(F262:I262)</f>
        <v>114.60132727014459</v>
      </c>
      <c r="L262" s="60"/>
      <c r="M262" s="60"/>
      <c r="N262" s="60"/>
      <c r="O262" s="60"/>
      <c r="P262" s="60"/>
      <c r="Q262" s="60"/>
    </row>
    <row r="263" spans="1:18" ht="20" thickBot="1" x14ac:dyDescent="0.3">
      <c r="C263" s="159">
        <v>300</v>
      </c>
      <c r="D263" s="245">
        <f>$B$7*C263/$B$16</f>
        <v>2.4617024426350848E-2</v>
      </c>
      <c r="E263" s="246">
        <f>((2*PI()*$A$28*$U$9*$B$8*$C263)/($B$14*$B$14))^(3/2)</f>
        <v>9.8753493856317975E+29</v>
      </c>
      <c r="F263" s="256">
        <f t="shared" si="31"/>
        <v>108.9668015404812</v>
      </c>
      <c r="G263" s="257">
        <f>0</f>
        <v>0</v>
      </c>
      <c r="H263" s="257">
        <f>0</f>
        <v>0</v>
      </c>
      <c r="I263" s="287">
        <f t="shared" ref="I263:I280" si="33" xml:space="preserve"> $B$7*LN(2)</f>
        <v>5.7631029180476085</v>
      </c>
      <c r="J263" s="251">
        <f t="shared" si="32"/>
        <v>114.72990445852881</v>
      </c>
      <c r="N263" s="213" t="s">
        <v>117</v>
      </c>
      <c r="O263" s="214" t="s">
        <v>118</v>
      </c>
      <c r="P263" s="214" t="s">
        <v>119</v>
      </c>
      <c r="Q263" s="215" t="s">
        <v>120</v>
      </c>
      <c r="R263" s="207" t="s">
        <v>121</v>
      </c>
    </row>
    <row r="264" spans="1:18" ht="20" thickBot="1" x14ac:dyDescent="0.3">
      <c r="C264" s="163">
        <f>C263+100</f>
        <v>400</v>
      </c>
      <c r="D264" s="254">
        <f t="shared" ref="D264:D280" si="34">$B$7*C264/$B$16</f>
        <v>3.2822699235134464E-2</v>
      </c>
      <c r="E264" s="255">
        <f t="shared" ref="E264:E280" si="35">(2*PI()*$A$28*$U$9*$B$8*$C264/($B$14)^2)^(3/2)</f>
        <v>1.5204095003029802E+30</v>
      </c>
      <c r="F264" s="256">
        <f t="shared" si="31"/>
        <v>114.94656109846397</v>
      </c>
      <c r="G264" s="257">
        <f>0</f>
        <v>0</v>
      </c>
      <c r="H264" s="257">
        <f>0</f>
        <v>0</v>
      </c>
      <c r="I264" s="288">
        <f t="shared" si="33"/>
        <v>5.7631029180476085</v>
      </c>
      <c r="J264" s="251">
        <f t="shared" si="32"/>
        <v>120.70966401651158</v>
      </c>
      <c r="M264" s="166" t="s">
        <v>84</v>
      </c>
      <c r="N264" s="258">
        <f>F$262</f>
        <v>108.83822435209699</v>
      </c>
      <c r="O264" s="258">
        <f>G$262</f>
        <v>0</v>
      </c>
      <c r="P264" s="258">
        <f>H$262</f>
        <v>0</v>
      </c>
      <c r="Q264" s="258">
        <f>I$262</f>
        <v>5.7631029180476085</v>
      </c>
      <c r="R264" s="258">
        <f>J$262</f>
        <v>114.60132727014459</v>
      </c>
    </row>
    <row r="265" spans="1:18" ht="20" thickBot="1" x14ac:dyDescent="0.3">
      <c r="C265" s="163">
        <f t="shared" ref="C265:C280" si="36">C264+100</f>
        <v>500</v>
      </c>
      <c r="D265" s="254">
        <f t="shared" si="34"/>
        <v>4.1028374043918084E-2</v>
      </c>
      <c r="E265" s="255">
        <f t="shared" si="35"/>
        <v>2.124836872696201E+30</v>
      </c>
      <c r="F265" s="256">
        <f t="shared" si="31"/>
        <v>119.58482295608108</v>
      </c>
      <c r="G265" s="257">
        <f>0</f>
        <v>0</v>
      </c>
      <c r="H265" s="257">
        <f>0</f>
        <v>0</v>
      </c>
      <c r="I265" s="288">
        <f t="shared" si="33"/>
        <v>5.7631029180476085</v>
      </c>
      <c r="J265" s="251">
        <f t="shared" si="32"/>
        <v>125.34792587412869</v>
      </c>
      <c r="M265" s="167" t="s">
        <v>85</v>
      </c>
      <c r="N265" s="258">
        <f>E249</f>
        <v>108.84257600000001</v>
      </c>
      <c r="O265" s="258">
        <f>E251</f>
        <v>0</v>
      </c>
      <c r="P265" s="258">
        <f>E250</f>
        <v>0</v>
      </c>
      <c r="Q265" s="258">
        <f>E248</f>
        <v>5.761368</v>
      </c>
      <c r="R265" s="258">
        <f>E247</f>
        <v>114.60812800000001</v>
      </c>
    </row>
    <row r="266" spans="1:18" ht="23" thickBot="1" x14ac:dyDescent="0.35">
      <c r="C266" s="163">
        <f t="shared" si="36"/>
        <v>600</v>
      </c>
      <c r="D266" s="254">
        <f t="shared" si="34"/>
        <v>4.9234048852701696E-2</v>
      </c>
      <c r="E266" s="255">
        <f t="shared" si="35"/>
        <v>2.7931706068666675E+30</v>
      </c>
      <c r="F266" s="256">
        <f t="shared" si="31"/>
        <v>123.37455883560023</v>
      </c>
      <c r="G266" s="257">
        <f>0</f>
        <v>0</v>
      </c>
      <c r="H266" s="257">
        <f>0</f>
        <v>0</v>
      </c>
      <c r="I266" s="288">
        <f t="shared" si="33"/>
        <v>5.7631029180476085</v>
      </c>
      <c r="J266" s="251">
        <f t="shared" si="32"/>
        <v>129.13766175364785</v>
      </c>
      <c r="L266" s="60"/>
      <c r="M266" s="168" t="s">
        <v>86</v>
      </c>
      <c r="N266" s="169">
        <f>IFERROR(ABS(N264-N265)/N264,0)</f>
        <v>3.9982716815958679E-5</v>
      </c>
      <c r="O266" s="169">
        <f t="shared" ref="O266:R266" si="37">IFERROR(ABS(O264-O265)/O264,0)</f>
        <v>0</v>
      </c>
      <c r="P266" s="169">
        <f t="shared" si="37"/>
        <v>0</v>
      </c>
      <c r="Q266" s="169">
        <f t="shared" si="37"/>
        <v>3.0103887997132075E-4</v>
      </c>
      <c r="R266" s="169">
        <f t="shared" si="37"/>
        <v>5.9342505164730958E-5</v>
      </c>
    </row>
    <row r="267" spans="1:18" ht="20" thickBot="1" x14ac:dyDescent="0.3">
      <c r="A267" s="259"/>
      <c r="C267" s="163">
        <f t="shared" si="36"/>
        <v>700</v>
      </c>
      <c r="D267" s="254">
        <f t="shared" si="34"/>
        <v>5.7439723661485309E-2</v>
      </c>
      <c r="E267" s="255">
        <f t="shared" si="35"/>
        <v>3.5197972501839381E+30</v>
      </c>
      <c r="F267" s="256">
        <f t="shared" si="31"/>
        <v>126.57873486648963</v>
      </c>
      <c r="G267" s="257">
        <f>0</f>
        <v>0</v>
      </c>
      <c r="H267" s="257">
        <f>0</f>
        <v>0</v>
      </c>
      <c r="I267" s="288">
        <f t="shared" si="33"/>
        <v>5.7631029180476085</v>
      </c>
      <c r="J267" s="251">
        <f t="shared" si="32"/>
        <v>132.34183778453723</v>
      </c>
    </row>
    <row r="268" spans="1:18" ht="20" thickBot="1" x14ac:dyDescent="0.3">
      <c r="A268" s="259"/>
      <c r="C268" s="163">
        <f t="shared" si="36"/>
        <v>800</v>
      </c>
      <c r="D268" s="254">
        <f t="shared" si="34"/>
        <v>6.5645398470268929E-2</v>
      </c>
      <c r="E268" s="255">
        <f t="shared" si="35"/>
        <v>4.3003674713787616E+30</v>
      </c>
      <c r="F268" s="256">
        <f t="shared" si="31"/>
        <v>129.35431839358301</v>
      </c>
      <c r="G268" s="257">
        <f>0</f>
        <v>0</v>
      </c>
      <c r="H268" s="257">
        <f>0</f>
        <v>0</v>
      </c>
      <c r="I268" s="288">
        <f t="shared" si="33"/>
        <v>5.7631029180476085</v>
      </c>
      <c r="J268" s="251">
        <f t="shared" si="32"/>
        <v>135.11742131163064</v>
      </c>
    </row>
    <row r="269" spans="1:18" ht="20" thickBot="1" x14ac:dyDescent="0.3">
      <c r="C269" s="163">
        <f t="shared" si="36"/>
        <v>900</v>
      </c>
      <c r="D269" s="254">
        <f t="shared" si="34"/>
        <v>7.3851073279052548E-2</v>
      </c>
      <c r="E269" s="255">
        <f t="shared" si="35"/>
        <v>5.1313820635224936E+30</v>
      </c>
      <c r="F269" s="256">
        <f t="shared" si="31"/>
        <v>131.80255657273648</v>
      </c>
      <c r="G269" s="257">
        <f>0</f>
        <v>0</v>
      </c>
      <c r="H269" s="257">
        <f>0</f>
        <v>0</v>
      </c>
      <c r="I269" s="288">
        <f t="shared" si="33"/>
        <v>5.7631029180476085</v>
      </c>
      <c r="J269" s="251">
        <f t="shared" si="32"/>
        <v>137.5656594907841</v>
      </c>
    </row>
    <row r="270" spans="1:18" ht="20" thickBot="1" x14ac:dyDescent="0.3">
      <c r="C270" s="163">
        <f t="shared" si="36"/>
        <v>1000</v>
      </c>
      <c r="D270" s="254">
        <f t="shared" si="34"/>
        <v>8.2056748087836168E-2</v>
      </c>
      <c r="E270" s="255">
        <f t="shared" si="35"/>
        <v>6.0099462463948192E+30</v>
      </c>
      <c r="F270" s="256">
        <f t="shared" si="31"/>
        <v>133.99258025120014</v>
      </c>
      <c r="G270" s="257">
        <f>0</f>
        <v>0</v>
      </c>
      <c r="H270" s="257">
        <f>0</f>
        <v>0</v>
      </c>
      <c r="I270" s="288">
        <f t="shared" si="33"/>
        <v>5.7631029180476085</v>
      </c>
      <c r="J270" s="251">
        <f t="shared" si="32"/>
        <v>139.75568316924776</v>
      </c>
    </row>
    <row r="271" spans="1:18" ht="20" thickBot="1" x14ac:dyDescent="0.3">
      <c r="C271" s="163">
        <f t="shared" si="36"/>
        <v>1100</v>
      </c>
      <c r="D271" s="254">
        <f t="shared" si="34"/>
        <v>9.0262422896619773E-2</v>
      </c>
      <c r="E271" s="255">
        <f t="shared" si="35"/>
        <v>6.9336132802704108E+30</v>
      </c>
      <c r="F271" s="256">
        <f t="shared" si="31"/>
        <v>135.97369764861276</v>
      </c>
      <c r="G271" s="257">
        <f>0</f>
        <v>0</v>
      </c>
      <c r="H271" s="257">
        <f>0</f>
        <v>0</v>
      </c>
      <c r="I271" s="288">
        <f t="shared" si="33"/>
        <v>5.7631029180476085</v>
      </c>
      <c r="J271" s="251">
        <f t="shared" si="32"/>
        <v>141.73680056666038</v>
      </c>
    </row>
    <row r="272" spans="1:18" ht="20" thickBot="1" x14ac:dyDescent="0.3">
      <c r="C272" s="163">
        <f t="shared" si="36"/>
        <v>1200</v>
      </c>
      <c r="D272" s="254">
        <f t="shared" si="34"/>
        <v>9.8468097705403393E-2</v>
      </c>
      <c r="E272" s="255">
        <f t="shared" si="35"/>
        <v>7.9002795085054819E+30</v>
      </c>
      <c r="F272" s="256">
        <f t="shared" si="31"/>
        <v>137.78231613071929</v>
      </c>
      <c r="G272" s="257">
        <f>0</f>
        <v>0</v>
      </c>
      <c r="H272" s="257">
        <f>0</f>
        <v>0</v>
      </c>
      <c r="I272" s="288">
        <f t="shared" si="33"/>
        <v>5.7631029180476085</v>
      </c>
      <c r="J272" s="251">
        <f t="shared" si="32"/>
        <v>143.54541904876692</v>
      </c>
    </row>
    <row r="273" spans="3:10" ht="20" thickBot="1" x14ac:dyDescent="0.3">
      <c r="C273" s="163">
        <f t="shared" si="36"/>
        <v>1300</v>
      </c>
      <c r="D273" s="254">
        <f t="shared" si="34"/>
        <v>0.10667377251418701</v>
      </c>
      <c r="E273" s="255">
        <f t="shared" si="35"/>
        <v>8.9081109211980625E+30</v>
      </c>
      <c r="F273" s="256">
        <f t="shared" si="31"/>
        <v>139.4460838524214</v>
      </c>
      <c r="G273" s="257">
        <f>0</f>
        <v>0</v>
      </c>
      <c r="H273" s="257">
        <f>0</f>
        <v>0</v>
      </c>
      <c r="I273" s="288">
        <f t="shared" si="33"/>
        <v>5.7631029180476085</v>
      </c>
      <c r="J273" s="251">
        <f t="shared" si="32"/>
        <v>145.20918677046902</v>
      </c>
    </row>
    <row r="274" spans="3:10" ht="20" thickBot="1" x14ac:dyDescent="0.3">
      <c r="C274" s="163">
        <f t="shared" si="36"/>
        <v>1400</v>
      </c>
      <c r="D274" s="254">
        <f t="shared" si="34"/>
        <v>0.11487944732297062</v>
      </c>
      <c r="E274" s="255">
        <f t="shared" si="35"/>
        <v>9.9554900160273307E+30</v>
      </c>
      <c r="F274" s="256">
        <f t="shared" si="31"/>
        <v>140.98649216160868</v>
      </c>
      <c r="G274" s="257">
        <f>0</f>
        <v>0</v>
      </c>
      <c r="H274" s="257">
        <f>0</f>
        <v>0</v>
      </c>
      <c r="I274" s="288">
        <f t="shared" si="33"/>
        <v>5.7631029180476085</v>
      </c>
      <c r="J274" s="251">
        <f t="shared" si="32"/>
        <v>146.7495950796563</v>
      </c>
    </row>
    <row r="275" spans="3:10" ht="20" thickBot="1" x14ac:dyDescent="0.3">
      <c r="C275" s="163">
        <f t="shared" si="36"/>
        <v>1500</v>
      </c>
      <c r="D275" s="254">
        <f t="shared" si="34"/>
        <v>0.12308512213175424</v>
      </c>
      <c r="E275" s="255">
        <f t="shared" si="35"/>
        <v>1.104097626391671E+31</v>
      </c>
      <c r="F275" s="256">
        <f t="shared" si="31"/>
        <v>142.42057798833636</v>
      </c>
      <c r="G275" s="257">
        <f>0</f>
        <v>0</v>
      </c>
      <c r="H275" s="257">
        <f>0</f>
        <v>0</v>
      </c>
      <c r="I275" s="288">
        <f t="shared" si="33"/>
        <v>5.7631029180476085</v>
      </c>
      <c r="J275" s="251">
        <f t="shared" si="32"/>
        <v>148.18368090638398</v>
      </c>
    </row>
    <row r="276" spans="3:10" ht="20" thickBot="1" x14ac:dyDescent="0.3">
      <c r="C276" s="163">
        <f t="shared" si="36"/>
        <v>1600</v>
      </c>
      <c r="D276" s="254">
        <f t="shared" si="34"/>
        <v>0.13129079694053786</v>
      </c>
      <c r="E276" s="255">
        <f t="shared" si="35"/>
        <v>1.2163276002423735E+31</v>
      </c>
      <c r="F276" s="256">
        <f t="shared" si="31"/>
        <v>143.76207568870194</v>
      </c>
      <c r="G276" s="257">
        <f>0</f>
        <v>0</v>
      </c>
      <c r="H276" s="257">
        <f>0</f>
        <v>0</v>
      </c>
      <c r="I276" s="288">
        <f t="shared" si="33"/>
        <v>5.7631029180476085</v>
      </c>
      <c r="J276" s="251">
        <f t="shared" si="32"/>
        <v>149.52517860674956</v>
      </c>
    </row>
    <row r="277" spans="3:10" ht="20" thickBot="1" x14ac:dyDescent="0.3">
      <c r="C277" s="163">
        <f t="shared" si="36"/>
        <v>1700</v>
      </c>
      <c r="D277" s="254">
        <f t="shared" si="34"/>
        <v>0.13949647174932148</v>
      </c>
      <c r="E277" s="255">
        <f t="shared" si="35"/>
        <v>1.3321219048376207E+31</v>
      </c>
      <c r="F277" s="256">
        <f t="shared" si="31"/>
        <v>145.02221907777843</v>
      </c>
      <c r="G277" s="257">
        <f>0</f>
        <v>0</v>
      </c>
      <c r="H277" s="257">
        <f>0</f>
        <v>0</v>
      </c>
      <c r="I277" s="288">
        <f t="shared" si="33"/>
        <v>5.7631029180476085</v>
      </c>
      <c r="J277" s="251">
        <f t="shared" si="32"/>
        <v>150.78532199582605</v>
      </c>
    </row>
    <row r="278" spans="3:10" ht="20" thickBot="1" x14ac:dyDescent="0.3">
      <c r="C278" s="163">
        <f t="shared" si="36"/>
        <v>1800</v>
      </c>
      <c r="D278" s="254">
        <f t="shared" si="34"/>
        <v>0.1477021465581051</v>
      </c>
      <c r="E278" s="255">
        <f t="shared" si="35"/>
        <v>1.4513740215903139E+31</v>
      </c>
      <c r="F278" s="256">
        <f t="shared" si="31"/>
        <v>146.21031386785552</v>
      </c>
      <c r="G278" s="257">
        <f>0</f>
        <v>0</v>
      </c>
      <c r="H278" s="257">
        <f>0</f>
        <v>0</v>
      </c>
      <c r="I278" s="288">
        <f t="shared" si="33"/>
        <v>5.7631029180476085</v>
      </c>
      <c r="J278" s="251">
        <f t="shared" si="32"/>
        <v>151.97341678590314</v>
      </c>
    </row>
    <row r="279" spans="3:10" ht="20" thickBot="1" x14ac:dyDescent="0.3">
      <c r="C279" s="163">
        <f t="shared" si="36"/>
        <v>1900</v>
      </c>
      <c r="D279" s="254">
        <f t="shared" si="34"/>
        <v>0.15590782136688872</v>
      </c>
      <c r="E279" s="255">
        <f t="shared" si="35"/>
        <v>1.5739864490972069E+31</v>
      </c>
      <c r="F279" s="256">
        <f t="shared" si="31"/>
        <v>147.33415512917952</v>
      </c>
      <c r="G279" s="257">
        <f>0</f>
        <v>0</v>
      </c>
      <c r="H279" s="257">
        <f>0</f>
        <v>0</v>
      </c>
      <c r="I279" s="288">
        <f t="shared" si="33"/>
        <v>5.7631029180476085</v>
      </c>
      <c r="J279" s="251">
        <f t="shared" si="32"/>
        <v>153.09725804722714</v>
      </c>
    </row>
    <row r="280" spans="3:10" ht="20" thickBot="1" x14ac:dyDescent="0.3">
      <c r="C280" s="170">
        <f t="shared" si="36"/>
        <v>2000</v>
      </c>
      <c r="D280" s="260">
        <f t="shared" si="34"/>
        <v>0.16411349617567234</v>
      </c>
      <c r="E280" s="261">
        <f t="shared" si="35"/>
        <v>1.6998694981569705E+31</v>
      </c>
      <c r="F280" s="262">
        <f t="shared" si="31"/>
        <v>148.40033754631915</v>
      </c>
      <c r="G280" s="263">
        <f>0</f>
        <v>0</v>
      </c>
      <c r="H280" s="263">
        <f>0</f>
        <v>0</v>
      </c>
      <c r="I280" s="289">
        <f t="shared" si="33"/>
        <v>5.7631029180476085</v>
      </c>
      <c r="J280" s="264">
        <f t="shared" si="32"/>
        <v>154.16344046436677</v>
      </c>
    </row>
  </sheetData>
  <mergeCells count="11">
    <mergeCell ref="A18:V18"/>
    <mergeCell ref="A53:V53"/>
    <mergeCell ref="H198:K198"/>
    <mergeCell ref="D203:E203"/>
    <mergeCell ref="D212:H212"/>
    <mergeCell ref="U93:W93"/>
    <mergeCell ref="AB101:AH101"/>
    <mergeCell ref="H239:K239"/>
    <mergeCell ref="D244:E244"/>
    <mergeCell ref="D245:E245"/>
    <mergeCell ref="C100:D100"/>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DBC2C3-6058-164D-A520-6A5E57012D66}">
  <dimension ref="A3:AH280"/>
  <sheetViews>
    <sheetView topLeftCell="B1" zoomScale="116" workbookViewId="0">
      <selection activeCell="D5" sqref="D5:L14"/>
    </sheetView>
  </sheetViews>
  <sheetFormatPr baseColWidth="10" defaultRowHeight="16" x14ac:dyDescent="0.2"/>
  <cols>
    <col min="1" max="1" width="17.1640625" customWidth="1"/>
    <col min="2" max="2" width="17" customWidth="1"/>
    <col min="3" max="3" width="18.6640625" customWidth="1"/>
    <col min="4" max="4" width="20" customWidth="1"/>
    <col min="5" max="5" width="18" customWidth="1"/>
    <col min="6" max="6" width="14.33203125" customWidth="1"/>
    <col min="7" max="7" width="16.83203125" customWidth="1"/>
    <col min="8" max="8" width="11.33203125" customWidth="1"/>
    <col min="9" max="9" width="10.83203125" customWidth="1"/>
    <col min="10" max="10" width="14.6640625" customWidth="1"/>
    <col min="11" max="11" width="14.33203125" customWidth="1"/>
    <col min="12" max="12" width="14.1640625" customWidth="1"/>
    <col min="13" max="13" width="16" customWidth="1"/>
    <col min="14" max="14" width="13.33203125" customWidth="1"/>
    <col min="15" max="15" width="14.1640625" customWidth="1"/>
    <col min="16" max="16" width="24" customWidth="1"/>
    <col min="17" max="17" width="21" customWidth="1"/>
    <col min="18" max="18" width="20" customWidth="1"/>
    <col min="21" max="21" width="17.33203125" customWidth="1"/>
    <col min="22" max="22" width="14.6640625" customWidth="1"/>
    <col min="23" max="23" width="14.33203125" customWidth="1"/>
    <col min="24" max="24" width="14.5" customWidth="1"/>
    <col min="25" max="25" width="13.33203125" customWidth="1"/>
    <col min="26" max="26" width="16.33203125" customWidth="1"/>
    <col min="28" max="28" width="13.6640625" customWidth="1"/>
    <col min="30" max="30" width="15.33203125" customWidth="1"/>
    <col min="31" max="31" width="15.5" customWidth="1"/>
    <col min="32" max="32" width="17.5" customWidth="1"/>
  </cols>
  <sheetData>
    <row r="3" spans="1:22" x14ac:dyDescent="0.2">
      <c r="A3" s="1"/>
      <c r="B3" s="1"/>
    </row>
    <row r="4" spans="1:22" ht="20" thickBot="1" x14ac:dyDescent="0.3">
      <c r="A4" s="2"/>
      <c r="B4" s="2"/>
    </row>
    <row r="5" spans="1:22" ht="23" customHeight="1" thickBot="1" x14ac:dyDescent="0.35">
      <c r="A5" s="3" t="s">
        <v>0</v>
      </c>
      <c r="B5" s="4"/>
      <c r="D5" s="5" t="s">
        <v>1</v>
      </c>
      <c r="E5" s="6"/>
      <c r="F5" s="6"/>
      <c r="G5" s="6"/>
      <c r="H5" s="6"/>
      <c r="I5" s="6"/>
      <c r="J5" s="6"/>
      <c r="K5" s="6"/>
      <c r="L5" s="7"/>
      <c r="N5" s="8" t="s">
        <v>2</v>
      </c>
      <c r="O5" s="9"/>
      <c r="P5" s="9"/>
      <c r="Q5" s="10"/>
      <c r="S5" s="11" t="s">
        <v>3</v>
      </c>
      <c r="T5" s="12"/>
      <c r="U5" s="12"/>
      <c r="V5" s="13"/>
    </row>
    <row r="6" spans="1:22" ht="32" customHeight="1" x14ac:dyDescent="0.3">
      <c r="A6" s="14" t="s">
        <v>4</v>
      </c>
      <c r="B6" s="15">
        <v>6.0221399999999997E+23</v>
      </c>
      <c r="D6" s="16" t="s">
        <v>5</v>
      </c>
      <c r="E6" s="17" t="s">
        <v>6</v>
      </c>
      <c r="F6" s="17" t="s">
        <v>7</v>
      </c>
      <c r="G6" s="17" t="s">
        <v>8</v>
      </c>
      <c r="H6" s="17" t="s">
        <v>9</v>
      </c>
      <c r="I6" s="17" t="s">
        <v>10</v>
      </c>
      <c r="J6" s="18" t="s">
        <v>11</v>
      </c>
      <c r="K6" s="17" t="s">
        <v>12</v>
      </c>
      <c r="L6" s="19" t="s">
        <v>13</v>
      </c>
      <c r="N6" s="20" t="s">
        <v>14</v>
      </c>
      <c r="O6" s="21" t="s">
        <v>15</v>
      </c>
      <c r="P6" s="21" t="s">
        <v>16</v>
      </c>
      <c r="Q6" s="22" t="s">
        <v>17</v>
      </c>
      <c r="S6" s="23" t="s">
        <v>14</v>
      </c>
      <c r="T6" s="24" t="s">
        <v>18</v>
      </c>
      <c r="U6" s="24" t="s">
        <v>19</v>
      </c>
      <c r="V6" s="25" t="s">
        <v>20</v>
      </c>
    </row>
    <row r="7" spans="1:22" ht="22" x14ac:dyDescent="0.3">
      <c r="A7" s="26" t="s">
        <v>21</v>
      </c>
      <c r="B7" s="27">
        <v>8.3143999999999991</v>
      </c>
      <c r="D7" s="28" t="s">
        <v>6</v>
      </c>
      <c r="E7" s="29">
        <v>1</v>
      </c>
      <c r="F7" s="29">
        <v>27.210699999999999</v>
      </c>
      <c r="G7" s="29">
        <v>219474.63</v>
      </c>
      <c r="H7" s="29">
        <v>627.50300000000004</v>
      </c>
      <c r="I7" s="29">
        <v>2625.5</v>
      </c>
      <c r="J7" s="29">
        <v>315777</v>
      </c>
      <c r="K7" s="29">
        <v>4.3599999999999999E-18</v>
      </c>
      <c r="L7" s="348">
        <v>6579660000000000</v>
      </c>
      <c r="N7" s="31" t="s">
        <v>15</v>
      </c>
      <c r="O7" s="32">
        <v>1</v>
      </c>
      <c r="P7" s="32">
        <v>0.52917999956390005</v>
      </c>
      <c r="Q7" s="33">
        <v>5.2917999999999999E-11</v>
      </c>
      <c r="S7" s="34" t="s">
        <v>18</v>
      </c>
      <c r="T7" s="35">
        <v>1</v>
      </c>
      <c r="U7" s="36">
        <v>9.1093800000000005E-31</v>
      </c>
      <c r="V7" s="37">
        <f>U7*V8</f>
        <v>5.4875783132530122E-4</v>
      </c>
    </row>
    <row r="8" spans="1:22" ht="22" x14ac:dyDescent="0.3">
      <c r="A8" s="38" t="s">
        <v>22</v>
      </c>
      <c r="B8" s="39">
        <v>1.38065E-23</v>
      </c>
      <c r="D8" s="28" t="s">
        <v>7</v>
      </c>
      <c r="E8" s="29">
        <v>3.6750199999999997E-2</v>
      </c>
      <c r="F8" s="29">
        <v>1</v>
      </c>
      <c r="G8" s="29">
        <v>8065.73</v>
      </c>
      <c r="H8" s="29">
        <v>23.0609</v>
      </c>
      <c r="I8" s="29">
        <v>96.486900000000006</v>
      </c>
      <c r="J8" s="29">
        <v>11604.9</v>
      </c>
      <c r="K8" s="30">
        <v>1.6021E-19</v>
      </c>
      <c r="L8" s="348">
        <v>241804000000000</v>
      </c>
      <c r="N8" s="31" t="s">
        <v>16</v>
      </c>
      <c r="O8" s="40">
        <v>1.8897299999999999</v>
      </c>
      <c r="P8" s="32">
        <v>1</v>
      </c>
      <c r="Q8" s="33">
        <v>1E-10</v>
      </c>
      <c r="S8" s="34" t="s">
        <v>19</v>
      </c>
      <c r="T8" s="36">
        <v>1.098E+30</v>
      </c>
      <c r="U8" s="35">
        <v>1</v>
      </c>
      <c r="V8" s="37">
        <f>1/U9</f>
        <v>6.0240963855421691E+26</v>
      </c>
    </row>
    <row r="9" spans="1:22" ht="22" thickBot="1" x14ac:dyDescent="0.3">
      <c r="A9" s="26" t="s">
        <v>23</v>
      </c>
      <c r="B9" s="41">
        <v>1.6021760000000001E-16</v>
      </c>
      <c r="D9" s="28" t="s">
        <v>8</v>
      </c>
      <c r="E9" s="29">
        <v>4.5563300000000003E-6</v>
      </c>
      <c r="F9" s="29">
        <v>1.23981E-4</v>
      </c>
      <c r="G9" s="29">
        <v>1</v>
      </c>
      <c r="H9" s="29">
        <v>2.8591100000000002E-3</v>
      </c>
      <c r="I9" s="29">
        <v>1.19627E-2</v>
      </c>
      <c r="J9" s="29">
        <v>1.42879</v>
      </c>
      <c r="K9" s="29">
        <v>1.9863000000000001E-23</v>
      </c>
      <c r="L9" s="349">
        <v>29979300000</v>
      </c>
      <c r="N9" s="42" t="s">
        <v>17</v>
      </c>
      <c r="O9" s="43">
        <v>18900000000</v>
      </c>
      <c r="P9" s="43">
        <v>10000000000</v>
      </c>
      <c r="Q9" s="44">
        <v>1</v>
      </c>
      <c r="S9" s="45" t="s">
        <v>20</v>
      </c>
      <c r="T9" s="46">
        <f>U9*T8</f>
        <v>1822.6799999999998</v>
      </c>
      <c r="U9" s="46">
        <v>1.6599999999999999E-27</v>
      </c>
      <c r="V9" s="47">
        <v>1</v>
      </c>
    </row>
    <row r="10" spans="1:22" ht="21" x14ac:dyDescent="0.3">
      <c r="A10" s="48" t="s">
        <v>24</v>
      </c>
      <c r="B10" s="49">
        <v>9.1092999999999998E-31</v>
      </c>
      <c r="D10" s="28" t="s">
        <v>9</v>
      </c>
      <c r="E10" s="29">
        <v>1.59362E-3</v>
      </c>
      <c r="F10" s="29">
        <v>4.3363400000000003E-2</v>
      </c>
      <c r="G10" s="29">
        <v>349.75700000000001</v>
      </c>
      <c r="H10" s="29">
        <v>1</v>
      </c>
      <c r="I10" s="29">
        <v>4.1840000000000002</v>
      </c>
      <c r="J10" s="29">
        <v>503.22800000000001</v>
      </c>
      <c r="K10" s="29">
        <v>6.9500000000000005E-21</v>
      </c>
      <c r="L10" s="348">
        <v>10485400000000</v>
      </c>
    </row>
    <row r="11" spans="1:22" ht="22" x14ac:dyDescent="0.3">
      <c r="A11" s="26" t="s">
        <v>25</v>
      </c>
      <c r="B11" s="50">
        <v>8.8541799999999997E-12</v>
      </c>
      <c r="D11" s="28" t="s">
        <v>10</v>
      </c>
      <c r="E11" s="29">
        <v>3.8088E-4</v>
      </c>
      <c r="F11" s="29">
        <v>1.0364099999999999E-2</v>
      </c>
      <c r="G11" s="29">
        <v>83.593000000000004</v>
      </c>
      <c r="H11" s="29">
        <v>0.23900099999999999</v>
      </c>
      <c r="I11" s="29">
        <v>1</v>
      </c>
      <c r="J11" s="29">
        <v>120.274</v>
      </c>
      <c r="K11" s="29">
        <v>1.6599999999999999E-21</v>
      </c>
      <c r="L11" s="348">
        <v>2506070000000</v>
      </c>
    </row>
    <row r="12" spans="1:22" ht="22" x14ac:dyDescent="0.3">
      <c r="A12" s="48" t="s">
        <v>26</v>
      </c>
      <c r="B12" s="49">
        <v>5.2917700000000002E-12</v>
      </c>
      <c r="D12" s="51" t="s">
        <v>11</v>
      </c>
      <c r="E12" s="29">
        <v>3.1667800000000002E-6</v>
      </c>
      <c r="F12" s="29">
        <v>8.6170500000000004E-5</v>
      </c>
      <c r="G12" s="29">
        <v>0.69502799999999998</v>
      </c>
      <c r="H12" s="29">
        <v>1.9871699999999999E-3</v>
      </c>
      <c r="I12" s="29">
        <v>8.3143499999999999E-3</v>
      </c>
      <c r="J12" s="29">
        <v>1</v>
      </c>
      <c r="K12" s="29">
        <v>1.38054E-23</v>
      </c>
      <c r="L12" s="349">
        <v>20836400000</v>
      </c>
    </row>
    <row r="13" spans="1:22" ht="19" x14ac:dyDescent="0.25">
      <c r="A13" s="26" t="s">
        <v>27</v>
      </c>
      <c r="B13" s="52">
        <f>298.15</f>
        <v>298.14999999999998</v>
      </c>
      <c r="D13" s="28" t="s">
        <v>12</v>
      </c>
      <c r="E13" s="29">
        <v>2.294E+17</v>
      </c>
      <c r="F13" s="29">
        <v>6.24181E+18</v>
      </c>
      <c r="G13" s="29">
        <v>5.0344500000000003E+22</v>
      </c>
      <c r="H13" s="29">
        <v>1.44E+20</v>
      </c>
      <c r="I13" s="29">
        <v>6.02E+20</v>
      </c>
      <c r="J13" s="29">
        <v>7.2435399999999999E+22</v>
      </c>
      <c r="K13" s="29">
        <v>1</v>
      </c>
      <c r="L13" s="348">
        <v>1.5093E+33</v>
      </c>
    </row>
    <row r="14" spans="1:22" ht="20" thickBot="1" x14ac:dyDescent="0.3">
      <c r="A14" s="26" t="s">
        <v>28</v>
      </c>
      <c r="B14" s="53">
        <v>6.626068E-34</v>
      </c>
      <c r="D14" s="54" t="s">
        <v>13</v>
      </c>
      <c r="E14" s="55">
        <v>1.5198300000000001E-16</v>
      </c>
      <c r="F14" s="55">
        <v>4.13558E-15</v>
      </c>
      <c r="G14" s="55">
        <v>3.3356499999999997E-11</v>
      </c>
      <c r="H14" s="55">
        <v>9.5370200000000003E-14</v>
      </c>
      <c r="I14" s="55"/>
      <c r="J14" s="55">
        <v>4.7993E-11</v>
      </c>
      <c r="K14" s="55">
        <v>6.62561E-34</v>
      </c>
      <c r="L14" s="56">
        <v>1</v>
      </c>
    </row>
    <row r="15" spans="1:22" ht="19" x14ac:dyDescent="0.25">
      <c r="A15" s="48" t="s">
        <v>29</v>
      </c>
      <c r="B15" s="57">
        <v>1</v>
      </c>
    </row>
    <row r="16" spans="1:22" ht="19" x14ac:dyDescent="0.25">
      <c r="A16" s="26" t="s">
        <v>30</v>
      </c>
      <c r="B16" s="52">
        <v>101325</v>
      </c>
    </row>
    <row r="17" spans="1:27" ht="21" x14ac:dyDescent="0.25">
      <c r="A17" s="14" t="s">
        <v>31</v>
      </c>
      <c r="B17" s="58">
        <v>299792459</v>
      </c>
    </row>
    <row r="18" spans="1:27" ht="34" thickBot="1" x14ac:dyDescent="0.5">
      <c r="A18" s="361" t="s">
        <v>131</v>
      </c>
      <c r="B18" s="361"/>
      <c r="C18" s="361"/>
      <c r="D18" s="361"/>
      <c r="E18" s="361"/>
      <c r="F18" s="361"/>
      <c r="G18" s="361"/>
      <c r="H18" s="361"/>
      <c r="I18" s="361"/>
      <c r="J18" s="361"/>
      <c r="K18" s="361"/>
      <c r="L18" s="361"/>
      <c r="M18" s="361"/>
      <c r="N18" s="361"/>
      <c r="O18" s="361"/>
      <c r="P18" s="361"/>
      <c r="Q18" s="361"/>
      <c r="R18" s="361"/>
      <c r="S18" s="361"/>
      <c r="T18" s="361"/>
      <c r="U18" s="361"/>
      <c r="V18" s="361"/>
    </row>
    <row r="19" spans="1:27" ht="17" thickTop="1" x14ac:dyDescent="0.2"/>
    <row r="20" spans="1:27" ht="17" thickBot="1" x14ac:dyDescent="0.25"/>
    <row r="21" spans="1:27" ht="20" thickBot="1" x14ac:dyDescent="0.3">
      <c r="A21" s="59" t="s">
        <v>33</v>
      </c>
      <c r="B21" s="60"/>
      <c r="C21" s="61" t="s">
        <v>34</v>
      </c>
      <c r="D21" s="62"/>
      <c r="E21" s="62"/>
      <c r="F21" s="63"/>
      <c r="G21" s="60"/>
      <c r="H21" s="59" t="s">
        <v>35</v>
      </c>
      <c r="I21" s="60"/>
      <c r="J21" s="60"/>
      <c r="M21" s="60"/>
      <c r="N21" s="60"/>
      <c r="O21" s="64" t="s">
        <v>36</v>
      </c>
      <c r="P21" s="62"/>
      <c r="Q21" s="62"/>
      <c r="R21" s="63"/>
      <c r="S21" s="60"/>
      <c r="T21" s="60"/>
      <c r="U21" s="60"/>
      <c r="V21" s="60"/>
      <c r="W21" s="60"/>
      <c r="X21" s="60"/>
      <c r="Y21" s="60"/>
      <c r="Z21" s="60"/>
      <c r="AA21" s="60"/>
    </row>
    <row r="22" spans="1:27" ht="20" thickBot="1" x14ac:dyDescent="0.3">
      <c r="A22" s="65">
        <v>298.14999999999998</v>
      </c>
      <c r="B22" s="60"/>
      <c r="C22" s="66"/>
      <c r="D22" s="67" t="s">
        <v>37</v>
      </c>
      <c r="E22" s="68" t="s">
        <v>38</v>
      </c>
      <c r="F22" s="69" t="s">
        <v>39</v>
      </c>
      <c r="G22" s="60"/>
      <c r="H22" s="70" t="s">
        <v>40</v>
      </c>
      <c r="I22" s="71" t="s">
        <v>9</v>
      </c>
      <c r="J22" s="71" t="s">
        <v>10</v>
      </c>
      <c r="K22" s="72" t="s">
        <v>7</v>
      </c>
      <c r="L22" s="73" t="s">
        <v>12</v>
      </c>
      <c r="M22" s="60"/>
      <c r="N22" s="60"/>
      <c r="O22" s="74"/>
      <c r="P22" s="75" t="s">
        <v>41</v>
      </c>
      <c r="Q22" s="76" t="s">
        <v>42</v>
      </c>
      <c r="R22" s="77" t="s">
        <v>43</v>
      </c>
      <c r="S22" s="60"/>
      <c r="T22" s="60"/>
      <c r="U22" s="60"/>
      <c r="V22" s="60"/>
      <c r="W22" s="60"/>
      <c r="X22" s="60"/>
      <c r="Y22" s="60"/>
      <c r="Z22" s="60"/>
      <c r="AA22" s="60"/>
    </row>
    <row r="23" spans="1:27" ht="22" thickBot="1" x14ac:dyDescent="0.3">
      <c r="A23" s="60"/>
      <c r="B23" s="60"/>
      <c r="C23" s="78" t="s">
        <v>44</v>
      </c>
      <c r="D23" s="79">
        <v>6.3236999999999997</v>
      </c>
      <c r="E23" s="80">
        <v>6.3236999999999997</v>
      </c>
      <c r="F23" s="81">
        <v>12.647399999999999</v>
      </c>
      <c r="G23" s="60"/>
      <c r="H23" s="82">
        <v>2.9832999999999998E-2</v>
      </c>
      <c r="I23" s="83">
        <f>H23*$H$7</f>
        <v>18.720296998999999</v>
      </c>
      <c r="J23" s="83">
        <f>H23*$I$7</f>
        <v>78.32654149999999</v>
      </c>
      <c r="K23" s="84">
        <f>H23*$F$7</f>
        <v>0.81177681309999994</v>
      </c>
      <c r="L23" s="85">
        <f>H23*$K$7</f>
        <v>1.3007187999999999E-19</v>
      </c>
      <c r="M23" s="60"/>
      <c r="N23" s="60"/>
      <c r="O23" s="86" t="s">
        <v>45</v>
      </c>
      <c r="P23" s="87">
        <v>20.637</v>
      </c>
      <c r="Q23" s="88">
        <v>7.3639999999999999</v>
      </c>
      <c r="R23" s="89">
        <v>46.51</v>
      </c>
      <c r="S23" s="60"/>
      <c r="T23" s="60"/>
      <c r="U23" s="60"/>
      <c r="V23" s="60"/>
      <c r="W23" s="60"/>
      <c r="X23" s="60"/>
      <c r="Y23" s="60"/>
      <c r="Z23" s="60"/>
      <c r="AA23" s="60"/>
    </row>
    <row r="24" spans="1:27" ht="22" thickBot="1" x14ac:dyDescent="0.3">
      <c r="A24" s="59" t="s">
        <v>46</v>
      </c>
      <c r="B24" s="60"/>
      <c r="C24" s="90" t="s">
        <v>47</v>
      </c>
      <c r="D24" s="91">
        <f>D23*$U$9</f>
        <v>1.0497341999999999E-26</v>
      </c>
      <c r="E24" s="91">
        <f t="shared" ref="E24:F24" si="0">E23*$U$9</f>
        <v>1.0497341999999999E-26</v>
      </c>
      <c r="F24" s="91">
        <f t="shared" si="0"/>
        <v>2.0994683999999998E-26</v>
      </c>
      <c r="G24" s="60"/>
      <c r="M24" s="60"/>
      <c r="N24" s="60"/>
      <c r="O24" s="92" t="s">
        <v>48</v>
      </c>
      <c r="P24" s="87">
        <v>0</v>
      </c>
      <c r="Q24" s="88">
        <v>0</v>
      </c>
      <c r="R24" s="89">
        <v>1.377</v>
      </c>
      <c r="S24" s="60"/>
      <c r="T24" s="60"/>
      <c r="U24" s="60"/>
      <c r="V24" s="60"/>
      <c r="W24" s="60"/>
      <c r="X24" s="60"/>
      <c r="Y24" s="60"/>
      <c r="Z24" s="60"/>
      <c r="AA24" s="60"/>
    </row>
    <row r="25" spans="1:27" ht="22" thickBot="1" x14ac:dyDescent="0.3">
      <c r="A25" s="65">
        <v>1</v>
      </c>
      <c r="B25" s="60"/>
      <c r="C25" s="93" t="s">
        <v>49</v>
      </c>
      <c r="D25" s="94">
        <f>D24*($Q$8)^2</f>
        <v>1.0497341999999999E-46</v>
      </c>
      <c r="E25" s="95">
        <f>E24*($Q$8)^2</f>
        <v>1.0497341999999999E-46</v>
      </c>
      <c r="F25" s="96">
        <f t="shared" ref="F25" si="1">F24*($Q$8)^2</f>
        <v>2.0994683999999998E-46</v>
      </c>
      <c r="G25" s="60"/>
      <c r="M25" s="60"/>
      <c r="N25" s="60"/>
      <c r="O25" s="92" t="s">
        <v>50</v>
      </c>
      <c r="P25" s="87">
        <v>0.88900000000000001</v>
      </c>
      <c r="Q25" s="88">
        <v>2.9809999999999999</v>
      </c>
      <c r="R25" s="89">
        <v>34.067999999999998</v>
      </c>
      <c r="S25" s="60"/>
      <c r="T25" s="60"/>
      <c r="U25" s="60"/>
      <c r="V25" s="60"/>
      <c r="W25" s="60"/>
      <c r="X25" s="60"/>
      <c r="Y25" s="60"/>
      <c r="Z25" s="60"/>
      <c r="AA25" s="60"/>
    </row>
    <row r="26" spans="1:27" ht="20" thickBot="1" x14ac:dyDescent="0.3">
      <c r="A26" s="60"/>
      <c r="B26" s="60"/>
      <c r="C26" s="60"/>
      <c r="D26" s="60"/>
      <c r="E26" s="60"/>
      <c r="F26" s="60"/>
      <c r="G26" s="60"/>
      <c r="H26" s="59" t="s">
        <v>51</v>
      </c>
      <c r="I26" s="60"/>
      <c r="J26" s="60"/>
      <c r="K26" s="60"/>
      <c r="M26" s="60"/>
      <c r="N26" s="60"/>
      <c r="O26" s="92" t="s">
        <v>52</v>
      </c>
      <c r="P26" s="87">
        <v>0.88900000000000001</v>
      </c>
      <c r="Q26" s="88">
        <v>2.9809999999999999</v>
      </c>
      <c r="R26" s="89">
        <v>10.429</v>
      </c>
      <c r="S26" s="60"/>
      <c r="T26" s="60"/>
      <c r="U26" s="60"/>
      <c r="V26" s="60"/>
      <c r="W26" s="60"/>
      <c r="X26" s="60"/>
      <c r="Y26" s="60"/>
      <c r="Z26" s="60"/>
      <c r="AA26" s="60"/>
    </row>
    <row r="27" spans="1:27" ht="20" thickBot="1" x14ac:dyDescent="0.3">
      <c r="A27" s="59" t="s">
        <v>53</v>
      </c>
      <c r="B27" s="60"/>
      <c r="C27" s="59" t="s">
        <v>54</v>
      </c>
      <c r="D27" s="60"/>
      <c r="E27" s="60"/>
      <c r="F27" s="60"/>
      <c r="G27" s="60"/>
      <c r="H27" s="70" t="s">
        <v>40</v>
      </c>
      <c r="I27" s="71" t="s">
        <v>9</v>
      </c>
      <c r="J27" s="71" t="s">
        <v>10</v>
      </c>
      <c r="K27" s="72" t="s">
        <v>7</v>
      </c>
      <c r="L27" s="73" t="s">
        <v>12</v>
      </c>
      <c r="M27" s="60"/>
      <c r="N27" s="60"/>
      <c r="O27" s="97" t="s">
        <v>55</v>
      </c>
      <c r="P27" s="98">
        <v>18.859000000000002</v>
      </c>
      <c r="Q27" s="99">
        <v>1.4019999999999999</v>
      </c>
      <c r="R27" s="100">
        <v>0.63700000000000001</v>
      </c>
      <c r="S27" s="60"/>
      <c r="T27" s="60"/>
      <c r="U27" s="60"/>
      <c r="V27" s="60"/>
      <c r="W27" s="60"/>
      <c r="X27" s="60"/>
      <c r="Y27" s="60"/>
      <c r="Z27" s="60"/>
      <c r="AA27" s="60"/>
    </row>
    <row r="28" spans="1:27" ht="20" thickBot="1" x14ac:dyDescent="0.3">
      <c r="A28" s="65">
        <v>15.023479999999999</v>
      </c>
      <c r="B28" s="60"/>
      <c r="C28" s="101" t="s">
        <v>37</v>
      </c>
      <c r="D28" s="102" t="s">
        <v>38</v>
      </c>
      <c r="E28" s="103" t="s">
        <v>39</v>
      </c>
      <c r="F28" s="60"/>
      <c r="G28" s="60"/>
      <c r="H28" s="104">
        <v>3.2887E-2</v>
      </c>
      <c r="I28" s="83">
        <f>H28*$H$7</f>
        <v>20.636691161000002</v>
      </c>
      <c r="J28" s="83">
        <f>H28*$I$7</f>
        <v>86.344818500000002</v>
      </c>
      <c r="K28" s="105">
        <f>H28*$F$7</f>
        <v>0.89487829089999993</v>
      </c>
      <c r="L28" s="85">
        <f>H28*$K$7</f>
        <v>1.4338731999999999E-19</v>
      </c>
      <c r="M28" s="60"/>
      <c r="N28" s="60"/>
      <c r="O28" s="60"/>
      <c r="P28" s="60"/>
      <c r="Q28" s="60"/>
      <c r="R28" s="60"/>
      <c r="S28" s="60"/>
      <c r="T28" s="60"/>
      <c r="U28" s="60"/>
      <c r="V28" s="60"/>
      <c r="W28" s="60"/>
      <c r="X28" s="60"/>
      <c r="Y28" s="60"/>
      <c r="Z28" s="60"/>
      <c r="AA28" s="60"/>
    </row>
    <row r="29" spans="1:27" ht="20" thickBot="1" x14ac:dyDescent="0.3">
      <c r="A29" s="60"/>
      <c r="B29" s="60"/>
      <c r="C29" s="104">
        <v>13.6967</v>
      </c>
      <c r="D29" s="106">
        <v>13.6967</v>
      </c>
      <c r="E29" s="107">
        <v>6.8483499999999999</v>
      </c>
      <c r="F29" s="60"/>
      <c r="G29" s="60"/>
      <c r="L29" s="60"/>
      <c r="M29" s="60"/>
      <c r="N29" s="60"/>
      <c r="O29" s="60"/>
      <c r="P29" s="60"/>
      <c r="Q29" s="60"/>
      <c r="R29" s="60"/>
      <c r="S29" s="60"/>
      <c r="T29" s="60"/>
      <c r="U29" s="60"/>
      <c r="V29" s="60"/>
      <c r="W29" s="60"/>
      <c r="X29" s="60"/>
      <c r="Y29" s="60"/>
      <c r="Z29" s="60"/>
      <c r="AA29" s="60"/>
    </row>
    <row r="30" spans="1:27" ht="20" thickBot="1" x14ac:dyDescent="0.3">
      <c r="A30" s="59" t="s">
        <v>56</v>
      </c>
      <c r="B30" s="60"/>
      <c r="F30" s="60"/>
      <c r="G30" s="60"/>
      <c r="M30" s="60"/>
      <c r="O30" s="108" t="s">
        <v>57</v>
      </c>
      <c r="P30" s="109"/>
      <c r="Q30" s="109"/>
      <c r="R30" s="110"/>
      <c r="S30" s="60"/>
      <c r="T30" s="60"/>
      <c r="U30" s="60"/>
      <c r="V30" s="60"/>
      <c r="W30" s="60"/>
      <c r="X30" s="60"/>
      <c r="Y30" s="60"/>
      <c r="Z30" s="60"/>
      <c r="AA30" s="60"/>
    </row>
    <row r="31" spans="1:27" ht="20" thickBot="1" x14ac:dyDescent="0.3">
      <c r="A31" s="65">
        <v>6</v>
      </c>
      <c r="B31" s="60"/>
      <c r="C31" s="59" t="s">
        <v>58</v>
      </c>
      <c r="D31" s="60"/>
      <c r="E31" s="60"/>
      <c r="F31" s="60"/>
      <c r="G31" s="60"/>
      <c r="H31" s="59" t="s">
        <v>59</v>
      </c>
      <c r="I31" s="60"/>
      <c r="J31" s="60"/>
      <c r="K31" s="60"/>
      <c r="L31" s="60"/>
      <c r="M31" s="60"/>
      <c r="N31" s="60"/>
      <c r="O31" s="111"/>
      <c r="P31" s="112" t="s">
        <v>60</v>
      </c>
      <c r="Q31" s="113" t="s">
        <v>61</v>
      </c>
      <c r="R31" s="114" t="s">
        <v>62</v>
      </c>
      <c r="S31" s="60"/>
      <c r="T31" s="60"/>
      <c r="U31" s="60"/>
      <c r="V31" s="60"/>
      <c r="W31" s="60"/>
      <c r="X31" s="60"/>
      <c r="Y31" s="60"/>
      <c r="Z31" s="60"/>
      <c r="AA31" s="60"/>
    </row>
    <row r="32" spans="1:27" ht="20" thickBot="1" x14ac:dyDescent="0.3">
      <c r="A32" s="60"/>
      <c r="B32" s="60"/>
      <c r="C32" s="115" t="s">
        <v>37</v>
      </c>
      <c r="D32" s="115" t="s">
        <v>38</v>
      </c>
      <c r="E32" s="115" t="s">
        <v>39</v>
      </c>
      <c r="F32" s="60"/>
      <c r="G32" s="60"/>
      <c r="H32" s="70" t="s">
        <v>40</v>
      </c>
      <c r="I32" s="71" t="s">
        <v>9</v>
      </c>
      <c r="J32" s="71" t="s">
        <v>10</v>
      </c>
      <c r="K32" s="72" t="s">
        <v>7</v>
      </c>
      <c r="L32" s="73" t="s">
        <v>12</v>
      </c>
      <c r="M32" s="60"/>
      <c r="N32" s="60"/>
      <c r="O32" s="86" t="s">
        <v>48</v>
      </c>
      <c r="P32" s="116">
        <v>2</v>
      </c>
      <c r="Q32" s="117">
        <v>0.30103000000000002</v>
      </c>
      <c r="R32" s="117">
        <v>0.69314699999999996</v>
      </c>
      <c r="S32" s="60"/>
      <c r="T32" s="60"/>
      <c r="U32" s="60"/>
      <c r="V32" s="60"/>
      <c r="W32" s="60"/>
      <c r="X32" s="60"/>
      <c r="Y32" s="60"/>
      <c r="Z32" s="60"/>
      <c r="AA32" s="60"/>
    </row>
    <row r="33" spans="1:27" ht="20" thickBot="1" x14ac:dyDescent="0.3">
      <c r="A33" s="60"/>
      <c r="B33" s="60"/>
      <c r="C33" s="118">
        <v>285.39325000000002</v>
      </c>
      <c r="D33" s="119">
        <v>285.39325000000002</v>
      </c>
      <c r="E33" s="120">
        <v>142.69662</v>
      </c>
      <c r="F33" s="60"/>
      <c r="G33" s="60"/>
      <c r="H33" s="104">
        <v>3.3831E-2</v>
      </c>
      <c r="I33" s="83">
        <f>H33*$H$7</f>
        <v>21.229053993000001</v>
      </c>
      <c r="J33" s="83">
        <f>H33*$I$7</f>
        <v>88.823290499999999</v>
      </c>
      <c r="K33" s="105">
        <f>H33*$F$7</f>
        <v>0.92056519169999995</v>
      </c>
      <c r="L33" s="85">
        <f>H33*$K$7</f>
        <v>1.4750315999999999E-19</v>
      </c>
      <c r="M33" s="60"/>
      <c r="N33" s="60"/>
      <c r="O33" s="92" t="s">
        <v>50</v>
      </c>
      <c r="P33" s="87">
        <v>2288820</v>
      </c>
      <c r="Q33" s="88">
        <v>6.3596110000000001</v>
      </c>
      <c r="R33" s="88">
        <v>14.643545</v>
      </c>
      <c r="S33" s="60"/>
      <c r="T33" s="60"/>
      <c r="U33" s="60"/>
      <c r="V33" s="60"/>
      <c r="W33" s="60"/>
      <c r="X33" s="60"/>
      <c r="Y33" s="60"/>
      <c r="Z33" s="60"/>
      <c r="AA33" s="60"/>
    </row>
    <row r="34" spans="1:27" ht="19" x14ac:dyDescent="0.25">
      <c r="A34" s="60"/>
      <c r="B34" s="60"/>
      <c r="E34" s="60"/>
      <c r="F34" s="60"/>
      <c r="G34" s="60"/>
      <c r="M34" s="60"/>
      <c r="N34" s="60"/>
      <c r="O34" s="92" t="s">
        <v>52</v>
      </c>
      <c r="P34" s="87">
        <v>42.429400000000001</v>
      </c>
      <c r="Q34" s="88">
        <v>1.627667</v>
      </c>
      <c r="R34" s="88">
        <v>3.7478419999999999</v>
      </c>
      <c r="S34" s="60"/>
      <c r="T34" s="60"/>
      <c r="U34" s="60"/>
      <c r="V34" s="60"/>
      <c r="W34" s="60"/>
      <c r="X34" s="60"/>
      <c r="Y34" s="60"/>
      <c r="Z34" s="60"/>
      <c r="AA34" s="60"/>
    </row>
    <row r="35" spans="1:27" ht="19" x14ac:dyDescent="0.25">
      <c r="A35" s="60"/>
      <c r="B35" s="60"/>
      <c r="E35" s="60"/>
      <c r="F35" s="60"/>
      <c r="H35" s="60"/>
      <c r="I35" s="60"/>
      <c r="J35" s="60"/>
      <c r="K35" s="60"/>
      <c r="L35" s="60"/>
      <c r="M35" s="60"/>
      <c r="N35" s="60"/>
      <c r="O35" s="92" t="s">
        <v>63</v>
      </c>
      <c r="P35" s="87">
        <v>4.0124400000000002E-6</v>
      </c>
      <c r="Q35" s="88">
        <v>-5.3965909999999999</v>
      </c>
      <c r="R35" s="88">
        <v>-12.42611</v>
      </c>
      <c r="S35" s="60"/>
      <c r="T35" s="60"/>
      <c r="U35" s="60"/>
      <c r="V35" s="60"/>
      <c r="W35" s="60"/>
      <c r="X35" s="60"/>
      <c r="Y35" s="60"/>
      <c r="Z35" s="60"/>
      <c r="AA35" s="60"/>
    </row>
    <row r="36" spans="1:27" ht="20" thickBot="1" x14ac:dyDescent="0.3">
      <c r="A36" s="60"/>
      <c r="B36" s="60"/>
      <c r="C36" s="59" t="s">
        <v>64</v>
      </c>
      <c r="D36" s="60"/>
      <c r="E36" s="60"/>
      <c r="F36" s="60"/>
      <c r="H36" s="59" t="s">
        <v>65</v>
      </c>
      <c r="I36" s="60"/>
      <c r="J36" s="60"/>
      <c r="K36" s="60"/>
      <c r="L36" s="60"/>
      <c r="M36" s="60"/>
      <c r="N36" s="60"/>
      <c r="O36" s="92" t="s">
        <v>66</v>
      </c>
      <c r="P36" s="87">
        <v>211594000</v>
      </c>
      <c r="Q36" s="88">
        <v>8.3255040000000005</v>
      </c>
      <c r="R36" s="88">
        <v>19.170182</v>
      </c>
      <c r="S36" s="60"/>
      <c r="T36" s="60"/>
      <c r="U36" s="60"/>
      <c r="V36" s="60"/>
      <c r="W36" s="60"/>
      <c r="X36" s="60"/>
      <c r="Y36" s="60"/>
      <c r="Z36" s="60"/>
      <c r="AA36" s="60"/>
    </row>
    <row r="37" spans="1:27" ht="20" thickBot="1" x14ac:dyDescent="0.3">
      <c r="A37" s="60"/>
      <c r="B37" s="60"/>
      <c r="C37" s="121" t="s">
        <v>67</v>
      </c>
      <c r="D37" s="122">
        <v>78325.899999999994</v>
      </c>
      <c r="E37" s="60"/>
      <c r="F37" s="60"/>
      <c r="H37" s="70" t="s">
        <v>40</v>
      </c>
      <c r="I37" s="71" t="s">
        <v>9</v>
      </c>
      <c r="J37" s="71" t="s">
        <v>10</v>
      </c>
      <c r="K37" s="73" t="s">
        <v>7</v>
      </c>
      <c r="L37" s="73" t="s">
        <v>12</v>
      </c>
      <c r="M37" s="60"/>
      <c r="N37" s="60"/>
      <c r="O37" s="92" t="s">
        <v>68</v>
      </c>
      <c r="P37" s="87">
        <v>2.06586E-14</v>
      </c>
      <c r="Q37" s="88">
        <v>-13.684899</v>
      </c>
      <c r="R37" s="88">
        <v>-31.510643999999999</v>
      </c>
      <c r="S37" s="60"/>
      <c r="T37" s="60"/>
      <c r="U37" s="60"/>
      <c r="V37" s="60"/>
      <c r="W37" s="60"/>
      <c r="X37" s="60"/>
      <c r="Y37" s="60"/>
      <c r="Z37" s="60"/>
      <c r="AA37" s="60"/>
    </row>
    <row r="38" spans="1:27" ht="20" thickBot="1" x14ac:dyDescent="0.3">
      <c r="A38" s="60"/>
      <c r="B38" s="60"/>
      <c r="C38" s="123" t="s">
        <v>69</v>
      </c>
      <c r="D38" s="124">
        <v>18.72035</v>
      </c>
      <c r="E38" s="60"/>
      <c r="F38" s="60"/>
      <c r="H38" s="104">
        <v>1.1733E-2</v>
      </c>
      <c r="I38" s="83">
        <f>H38*$H$7</f>
        <v>7.3624926990000006</v>
      </c>
      <c r="J38" s="83">
        <f>H38*$I$7</f>
        <v>30.8049915</v>
      </c>
      <c r="K38" s="105">
        <f>H38*$F$7</f>
        <v>0.31926314309999998</v>
      </c>
      <c r="L38" s="85">
        <f>H38*$K$7</f>
        <v>5.1155880000000001E-20</v>
      </c>
      <c r="M38" s="60"/>
      <c r="N38" s="60"/>
      <c r="O38" s="97" t="s">
        <v>70</v>
      </c>
      <c r="P38" s="87">
        <v>1.0894200000000001</v>
      </c>
      <c r="Q38" s="88">
        <v>3.7196E-2</v>
      </c>
      <c r="R38" s="88">
        <v>8.5648000000000002E-2</v>
      </c>
      <c r="S38" s="60"/>
      <c r="T38" s="60"/>
      <c r="U38" s="60"/>
      <c r="V38" s="60"/>
      <c r="W38" s="60"/>
      <c r="X38" s="60"/>
      <c r="Y38" s="60"/>
      <c r="Z38" s="60"/>
      <c r="AA38" s="60"/>
    </row>
    <row r="39" spans="1:27" ht="19" x14ac:dyDescent="0.25">
      <c r="A39" s="60"/>
      <c r="B39" s="60"/>
      <c r="C39" s="60"/>
      <c r="D39" s="60"/>
      <c r="E39" s="60"/>
      <c r="F39" s="60"/>
      <c r="J39" s="60"/>
      <c r="K39" s="60"/>
      <c r="L39" s="60"/>
      <c r="M39" s="60"/>
      <c r="N39" s="60"/>
      <c r="O39" s="125"/>
      <c r="P39" s="60"/>
      <c r="Q39" s="60"/>
      <c r="R39" s="60"/>
      <c r="S39" s="60"/>
      <c r="T39" s="60"/>
      <c r="U39" s="60"/>
      <c r="V39" s="60"/>
      <c r="W39" s="60"/>
      <c r="X39" s="60"/>
      <c r="Y39" s="60"/>
      <c r="Z39" s="60"/>
      <c r="AA39" s="60"/>
    </row>
    <row r="40" spans="1:27" ht="20" thickBot="1" x14ac:dyDescent="0.3">
      <c r="A40" s="60"/>
      <c r="B40" s="60"/>
      <c r="C40" s="60"/>
      <c r="D40" s="60"/>
      <c r="E40" s="60"/>
      <c r="F40" s="60"/>
      <c r="J40" s="60"/>
      <c r="K40" s="60"/>
      <c r="L40" s="60"/>
      <c r="M40" s="60"/>
      <c r="N40" s="60"/>
      <c r="O40" s="125"/>
      <c r="P40" s="60"/>
      <c r="Q40" s="60"/>
      <c r="R40" s="60"/>
      <c r="S40" s="60"/>
      <c r="T40" s="60"/>
      <c r="U40" s="60"/>
      <c r="V40" s="60"/>
      <c r="W40" s="60"/>
      <c r="X40" s="60"/>
      <c r="Y40" s="60"/>
      <c r="Z40" s="60"/>
      <c r="AA40" s="60"/>
    </row>
    <row r="41" spans="1:27" ht="64" customHeight="1" thickBot="1" x14ac:dyDescent="0.3">
      <c r="A41" s="60"/>
      <c r="B41" s="60"/>
      <c r="D41" s="126" t="s">
        <v>71</v>
      </c>
      <c r="E41" s="127" t="s">
        <v>72</v>
      </c>
      <c r="F41" s="128" t="s">
        <v>73</v>
      </c>
      <c r="G41" s="129" t="s">
        <v>74</v>
      </c>
      <c r="I41" s="60"/>
      <c r="J41" s="60"/>
      <c r="K41" s="60"/>
      <c r="L41" s="60"/>
      <c r="M41" s="60"/>
      <c r="N41" s="60"/>
      <c r="O41" s="60"/>
      <c r="P41" s="60"/>
      <c r="Q41" s="60"/>
      <c r="R41" s="60"/>
      <c r="S41" s="60"/>
      <c r="T41" s="60"/>
      <c r="U41" s="60"/>
      <c r="V41" s="60"/>
      <c r="W41" s="60"/>
      <c r="X41" s="60"/>
      <c r="Y41" s="60"/>
      <c r="Z41" s="60"/>
      <c r="AA41" s="60"/>
    </row>
    <row r="42" spans="1:27" ht="19" x14ac:dyDescent="0.25">
      <c r="A42" s="60"/>
      <c r="B42" s="60"/>
      <c r="C42" s="130">
        <v>1</v>
      </c>
      <c r="D42" s="291">
        <v>752.81</v>
      </c>
      <c r="E42" s="292">
        <v>523.23199999999997</v>
      </c>
      <c r="F42" s="133">
        <f>E42*$L$9</f>
        <v>15686129097600</v>
      </c>
      <c r="G42" s="134">
        <v>1.2356</v>
      </c>
      <c r="H42" s="135"/>
      <c r="K42" s="60"/>
      <c r="L42" s="60"/>
      <c r="M42" s="60"/>
      <c r="N42" s="60"/>
      <c r="O42" s="60"/>
      <c r="P42" s="60"/>
      <c r="Q42" s="60"/>
      <c r="R42" s="60"/>
      <c r="S42" s="60"/>
      <c r="T42" s="60"/>
      <c r="U42" s="60"/>
      <c r="V42" s="60"/>
      <c r="W42" s="60"/>
      <c r="X42" s="60"/>
      <c r="Y42" s="60"/>
      <c r="Z42" s="60"/>
      <c r="AA42" s="60"/>
    </row>
    <row r="43" spans="1:27" ht="19" x14ac:dyDescent="0.25">
      <c r="A43" s="60"/>
      <c r="B43" s="60"/>
      <c r="C43" s="136">
        <f>C42+1</f>
        <v>2</v>
      </c>
      <c r="D43" s="137">
        <v>2031.57</v>
      </c>
      <c r="E43" s="138">
        <v>1412.0119</v>
      </c>
      <c r="F43" s="139">
        <f t="shared" ref="F43:F47" si="2">E43*$L$9</f>
        <v>42331128353670</v>
      </c>
      <c r="G43" s="140">
        <v>1.1020000000000001</v>
      </c>
      <c r="H43" s="135"/>
      <c r="K43" s="60"/>
      <c r="L43" s="60"/>
      <c r="M43" s="60"/>
      <c r="N43" s="60"/>
      <c r="O43" s="60"/>
      <c r="P43" s="60"/>
      <c r="Q43" s="60"/>
      <c r="R43" s="60"/>
      <c r="S43" s="60"/>
      <c r="T43" s="60"/>
      <c r="U43" s="60"/>
      <c r="V43" s="60"/>
      <c r="W43" s="60"/>
      <c r="X43" s="60"/>
      <c r="Y43" s="60"/>
      <c r="Z43" s="60"/>
      <c r="AA43" s="60"/>
    </row>
    <row r="44" spans="1:27" ht="20" thickBot="1" x14ac:dyDescent="0.3">
      <c r="A44" s="60"/>
      <c r="B44" s="60"/>
      <c r="C44" s="136">
        <f t="shared" ref="C44:C47" si="3">C43+1</f>
        <v>3</v>
      </c>
      <c r="D44" s="137">
        <v>2031.57</v>
      </c>
      <c r="E44" s="138">
        <v>1412.0135</v>
      </c>
      <c r="F44" s="139">
        <f t="shared" si="2"/>
        <v>42331176320550</v>
      </c>
      <c r="G44" s="140">
        <v>1.1020000000000001</v>
      </c>
      <c r="H44" s="135"/>
      <c r="J44" s="141" t="s">
        <v>75</v>
      </c>
      <c r="M44" s="60"/>
      <c r="N44" s="60"/>
      <c r="O44" s="60"/>
      <c r="P44" s="60"/>
      <c r="Q44" s="60"/>
      <c r="R44" s="60"/>
      <c r="S44" s="60"/>
      <c r="T44" s="60"/>
      <c r="U44" s="60"/>
      <c r="V44" s="60"/>
      <c r="W44" s="60"/>
      <c r="X44" s="60"/>
      <c r="Y44" s="60"/>
      <c r="Z44" s="60"/>
      <c r="AA44" s="60"/>
    </row>
    <row r="45" spans="1:27" ht="20" thickBot="1" x14ac:dyDescent="0.3">
      <c r="A45" s="60"/>
      <c r="B45" s="60"/>
      <c r="C45" s="136">
        <f t="shared" si="3"/>
        <v>4</v>
      </c>
      <c r="D45" s="137">
        <v>4500.97</v>
      </c>
      <c r="E45" s="138">
        <v>3128.3355000000001</v>
      </c>
      <c r="F45" s="139">
        <f t="shared" si="2"/>
        <v>93785308455150</v>
      </c>
      <c r="G45" s="140">
        <v>1.0078</v>
      </c>
      <c r="H45" s="135"/>
      <c r="J45" s="142">
        <v>1</v>
      </c>
      <c r="K45" s="143">
        <f>J45+1</f>
        <v>2</v>
      </c>
      <c r="L45" s="144">
        <f>K45+1</f>
        <v>3</v>
      </c>
      <c r="M45" s="60"/>
      <c r="N45" s="60"/>
      <c r="O45" s="60"/>
      <c r="P45" s="60"/>
      <c r="Q45" s="60"/>
      <c r="R45" s="60"/>
      <c r="S45" s="60"/>
      <c r="T45" s="60"/>
      <c r="U45" s="60"/>
      <c r="V45" s="60"/>
      <c r="W45" s="60"/>
      <c r="X45" s="60"/>
      <c r="Y45" s="60"/>
      <c r="Z45" s="60"/>
      <c r="AA45" s="60"/>
    </row>
    <row r="46" spans="1:27" ht="20" thickBot="1" x14ac:dyDescent="0.3">
      <c r="A46" s="60"/>
      <c r="B46" s="60"/>
      <c r="C46" s="136">
        <f t="shared" si="3"/>
        <v>5</v>
      </c>
      <c r="D46" s="137">
        <v>4761.97</v>
      </c>
      <c r="E46" s="138">
        <v>3309.7406999999998</v>
      </c>
      <c r="F46" s="139">
        <f t="shared" si="2"/>
        <v>99223709367510</v>
      </c>
      <c r="G46" s="140">
        <v>1.1184000000000001</v>
      </c>
      <c r="H46" s="135"/>
      <c r="J46" s="145">
        <v>-39.847228332</v>
      </c>
      <c r="K46" s="146">
        <v>-39.847334412499997</v>
      </c>
      <c r="L46" s="147">
        <v>-39.847334412499997</v>
      </c>
      <c r="M46" s="60"/>
      <c r="N46" s="60"/>
      <c r="O46" s="60"/>
      <c r="P46" s="60"/>
      <c r="Q46" s="60"/>
      <c r="R46" s="60"/>
      <c r="S46" s="60"/>
      <c r="T46" s="60"/>
      <c r="U46" s="60"/>
      <c r="V46" s="60"/>
      <c r="W46" s="60"/>
      <c r="X46" s="60"/>
      <c r="Y46" s="60"/>
      <c r="Z46" s="60"/>
      <c r="AA46" s="60"/>
    </row>
    <row r="47" spans="1:27" ht="20" thickBot="1" x14ac:dyDescent="0.3">
      <c r="A47" s="60"/>
      <c r="B47" s="60"/>
      <c r="C47" s="148">
        <f t="shared" si="3"/>
        <v>6</v>
      </c>
      <c r="D47" s="149">
        <v>4761.97</v>
      </c>
      <c r="E47" s="150">
        <v>3309.7417</v>
      </c>
      <c r="F47" s="151">
        <f t="shared" si="2"/>
        <v>99223739346810</v>
      </c>
      <c r="G47" s="152">
        <v>1.1184000000000001</v>
      </c>
      <c r="H47" s="135"/>
      <c r="K47" s="60"/>
      <c r="L47" s="60"/>
      <c r="M47" s="60"/>
      <c r="N47" s="60"/>
      <c r="O47" s="60"/>
      <c r="P47" s="60"/>
      <c r="Q47" s="60"/>
      <c r="R47" s="60"/>
      <c r="S47" s="60"/>
      <c r="T47" s="60"/>
      <c r="U47" s="60"/>
      <c r="V47" s="60"/>
      <c r="W47" s="60"/>
      <c r="X47" s="60"/>
      <c r="Y47" s="60"/>
      <c r="Z47" s="60"/>
      <c r="AA47" s="60"/>
    </row>
    <row r="48" spans="1:27" ht="19" x14ac:dyDescent="0.25">
      <c r="A48" s="60"/>
      <c r="B48" s="60"/>
      <c r="C48" s="135"/>
      <c r="D48" s="60"/>
      <c r="E48" s="60"/>
      <c r="F48" s="162"/>
      <c r="G48" s="60"/>
      <c r="H48" s="135"/>
      <c r="K48" s="60"/>
      <c r="L48" s="60"/>
      <c r="M48" s="60"/>
      <c r="N48" s="60"/>
      <c r="O48" s="60"/>
      <c r="P48" s="60"/>
      <c r="Q48" s="60"/>
      <c r="R48" s="60"/>
      <c r="S48" s="60"/>
      <c r="T48" s="60"/>
      <c r="U48" s="60"/>
      <c r="V48" s="60"/>
      <c r="W48" s="60"/>
      <c r="X48" s="60"/>
      <c r="Y48" s="60"/>
      <c r="Z48" s="60"/>
      <c r="AA48" s="60"/>
    </row>
    <row r="49" spans="1:27" ht="19" x14ac:dyDescent="0.25">
      <c r="A49" s="60"/>
      <c r="B49" s="60"/>
      <c r="C49" s="135"/>
      <c r="D49" s="60"/>
      <c r="E49" s="60"/>
      <c r="F49" s="162"/>
      <c r="G49" s="60"/>
      <c r="H49" s="135"/>
      <c r="K49" s="60"/>
      <c r="L49" s="60"/>
      <c r="M49" s="60"/>
      <c r="N49" s="60"/>
      <c r="O49" s="60"/>
      <c r="P49" s="60"/>
      <c r="Q49" s="60"/>
      <c r="R49" s="60"/>
      <c r="S49" s="60"/>
      <c r="T49" s="60"/>
      <c r="U49" s="60"/>
      <c r="V49" s="60"/>
      <c r="W49" s="60"/>
      <c r="X49" s="60"/>
      <c r="Y49" s="60"/>
      <c r="Z49" s="60"/>
      <c r="AA49" s="60"/>
    </row>
    <row r="50" spans="1:27" ht="19" x14ac:dyDescent="0.25">
      <c r="A50" s="60"/>
      <c r="B50" s="60"/>
      <c r="C50" s="135"/>
      <c r="D50" s="60"/>
      <c r="E50" s="60"/>
      <c r="F50" s="162"/>
      <c r="G50" s="60"/>
      <c r="H50" s="135"/>
      <c r="K50" s="60"/>
      <c r="L50" s="60"/>
      <c r="M50" s="60"/>
      <c r="N50" s="60"/>
      <c r="O50" s="60"/>
      <c r="P50" s="60"/>
      <c r="Q50" s="60"/>
      <c r="R50" s="60"/>
      <c r="S50" s="60"/>
      <c r="T50" s="60"/>
      <c r="U50" s="60"/>
      <c r="V50" s="60"/>
      <c r="W50" s="60"/>
      <c r="X50" s="60"/>
      <c r="Y50" s="60"/>
      <c r="Z50" s="60"/>
      <c r="AA50" s="60"/>
    </row>
    <row r="51" spans="1:27" ht="19" x14ac:dyDescent="0.25">
      <c r="A51" s="60"/>
      <c r="B51" s="60"/>
      <c r="C51" s="60"/>
      <c r="D51" s="60"/>
      <c r="E51" s="60"/>
      <c r="F51" s="60"/>
      <c r="G51" s="60"/>
      <c r="H51" s="60"/>
      <c r="K51" s="60"/>
      <c r="L51" s="60"/>
      <c r="M51" s="60"/>
      <c r="N51" s="60"/>
      <c r="O51" s="60"/>
      <c r="P51" s="60"/>
      <c r="Q51" s="60"/>
      <c r="R51" s="60"/>
      <c r="S51" s="60"/>
      <c r="T51" s="60"/>
      <c r="U51" s="60"/>
      <c r="V51" s="60"/>
      <c r="W51" s="60"/>
      <c r="X51" s="60"/>
      <c r="Y51" s="60"/>
      <c r="Z51" s="60"/>
      <c r="AA51" s="60"/>
    </row>
    <row r="52" spans="1:27" ht="19" x14ac:dyDescent="0.25">
      <c r="A52" s="60"/>
      <c r="B52" s="60"/>
      <c r="C52" s="60"/>
      <c r="D52" s="60"/>
      <c r="E52" s="60"/>
      <c r="F52" s="60"/>
      <c r="G52" s="60"/>
      <c r="H52" s="60"/>
      <c r="I52" s="60"/>
      <c r="J52" s="60"/>
      <c r="K52" s="60"/>
      <c r="L52" s="60"/>
      <c r="M52" s="60"/>
      <c r="N52" s="60"/>
      <c r="O52" s="60"/>
      <c r="P52" s="60"/>
      <c r="Q52" s="60"/>
      <c r="R52" s="60"/>
      <c r="S52" s="60"/>
      <c r="T52" s="60"/>
      <c r="U52" s="60"/>
      <c r="V52" s="60"/>
      <c r="W52" s="60"/>
      <c r="X52" s="60"/>
      <c r="Y52" s="60"/>
      <c r="Z52" s="60"/>
      <c r="AA52" s="60"/>
    </row>
    <row r="53" spans="1:27" ht="34" thickBot="1" x14ac:dyDescent="0.5">
      <c r="A53" s="361" t="s">
        <v>132</v>
      </c>
      <c r="B53" s="361"/>
      <c r="C53" s="361"/>
      <c r="D53" s="361"/>
      <c r="E53" s="361"/>
      <c r="F53" s="361"/>
      <c r="G53" s="361"/>
      <c r="H53" s="361"/>
      <c r="I53" s="361"/>
      <c r="J53" s="361"/>
      <c r="K53" s="361"/>
      <c r="L53" s="361"/>
      <c r="M53" s="361"/>
      <c r="N53" s="361"/>
      <c r="O53" s="361"/>
      <c r="P53" s="361"/>
      <c r="Q53" s="361"/>
      <c r="R53" s="361"/>
      <c r="S53" s="361"/>
      <c r="T53" s="361"/>
      <c r="U53" s="361"/>
      <c r="V53" s="361"/>
      <c r="W53" s="60"/>
      <c r="X53" s="60"/>
      <c r="Y53" s="60"/>
      <c r="Z53" s="60"/>
      <c r="AA53" s="60"/>
    </row>
    <row r="54" spans="1:27" ht="20" thickTop="1" x14ac:dyDescent="0.25">
      <c r="A54" s="60"/>
      <c r="B54" s="60"/>
      <c r="C54" s="60"/>
      <c r="D54" s="60"/>
      <c r="E54" s="60"/>
      <c r="F54" s="60"/>
      <c r="G54" s="60"/>
      <c r="H54" s="60"/>
      <c r="I54" s="60"/>
      <c r="J54" s="60"/>
      <c r="K54" s="60"/>
      <c r="L54" s="60"/>
      <c r="M54" s="60"/>
      <c r="N54" s="60"/>
      <c r="O54" s="60"/>
      <c r="P54" s="60"/>
      <c r="Q54" s="60"/>
      <c r="R54" s="60"/>
      <c r="S54" s="60"/>
      <c r="T54" s="60"/>
      <c r="U54" s="60"/>
      <c r="V54" s="60"/>
      <c r="W54" s="60"/>
      <c r="X54" s="60"/>
      <c r="Y54" s="60"/>
      <c r="Z54" s="60"/>
      <c r="AA54" s="60"/>
    </row>
    <row r="55" spans="1:27" ht="19" x14ac:dyDescent="0.25">
      <c r="A55" s="60"/>
      <c r="B55" s="60"/>
      <c r="C55" s="60"/>
      <c r="D55" s="60"/>
      <c r="E55" s="60"/>
      <c r="F55" s="60" t="s">
        <v>77</v>
      </c>
      <c r="G55" s="60"/>
      <c r="H55" s="60"/>
      <c r="I55" s="60"/>
      <c r="J55" s="60"/>
      <c r="K55" s="60"/>
      <c r="L55" s="60"/>
      <c r="M55" s="60"/>
      <c r="N55" s="60"/>
      <c r="O55" s="60"/>
      <c r="Q55" s="60"/>
      <c r="R55" s="60"/>
      <c r="S55" s="60"/>
      <c r="T55" s="60"/>
      <c r="U55" s="60"/>
      <c r="V55" s="60"/>
      <c r="W55" s="60"/>
      <c r="X55" s="60"/>
      <c r="Y55" s="60"/>
      <c r="Z55" s="60"/>
      <c r="AA55" s="60"/>
    </row>
    <row r="56" spans="1:27" ht="27" x14ac:dyDescent="0.35">
      <c r="B56" s="60"/>
      <c r="C56" s="153" t="s">
        <v>78</v>
      </c>
      <c r="D56" s="154"/>
      <c r="E56" s="60"/>
      <c r="F56" s="60"/>
      <c r="G56" s="60"/>
      <c r="H56" s="60"/>
      <c r="I56" s="60"/>
      <c r="J56" s="60"/>
      <c r="K56" s="60"/>
      <c r="L56" s="60"/>
      <c r="M56" s="60"/>
      <c r="N56" s="60"/>
      <c r="O56" s="60"/>
      <c r="Q56" s="60"/>
      <c r="R56" s="60"/>
      <c r="S56" s="60"/>
      <c r="T56" s="60"/>
      <c r="U56" s="60"/>
      <c r="V56" s="60"/>
      <c r="W56" s="60"/>
      <c r="X56" s="60"/>
      <c r="Y56" s="60"/>
      <c r="Z56" s="60"/>
      <c r="AA56" s="60"/>
    </row>
    <row r="57" spans="1:27" ht="19" x14ac:dyDescent="0.25">
      <c r="B57" s="60"/>
      <c r="C57" s="60"/>
      <c r="D57" s="60"/>
      <c r="E57" s="60"/>
      <c r="F57" s="60"/>
      <c r="G57" s="60"/>
      <c r="H57" s="60"/>
      <c r="I57" s="60"/>
      <c r="J57" s="60"/>
      <c r="K57" s="60"/>
      <c r="L57" s="60"/>
      <c r="M57" s="60"/>
      <c r="N57" s="60"/>
      <c r="O57" s="60"/>
      <c r="Q57" s="60"/>
      <c r="R57" s="60"/>
      <c r="S57" s="60"/>
      <c r="T57" s="60"/>
      <c r="U57" s="60"/>
      <c r="V57" s="60"/>
      <c r="W57" s="60"/>
      <c r="X57" s="60"/>
      <c r="Y57" s="60"/>
      <c r="Z57" s="60"/>
      <c r="AA57" s="60"/>
    </row>
    <row r="58" spans="1:27" ht="19" x14ac:dyDescent="0.25">
      <c r="B58" s="60"/>
      <c r="C58" s="60"/>
      <c r="D58" s="60"/>
      <c r="E58" s="60"/>
      <c r="F58" s="60"/>
      <c r="G58" s="60"/>
      <c r="H58" s="60"/>
      <c r="I58" s="60"/>
      <c r="J58" s="60"/>
      <c r="K58" s="60"/>
      <c r="L58" s="60"/>
      <c r="M58" s="60"/>
      <c r="N58" s="60"/>
      <c r="O58" s="60"/>
      <c r="Q58" s="60"/>
      <c r="R58" s="60"/>
      <c r="S58" s="60"/>
      <c r="T58" s="60"/>
      <c r="U58" s="60"/>
      <c r="V58" s="60"/>
      <c r="W58" s="60"/>
      <c r="X58" s="60"/>
      <c r="Y58" s="60"/>
      <c r="Z58" s="60"/>
      <c r="AA58" s="60"/>
    </row>
    <row r="59" spans="1:27" ht="19" x14ac:dyDescent="0.25">
      <c r="B59" s="60"/>
      <c r="D59" s="60"/>
      <c r="E59" s="60"/>
      <c r="F59" s="60"/>
      <c r="G59" s="60"/>
      <c r="H59" s="60"/>
      <c r="I59" s="60"/>
      <c r="J59" s="60"/>
      <c r="K59" s="60"/>
      <c r="L59" s="60"/>
      <c r="M59" s="60"/>
      <c r="N59" s="60"/>
      <c r="O59" s="60"/>
      <c r="Q59" s="60"/>
      <c r="R59" s="60"/>
      <c r="S59" s="60"/>
      <c r="T59" s="60"/>
      <c r="U59" s="60"/>
      <c r="V59" s="60"/>
      <c r="W59" s="60"/>
      <c r="X59" s="60"/>
      <c r="Y59" s="60"/>
      <c r="Z59" s="60"/>
      <c r="AA59" s="60"/>
    </row>
    <row r="60" spans="1:27" ht="19" x14ac:dyDescent="0.25">
      <c r="B60" s="60"/>
      <c r="C60" s="60"/>
      <c r="D60" s="60"/>
      <c r="E60" s="60"/>
      <c r="F60" s="60"/>
      <c r="G60" s="60"/>
      <c r="H60" s="60"/>
      <c r="I60" s="60"/>
      <c r="J60" s="60"/>
      <c r="K60" s="60"/>
      <c r="L60" s="60"/>
      <c r="M60" s="60"/>
      <c r="N60" s="60"/>
      <c r="O60" s="60"/>
      <c r="Q60" s="60"/>
      <c r="R60" s="60"/>
      <c r="S60" s="60"/>
      <c r="T60" s="60"/>
      <c r="U60" s="60"/>
      <c r="V60" s="60"/>
      <c r="W60" s="60"/>
      <c r="X60" s="60"/>
      <c r="Y60" s="60"/>
      <c r="Z60" s="60"/>
      <c r="AA60" s="60"/>
    </row>
    <row r="61" spans="1:27" ht="19" x14ac:dyDescent="0.25">
      <c r="B61" s="60"/>
      <c r="C61" s="60"/>
      <c r="D61" s="60"/>
      <c r="E61" s="60"/>
      <c r="F61" s="60"/>
      <c r="G61" s="60"/>
      <c r="H61" s="60"/>
      <c r="I61" s="60"/>
      <c r="J61" s="60"/>
      <c r="K61" s="60"/>
      <c r="L61" s="60"/>
      <c r="M61" s="60"/>
      <c r="N61" s="60"/>
      <c r="O61" s="60"/>
      <c r="Q61" s="60"/>
      <c r="R61" s="60"/>
      <c r="S61" s="60"/>
      <c r="T61" s="60"/>
      <c r="U61" s="60"/>
      <c r="V61" s="60"/>
      <c r="W61" s="60"/>
      <c r="X61" s="60"/>
      <c r="Y61" s="60"/>
      <c r="Z61" s="60"/>
      <c r="AA61" s="60"/>
    </row>
    <row r="62" spans="1:27" ht="19" x14ac:dyDescent="0.25">
      <c r="B62" s="60"/>
      <c r="C62" s="60"/>
      <c r="D62" s="60"/>
      <c r="E62" s="60"/>
      <c r="F62" s="60"/>
      <c r="G62" s="60"/>
      <c r="H62" s="60"/>
      <c r="I62" s="60"/>
      <c r="J62" s="60"/>
      <c r="K62" s="60"/>
      <c r="L62" s="60"/>
      <c r="M62" s="60"/>
      <c r="N62" s="60"/>
      <c r="O62" s="60"/>
      <c r="Q62" s="60"/>
      <c r="R62" s="60"/>
      <c r="S62" s="60"/>
      <c r="T62" s="60"/>
      <c r="U62" s="60"/>
      <c r="V62" s="60"/>
      <c r="W62" s="60"/>
      <c r="X62" s="60"/>
      <c r="Y62" s="60"/>
      <c r="Z62" s="60"/>
      <c r="AA62" s="60"/>
    </row>
    <row r="63" spans="1:27" ht="20" thickBot="1" x14ac:dyDescent="0.3">
      <c r="B63" s="60"/>
      <c r="C63" s="60"/>
      <c r="D63" s="60"/>
      <c r="E63" s="60"/>
      <c r="F63" s="60"/>
      <c r="G63" s="60"/>
      <c r="H63" s="60"/>
      <c r="I63" s="60"/>
      <c r="J63" s="60"/>
      <c r="K63" s="60"/>
      <c r="L63" s="60"/>
      <c r="M63" s="60"/>
      <c r="N63" s="60"/>
      <c r="O63" s="60"/>
      <c r="Q63" s="60"/>
      <c r="R63" s="60"/>
      <c r="S63" s="60"/>
      <c r="T63" s="60"/>
      <c r="U63" s="60"/>
      <c r="V63" s="60"/>
      <c r="W63" s="60"/>
      <c r="X63" s="60"/>
      <c r="Y63" s="60"/>
      <c r="Z63" s="60"/>
      <c r="AA63" s="60"/>
    </row>
    <row r="64" spans="1:27" ht="30" customHeight="1" thickBot="1" x14ac:dyDescent="0.35">
      <c r="B64" s="60"/>
      <c r="C64" s="297" t="s">
        <v>79</v>
      </c>
      <c r="D64" s="298" t="s">
        <v>80</v>
      </c>
      <c r="E64" s="297" t="s">
        <v>81</v>
      </c>
      <c r="F64" s="60"/>
      <c r="G64" s="60"/>
      <c r="H64" s="157" t="s">
        <v>82</v>
      </c>
      <c r="I64" s="158"/>
      <c r="J64" s="158"/>
      <c r="K64" s="158"/>
      <c r="L64" s="158"/>
      <c r="M64" s="158"/>
      <c r="N64" s="158"/>
      <c r="O64" s="60"/>
      <c r="Q64" s="60"/>
      <c r="R64" s="60"/>
      <c r="S64" s="60"/>
      <c r="T64" s="60"/>
      <c r="U64" s="60"/>
      <c r="V64" s="60"/>
      <c r="W64" s="60"/>
      <c r="X64" s="60"/>
      <c r="Y64" s="60"/>
      <c r="Z64" s="60"/>
      <c r="AA64" s="60"/>
    </row>
    <row r="65" spans="2:27" ht="20" thickBot="1" x14ac:dyDescent="0.3">
      <c r="B65" s="60"/>
      <c r="C65" s="101">
        <v>298.14999999999998</v>
      </c>
      <c r="D65" s="299">
        <f t="shared" ref="D65:D83" si="4">C65*$B$8/$B$16</f>
        <v>4.0625788058228471E-26</v>
      </c>
      <c r="E65" s="229">
        <f xml:space="preserve"> (2*PI()*$A$28*$U$9*$B$8*C65/($B$14^2))^(3/2)*D65</f>
        <v>2287702.2466950254</v>
      </c>
      <c r="F65" s="162"/>
      <c r="G65" s="60"/>
      <c r="H65" s="60"/>
      <c r="I65" s="60"/>
      <c r="J65" s="60"/>
      <c r="K65" s="60"/>
      <c r="L65" s="60"/>
      <c r="M65" s="60"/>
      <c r="N65" s="60"/>
      <c r="O65" s="60"/>
      <c r="Q65" s="60"/>
      <c r="R65" s="60"/>
      <c r="S65" s="60"/>
      <c r="T65" s="60"/>
      <c r="U65" s="60"/>
      <c r="V65" s="60"/>
      <c r="W65" s="60"/>
      <c r="X65" s="60"/>
      <c r="Y65" s="60"/>
      <c r="Z65" s="60"/>
      <c r="AA65" s="60"/>
    </row>
    <row r="66" spans="2:27" ht="20" thickBot="1" x14ac:dyDescent="0.3">
      <c r="B66" s="60"/>
      <c r="C66" s="159">
        <v>300</v>
      </c>
      <c r="D66" s="160">
        <f t="shared" si="4"/>
        <v>4.0877868245743891E-26</v>
      </c>
      <c r="E66" s="161">
        <f xml:space="preserve"> (2*PI()*$A$28*$U$9*$B$8*C66/($B$14^2))^(3/2)*D66</f>
        <v>2323355.1489047599</v>
      </c>
      <c r="F66" s="60"/>
      <c r="G66" s="60"/>
      <c r="L66" s="155" t="s">
        <v>83</v>
      </c>
      <c r="M66" s="60"/>
      <c r="N66" s="60"/>
      <c r="O66" s="60"/>
      <c r="Q66" s="60"/>
      <c r="R66" s="60"/>
      <c r="S66" s="60"/>
      <c r="T66" s="60"/>
      <c r="U66" s="60"/>
      <c r="V66" s="60"/>
      <c r="W66" s="60"/>
      <c r="X66" s="60"/>
      <c r="Y66" s="60"/>
      <c r="Z66" s="60"/>
      <c r="AA66" s="60"/>
    </row>
    <row r="67" spans="2:27" ht="19" x14ac:dyDescent="0.25">
      <c r="B67" s="60"/>
      <c r="C67" s="163">
        <f>C66+100</f>
        <v>400</v>
      </c>
      <c r="D67" s="164">
        <f t="shared" si="4"/>
        <v>5.4503824327658529E-26</v>
      </c>
      <c r="E67" s="165">
        <f t="shared" ref="E67:E83" si="5" xml:space="preserve"> (2*PI()*$A$28*$U$9*$B$8*C67/($B$14^2))^(3/2)*D67</f>
        <v>4769385.6733982554</v>
      </c>
      <c r="F67" s="60"/>
      <c r="G67" s="60"/>
      <c r="K67" s="166" t="s">
        <v>84</v>
      </c>
      <c r="L67" s="133">
        <f>$E$65</f>
        <v>2287702.2466950254</v>
      </c>
      <c r="M67" s="60"/>
      <c r="N67" s="60"/>
      <c r="O67" s="60"/>
      <c r="Q67" s="60"/>
      <c r="R67" s="60"/>
      <c r="S67" s="60"/>
      <c r="T67" s="60"/>
      <c r="U67" s="60"/>
      <c r="V67" s="60"/>
      <c r="W67" s="60"/>
      <c r="X67" s="60"/>
      <c r="Y67" s="60"/>
      <c r="Z67" s="60"/>
      <c r="AA67" s="60"/>
    </row>
    <row r="68" spans="2:27" ht="20" thickBot="1" x14ac:dyDescent="0.3">
      <c r="B68" s="60"/>
      <c r="C68" s="163">
        <f t="shared" ref="C68:C83" si="6">C67+100</f>
        <v>500</v>
      </c>
      <c r="D68" s="164">
        <f t="shared" si="4"/>
        <v>6.812978040957315E-26</v>
      </c>
      <c r="E68" s="165">
        <f t="shared" si="5"/>
        <v>8331773.8879938824</v>
      </c>
      <c r="F68" s="60"/>
      <c r="G68" s="60"/>
      <c r="K68" s="167" t="s">
        <v>85</v>
      </c>
      <c r="L68" s="151">
        <f>P33</f>
        <v>2288820</v>
      </c>
      <c r="M68" s="60"/>
      <c r="N68" s="60"/>
      <c r="O68" s="60"/>
      <c r="Q68" s="60"/>
      <c r="R68" s="60"/>
      <c r="S68" s="60"/>
      <c r="T68" s="60"/>
      <c r="U68" s="60"/>
      <c r="V68" s="60"/>
      <c r="W68" s="60"/>
      <c r="X68" s="60"/>
      <c r="Y68" s="60"/>
      <c r="Z68" s="60"/>
      <c r="AA68" s="60"/>
    </row>
    <row r="69" spans="2:27" ht="22" x14ac:dyDescent="0.3">
      <c r="B69" s="60"/>
      <c r="C69" s="163">
        <f t="shared" si="6"/>
        <v>600</v>
      </c>
      <c r="D69" s="164">
        <f t="shared" si="4"/>
        <v>8.1755736491487783E-26</v>
      </c>
      <c r="E69" s="165">
        <f t="shared" si="5"/>
        <v>13142881.447161743</v>
      </c>
      <c r="F69" s="60"/>
      <c r="G69" s="60"/>
      <c r="H69" s="60"/>
      <c r="I69" s="60"/>
      <c r="K69" s="168" t="s">
        <v>86</v>
      </c>
      <c r="L69" s="169">
        <f>ABS(L67-L68)/L67</f>
        <v>4.8859212626530674E-4</v>
      </c>
      <c r="M69" s="60"/>
      <c r="N69" s="60"/>
      <c r="O69" s="60"/>
      <c r="Q69" s="60"/>
      <c r="R69" s="60"/>
      <c r="S69" s="60"/>
      <c r="T69" s="60"/>
      <c r="U69" s="60"/>
      <c r="V69" s="60"/>
      <c r="W69" s="60"/>
      <c r="X69" s="60"/>
      <c r="Y69" s="60"/>
      <c r="Z69" s="60"/>
      <c r="AA69" s="60"/>
    </row>
    <row r="70" spans="2:27" ht="19" x14ac:dyDescent="0.25">
      <c r="B70" s="60"/>
      <c r="C70" s="163">
        <f t="shared" si="6"/>
        <v>700</v>
      </c>
      <c r="D70" s="164">
        <f t="shared" si="4"/>
        <v>9.5381692573402415E-26</v>
      </c>
      <c r="E70" s="165">
        <f t="shared" si="5"/>
        <v>19322244.10999826</v>
      </c>
      <c r="F70" s="60"/>
      <c r="G70" s="60"/>
      <c r="Q70" s="60"/>
      <c r="R70" s="60"/>
      <c r="S70" s="60"/>
      <c r="T70" s="60"/>
      <c r="U70" s="60"/>
      <c r="V70" s="60"/>
      <c r="W70" s="60"/>
      <c r="X70" s="60"/>
      <c r="Y70" s="60"/>
      <c r="Z70" s="60"/>
      <c r="AA70" s="60"/>
    </row>
    <row r="71" spans="2:27" ht="19" x14ac:dyDescent="0.25">
      <c r="B71" s="60"/>
      <c r="C71" s="163">
        <f t="shared" si="6"/>
        <v>800</v>
      </c>
      <c r="D71" s="164">
        <f t="shared" si="4"/>
        <v>1.0900764865531706E-25</v>
      </c>
      <c r="E71" s="165">
        <f t="shared" si="5"/>
        <v>26979719.61403108</v>
      </c>
      <c r="F71" s="60"/>
      <c r="G71" s="60"/>
      <c r="Q71" s="60"/>
      <c r="R71" s="60"/>
      <c r="S71" s="60"/>
      <c r="T71" s="60"/>
      <c r="U71" s="60"/>
      <c r="V71" s="60"/>
      <c r="W71" s="60"/>
      <c r="X71" s="60"/>
      <c r="Y71" s="60"/>
      <c r="Z71" s="60"/>
      <c r="AA71" s="60"/>
    </row>
    <row r="72" spans="2:27" ht="19" x14ac:dyDescent="0.25">
      <c r="B72" s="60"/>
      <c r="C72" s="163">
        <f t="shared" si="6"/>
        <v>900</v>
      </c>
      <c r="D72" s="164">
        <f t="shared" si="4"/>
        <v>1.2263360473723168E-25</v>
      </c>
      <c r="E72" s="165">
        <f t="shared" si="5"/>
        <v>36217522.457368061</v>
      </c>
      <c r="F72" s="60"/>
      <c r="G72" s="60"/>
      <c r="Q72" s="60"/>
      <c r="R72" s="60"/>
      <c r="S72" s="60"/>
      <c r="T72" s="60"/>
      <c r="U72" s="60"/>
      <c r="V72" s="60"/>
      <c r="W72" s="60"/>
      <c r="X72" s="60"/>
      <c r="Y72" s="60"/>
      <c r="Z72" s="60"/>
      <c r="AA72" s="60"/>
    </row>
    <row r="73" spans="2:27" ht="19" x14ac:dyDescent="0.25">
      <c r="C73" s="163">
        <f t="shared" si="6"/>
        <v>1000</v>
      </c>
      <c r="D73" s="164">
        <f t="shared" si="4"/>
        <v>1.362595608191463E-25</v>
      </c>
      <c r="E73" s="165">
        <f t="shared" si="5"/>
        <v>47131630.524107978</v>
      </c>
    </row>
    <row r="74" spans="2:27" ht="19" x14ac:dyDescent="0.25">
      <c r="C74" s="163">
        <f t="shared" si="6"/>
        <v>1100</v>
      </c>
      <c r="D74" s="164">
        <f t="shared" si="4"/>
        <v>1.4988551690106094E-25</v>
      </c>
      <c r="E74" s="165">
        <f t="shared" si="5"/>
        <v>59812806.058068268</v>
      </c>
    </row>
    <row r="75" spans="2:27" ht="19" x14ac:dyDescent="0.25">
      <c r="C75" s="163">
        <f t="shared" si="6"/>
        <v>1200</v>
      </c>
      <c r="D75" s="164">
        <f t="shared" si="4"/>
        <v>1.6351147298297557E-25</v>
      </c>
      <c r="E75" s="165">
        <f t="shared" si="5"/>
        <v>74347364.764951676</v>
      </c>
    </row>
    <row r="76" spans="2:27" ht="19" x14ac:dyDescent="0.25">
      <c r="C76" s="163">
        <f t="shared" si="6"/>
        <v>1300</v>
      </c>
      <c r="D76" s="164">
        <f t="shared" si="4"/>
        <v>1.7713742906489019E-25</v>
      </c>
      <c r="E76" s="165">
        <f t="shared" si="5"/>
        <v>90817772.407663122</v>
      </c>
    </row>
    <row r="77" spans="2:27" ht="19" x14ac:dyDescent="0.25">
      <c r="C77" s="163">
        <f t="shared" si="6"/>
        <v>1400</v>
      </c>
      <c r="D77" s="164">
        <f t="shared" si="4"/>
        <v>1.9076338514680483E-25</v>
      </c>
      <c r="E77" s="165">
        <f t="shared" si="5"/>
        <v>109303118.70337307</v>
      </c>
    </row>
    <row r="78" spans="2:27" ht="19" x14ac:dyDescent="0.25">
      <c r="C78" s="163">
        <f t="shared" si="6"/>
        <v>1500</v>
      </c>
      <c r="D78" s="164">
        <f t="shared" si="4"/>
        <v>2.043893412287195E-25</v>
      </c>
      <c r="E78" s="165">
        <f t="shared" si="5"/>
        <v>129879501.22062938</v>
      </c>
    </row>
    <row r="79" spans="2:27" ht="19" x14ac:dyDescent="0.25">
      <c r="C79" s="163">
        <f t="shared" si="6"/>
        <v>1600</v>
      </c>
      <c r="D79" s="164">
        <f t="shared" si="4"/>
        <v>2.1801529731063412E-25</v>
      </c>
      <c r="E79" s="165">
        <f t="shared" si="5"/>
        <v>152620341.54874289</v>
      </c>
    </row>
    <row r="80" spans="2:27" ht="19" x14ac:dyDescent="0.25">
      <c r="C80" s="163">
        <f t="shared" si="6"/>
        <v>1700</v>
      </c>
      <c r="D80" s="164">
        <f t="shared" si="4"/>
        <v>2.3164125339254876E-25</v>
      </c>
      <c r="E80" s="165">
        <f t="shared" si="5"/>
        <v>177596649.38470513</v>
      </c>
    </row>
    <row r="81" spans="3:26" ht="19" x14ac:dyDescent="0.25">
      <c r="C81" s="163">
        <f t="shared" si="6"/>
        <v>1800</v>
      </c>
      <c r="D81" s="164">
        <f t="shared" si="4"/>
        <v>2.4526720947446336E-25</v>
      </c>
      <c r="E81" s="165">
        <f t="shared" si="5"/>
        <v>204877245.81904879</v>
      </c>
    </row>
    <row r="82" spans="3:26" ht="19" x14ac:dyDescent="0.25">
      <c r="C82" s="163">
        <f t="shared" si="6"/>
        <v>1900</v>
      </c>
      <c r="D82" s="164">
        <f t="shared" si="4"/>
        <v>2.58893165556378E-25</v>
      </c>
      <c r="E82" s="165">
        <f t="shared" si="5"/>
        <v>234528954.14044046</v>
      </c>
    </row>
    <row r="83" spans="3:26" ht="20" thickBot="1" x14ac:dyDescent="0.3">
      <c r="C83" s="170">
        <f t="shared" si="6"/>
        <v>2000</v>
      </c>
      <c r="D83" s="171">
        <f t="shared" si="4"/>
        <v>2.725191216382926E-25</v>
      </c>
      <c r="E83" s="172">
        <f t="shared" si="5"/>
        <v>266616764.41580194</v>
      </c>
    </row>
    <row r="92" spans="3:26" ht="22" customHeight="1" x14ac:dyDescent="0.25">
      <c r="F92" s="60" t="s">
        <v>77</v>
      </c>
      <c r="Y92" s="60" t="s">
        <v>77</v>
      </c>
    </row>
    <row r="93" spans="3:26" ht="27" x14ac:dyDescent="0.35">
      <c r="C93" s="153" t="s">
        <v>87</v>
      </c>
      <c r="D93" s="173"/>
      <c r="E93" s="60"/>
      <c r="F93" s="60"/>
      <c r="G93" s="60"/>
      <c r="U93" s="356" t="s">
        <v>137</v>
      </c>
      <c r="V93" s="356"/>
      <c r="W93" s="356"/>
      <c r="X93" s="60"/>
      <c r="Y93" s="60"/>
      <c r="Z93" s="60"/>
    </row>
    <row r="94" spans="3:26" ht="19" x14ac:dyDescent="0.25">
      <c r="E94" s="60"/>
      <c r="G94" s="60"/>
      <c r="X94" s="60"/>
      <c r="Z94" s="60"/>
    </row>
    <row r="95" spans="3:26" ht="20" thickBot="1" x14ac:dyDescent="0.3">
      <c r="E95" s="60"/>
      <c r="F95" s="60"/>
      <c r="G95" s="60"/>
    </row>
    <row r="96" spans="3:26" ht="20" thickBot="1" x14ac:dyDescent="0.3">
      <c r="C96" s="174" t="s">
        <v>88</v>
      </c>
      <c r="E96" s="60"/>
      <c r="F96" s="60"/>
      <c r="G96" s="60"/>
    </row>
    <row r="97" spans="3:34" ht="22" thickBot="1" x14ac:dyDescent="0.3">
      <c r="C97" s="175" t="s">
        <v>89</v>
      </c>
      <c r="D97" s="176" cm="1">
        <f t="array" ref="D97">INDEX($E:$E,(COLUMN(D97)-4)*1+42)</f>
        <v>523.23199999999997</v>
      </c>
      <c r="E97" s="176" cm="1">
        <f t="array" ref="E97">INDEX($E:$E,(COLUMN(E97)-4)*1+42)</f>
        <v>1412.0119</v>
      </c>
      <c r="F97" s="176" cm="1">
        <f t="array" ref="F97">INDEX($E:$E,(COLUMN(F97)-4)*1+42)</f>
        <v>1412.0135</v>
      </c>
      <c r="G97" s="176" cm="1">
        <f t="array" ref="G97">INDEX($E:$E,(COLUMN(G97)-4)*1+42)</f>
        <v>3128.3355000000001</v>
      </c>
      <c r="H97" s="176" cm="1">
        <f t="array" ref="H97">INDEX($E:$E,(COLUMN(H97)-4)*1+42)</f>
        <v>3309.7406999999998</v>
      </c>
      <c r="I97" s="271" cm="1">
        <f t="array" ref="I97">INDEX($E:$E,(COLUMN(I97)-4)*1+42)</f>
        <v>3309.7417</v>
      </c>
      <c r="J97" s="60"/>
      <c r="K97" s="60"/>
      <c r="L97" s="60"/>
    </row>
    <row r="98" spans="3:34" ht="20" thickBot="1" x14ac:dyDescent="0.3">
      <c r="C98" s="177" t="s">
        <v>90</v>
      </c>
      <c r="D98" s="178">
        <f>D97*$L$9</f>
        <v>15686129097600</v>
      </c>
      <c r="E98" s="179">
        <f t="shared" ref="E98:I98" si="7">E97*$L$9</f>
        <v>42331128353670</v>
      </c>
      <c r="F98" s="179">
        <f t="shared" si="7"/>
        <v>42331176320550</v>
      </c>
      <c r="G98" s="179">
        <f t="shared" si="7"/>
        <v>93785308455150</v>
      </c>
      <c r="H98" s="179">
        <f t="shared" si="7"/>
        <v>99223709367510</v>
      </c>
      <c r="I98" s="180">
        <f t="shared" si="7"/>
        <v>99223739346810</v>
      </c>
      <c r="J98" s="162"/>
      <c r="K98" s="162"/>
      <c r="L98" s="162"/>
    </row>
    <row r="99" spans="3:34" ht="17" thickBot="1" x14ac:dyDescent="0.25"/>
    <row r="100" spans="3:34" ht="30" customHeight="1" thickBot="1" x14ac:dyDescent="0.5">
      <c r="C100" s="362" t="s">
        <v>91</v>
      </c>
      <c r="D100" s="369"/>
      <c r="E100" s="369"/>
      <c r="F100" s="369"/>
      <c r="G100" s="369"/>
      <c r="H100" s="369"/>
      <c r="I100" s="369"/>
      <c r="J100" s="181" t="s">
        <v>92</v>
      </c>
    </row>
    <row r="101" spans="3:34" ht="38" customHeight="1" thickBot="1" x14ac:dyDescent="0.35">
      <c r="C101" s="182" t="s">
        <v>93</v>
      </c>
      <c r="D101" s="183">
        <v>1</v>
      </c>
      <c r="E101" s="184">
        <f t="shared" ref="E101:I101" si="8">D101+1</f>
        <v>2</v>
      </c>
      <c r="F101" s="184">
        <f t="shared" si="8"/>
        <v>3</v>
      </c>
      <c r="G101" s="184">
        <f t="shared" si="8"/>
        <v>4</v>
      </c>
      <c r="H101" s="184">
        <f t="shared" si="8"/>
        <v>5</v>
      </c>
      <c r="I101" s="293">
        <f t="shared" si="8"/>
        <v>6</v>
      </c>
      <c r="J101" s="276"/>
      <c r="L101" s="157" t="s">
        <v>82</v>
      </c>
      <c r="M101" s="158"/>
      <c r="N101" s="158"/>
      <c r="O101" s="158"/>
      <c r="P101" s="158"/>
      <c r="Q101" s="60"/>
      <c r="U101" s="297" t="s">
        <v>79</v>
      </c>
      <c r="V101" s="294" t="s">
        <v>138</v>
      </c>
      <c r="W101" s="295" t="s">
        <v>139</v>
      </c>
      <c r="X101" s="295" t="s">
        <v>142</v>
      </c>
      <c r="Y101" s="295" t="s">
        <v>140</v>
      </c>
      <c r="Z101" s="296" t="s">
        <v>141</v>
      </c>
      <c r="AB101" s="357" t="s">
        <v>82</v>
      </c>
      <c r="AC101" s="357"/>
      <c r="AD101" s="357"/>
      <c r="AE101" s="357"/>
      <c r="AF101" s="357"/>
      <c r="AG101" s="357"/>
      <c r="AH101" s="357"/>
    </row>
    <row r="102" spans="3:34" ht="20" thickBot="1" x14ac:dyDescent="0.3">
      <c r="C102" s="187">
        <v>298.14999999999998</v>
      </c>
      <c r="D102" s="300">
        <f>EXP(-($B$14*D$98)/(2*$B$8*$C102))/(1-EXP(-($B$14*D$98)/($B$8*$C102)))</f>
        <v>0.30757777630209732</v>
      </c>
      <c r="E102" s="301">
        <f t="shared" ref="E102:I102" si="9">EXP(-($B$14*E$98)/(2*$B$8*$C102))/(1-EXP(-($B$14*E$98)/($B$8*$C102)))</f>
        <v>3.3178164520609038E-2</v>
      </c>
      <c r="F102" s="301">
        <f t="shared" si="9"/>
        <v>3.3178036153281153E-2</v>
      </c>
      <c r="G102" s="301">
        <f t="shared" si="9"/>
        <v>5.2706825450808984E-4</v>
      </c>
      <c r="H102" s="301">
        <f t="shared" si="9"/>
        <v>3.4023199426009562E-4</v>
      </c>
      <c r="I102" s="302">
        <f t="shared" si="9"/>
        <v>3.4023117333468756E-4</v>
      </c>
      <c r="J102" s="303">
        <f t="shared" ref="J102:J120" si="10" xml:space="preserve"> PRODUCT(D102:I102)</f>
        <v>2.0657325754966186E-14</v>
      </c>
      <c r="U102" s="187">
        <v>298.14999999999998</v>
      </c>
      <c r="V102" s="304">
        <f>$E65</f>
        <v>2287702.2466950254</v>
      </c>
      <c r="W102" s="305">
        <f>$J102</f>
        <v>2.0657325754966186E-14</v>
      </c>
      <c r="X102" s="306">
        <f>$E137</f>
        <v>42.429409643967936</v>
      </c>
      <c r="Y102" s="307">
        <f>$D175</f>
        <v>2</v>
      </c>
      <c r="Z102" s="235">
        <f>PRODUCT(V102:Y102)</f>
        <v>4.0102420045868308E-6</v>
      </c>
    </row>
    <row r="103" spans="3:34" ht="20" thickBot="1" x14ac:dyDescent="0.3">
      <c r="C103" s="192">
        <v>300</v>
      </c>
      <c r="D103" s="188">
        <f t="shared" ref="D103:I120" si="11">EXP(-($B$14*D$98)/(2*$B$8*$C103))/(1-EXP(-($B$14*D$98)/($B$8*$C103)))</f>
        <v>0.31040562136264838</v>
      </c>
      <c r="E103" s="189">
        <f t="shared" si="11"/>
        <v>3.3884197467189646E-2</v>
      </c>
      <c r="F103" s="189">
        <f t="shared" si="11"/>
        <v>3.3884067164357719E-2</v>
      </c>
      <c r="G103" s="189">
        <f t="shared" si="11"/>
        <v>5.5218172125156889E-4</v>
      </c>
      <c r="H103" s="189">
        <f t="shared" si="11"/>
        <v>3.5740657924014906E-4</v>
      </c>
      <c r="I103" s="190">
        <f t="shared" si="11"/>
        <v>3.5740572219310359E-4</v>
      </c>
      <c r="J103" s="196">
        <f t="shared" si="10"/>
        <v>2.5137864794907228E-14</v>
      </c>
      <c r="N103" s="155" t="s">
        <v>83</v>
      </c>
      <c r="U103" s="192">
        <v>300</v>
      </c>
      <c r="V103" s="308">
        <f t="shared" ref="V103:V120" si="12">$E66</f>
        <v>2323355.1489047599</v>
      </c>
      <c r="W103" s="60">
        <f t="shared" ref="W103:W120" si="13">$J103</f>
        <v>2.5137864794907228E-14</v>
      </c>
      <c r="X103" s="162">
        <f t="shared" ref="X103:X120" si="14">$E138</f>
        <v>42.824928905896343</v>
      </c>
      <c r="Y103" s="309">
        <f t="shared" ref="Y103:Y120" si="15">$D176</f>
        <v>2</v>
      </c>
      <c r="Z103" s="314">
        <f t="shared" ref="Z103:Z120" si="16">PRODUCT(V103:Y103)</f>
        <v>5.0023103638718323E-6</v>
      </c>
    </row>
    <row r="104" spans="3:34" ht="20" thickBot="1" x14ac:dyDescent="0.3">
      <c r="C104" s="197">
        <f>C103+100</f>
        <v>400</v>
      </c>
      <c r="D104" s="193">
        <f t="shared" si="11"/>
        <v>0.46032897726800404</v>
      </c>
      <c r="E104" s="194">
        <f t="shared" si="11"/>
        <v>7.9403051571150893E-2</v>
      </c>
      <c r="F104" s="194">
        <f t="shared" si="11"/>
        <v>7.9402820221566681E-2</v>
      </c>
      <c r="G104" s="194">
        <f t="shared" si="11"/>
        <v>3.6021936435863982E-3</v>
      </c>
      <c r="H104" s="194">
        <f t="shared" si="11"/>
        <v>2.599410087729247E-3</v>
      </c>
      <c r="I104" s="195">
        <f t="shared" si="11"/>
        <v>2.5994054127028133E-3</v>
      </c>
      <c r="J104" s="196">
        <f t="shared" si="10"/>
        <v>7.0641076667867683E-11</v>
      </c>
      <c r="M104" s="166" t="s">
        <v>84</v>
      </c>
      <c r="N104" s="133">
        <f>J102</f>
        <v>2.0657325754966186E-14</v>
      </c>
      <c r="U104" s="197">
        <f>U103+100</f>
        <v>400</v>
      </c>
      <c r="V104" s="308">
        <f t="shared" si="12"/>
        <v>4769385.6733982554</v>
      </c>
      <c r="W104" s="60">
        <f t="shared" si="13"/>
        <v>7.0641076667867683E-11</v>
      </c>
      <c r="X104" s="162">
        <f t="shared" si="14"/>
        <v>65.933291284922248</v>
      </c>
      <c r="Y104" s="309">
        <f t="shared" si="15"/>
        <v>2</v>
      </c>
      <c r="Z104" s="314">
        <f t="shared" si="16"/>
        <v>4.4427768877759413E-2</v>
      </c>
    </row>
    <row r="105" spans="3:34" ht="20" thickBot="1" x14ac:dyDescent="0.3">
      <c r="C105" s="197">
        <f t="shared" ref="C105:C120" si="17">C104+100</f>
        <v>500</v>
      </c>
      <c r="D105" s="193">
        <f t="shared" si="11"/>
        <v>0.60535318200596433</v>
      </c>
      <c r="E105" s="194">
        <f t="shared" si="11"/>
        <v>0.13342347596140325</v>
      </c>
      <c r="F105" s="194">
        <f t="shared" si="11"/>
        <v>0.13342315806748306</v>
      </c>
      <c r="G105" s="194">
        <f t="shared" si="11"/>
        <v>1.1099479943851579E-2</v>
      </c>
      <c r="H105" s="194">
        <f t="shared" si="11"/>
        <v>8.5492739083011388E-3</v>
      </c>
      <c r="I105" s="195">
        <f t="shared" si="11"/>
        <v>8.5492616060050784E-3</v>
      </c>
      <c r="J105" s="196">
        <f t="shared" si="10"/>
        <v>8.7424421121819519E-9</v>
      </c>
      <c r="M105" s="167" t="s">
        <v>85</v>
      </c>
      <c r="N105" s="151">
        <f>P37</f>
        <v>2.06586E-14</v>
      </c>
      <c r="U105" s="197">
        <f t="shared" ref="U105:U120" si="18">U104+100</f>
        <v>500</v>
      </c>
      <c r="V105" s="308">
        <f t="shared" si="12"/>
        <v>8331773.8879938824</v>
      </c>
      <c r="W105" s="60">
        <f t="shared" si="13"/>
        <v>8.7424421121819519E-9</v>
      </c>
      <c r="X105" s="162">
        <f t="shared" si="14"/>
        <v>92.144575808362916</v>
      </c>
      <c r="Y105" s="309">
        <f t="shared" si="15"/>
        <v>2</v>
      </c>
      <c r="Z105" s="314">
        <f t="shared" si="16"/>
        <v>13.423631185476241</v>
      </c>
      <c r="AE105" s="155" t="s">
        <v>83</v>
      </c>
      <c r="AF105" s="315" t="s">
        <v>143</v>
      </c>
    </row>
    <row r="106" spans="3:34" ht="22" x14ac:dyDescent="0.3">
      <c r="C106" s="197">
        <f t="shared" si="17"/>
        <v>600</v>
      </c>
      <c r="D106" s="193">
        <f t="shared" si="11"/>
        <v>0.74703477040958133</v>
      </c>
      <c r="E106" s="194">
        <f t="shared" si="11"/>
        <v>0.19041584372131193</v>
      </c>
      <c r="F106" s="194">
        <f t="shared" si="11"/>
        <v>0.19041545284076797</v>
      </c>
      <c r="G106" s="194">
        <f t="shared" si="11"/>
        <v>2.3511526264442882E-2</v>
      </c>
      <c r="H106" s="194">
        <f t="shared" si="11"/>
        <v>1.8911957843537899E-2</v>
      </c>
      <c r="I106" s="195">
        <f t="shared" si="11"/>
        <v>1.8911935152247025E-2</v>
      </c>
      <c r="J106" s="196">
        <f t="shared" si="10"/>
        <v>2.2777149447193282E-7</v>
      </c>
      <c r="M106" s="168" t="s">
        <v>86</v>
      </c>
      <c r="N106" s="169">
        <f>ABS(N104-N105)/N104</f>
        <v>6.1684898080650009E-5</v>
      </c>
      <c r="U106" s="197">
        <f t="shared" si="18"/>
        <v>600</v>
      </c>
      <c r="V106" s="308">
        <f t="shared" si="12"/>
        <v>13142881.447161743</v>
      </c>
      <c r="W106" s="60">
        <f t="shared" si="13"/>
        <v>2.2777149447193282E-7</v>
      </c>
      <c r="X106" s="162">
        <f t="shared" si="14"/>
        <v>121.1271905327643</v>
      </c>
      <c r="Y106" s="309">
        <f t="shared" si="15"/>
        <v>2</v>
      </c>
      <c r="Z106" s="314">
        <f t="shared" si="16"/>
        <v>725.20635571074808</v>
      </c>
      <c r="AD106" s="166" t="s">
        <v>84</v>
      </c>
      <c r="AE106" s="133">
        <f>Z102</f>
        <v>4.0102420045868308E-6</v>
      </c>
      <c r="AF106" s="270">
        <f>D137*V102*W102*Y102</f>
        <v>2.7049288477641326E-5</v>
      </c>
    </row>
    <row r="107" spans="3:34" ht="20" thickBot="1" x14ac:dyDescent="0.3">
      <c r="C107" s="197">
        <f t="shared" si="17"/>
        <v>700</v>
      </c>
      <c r="D107" s="193">
        <f t="shared" si="11"/>
        <v>0.88650019521462453</v>
      </c>
      <c r="E107" s="194">
        <f t="shared" si="11"/>
        <v>0.24791775204624167</v>
      </c>
      <c r="F107" s="194">
        <f t="shared" si="11"/>
        <v>0.24791729703068091</v>
      </c>
      <c r="G107" s="194">
        <f t="shared" si="11"/>
        <v>4.0220757585772954E-2</v>
      </c>
      <c r="H107" s="194">
        <f t="shared" si="11"/>
        <v>3.3363110199833276E-2</v>
      </c>
      <c r="I107" s="195">
        <f t="shared" si="11"/>
        <v>3.3363075836385828E-2</v>
      </c>
      <c r="J107" s="196">
        <f t="shared" si="10"/>
        <v>2.4393614058812149E-6</v>
      </c>
      <c r="U107" s="197">
        <f t="shared" si="18"/>
        <v>700</v>
      </c>
      <c r="V107" s="308">
        <f t="shared" si="12"/>
        <v>19322244.10999826</v>
      </c>
      <c r="W107" s="60">
        <f t="shared" si="13"/>
        <v>2.4393614058812149E-6</v>
      </c>
      <c r="X107" s="162">
        <f t="shared" si="14"/>
        <v>152.63770537740064</v>
      </c>
      <c r="Y107" s="309">
        <f t="shared" si="15"/>
        <v>2</v>
      </c>
      <c r="Z107" s="314">
        <f t="shared" si="16"/>
        <v>14388.831842912245</v>
      </c>
      <c r="AD107" s="167" t="s">
        <v>85</v>
      </c>
      <c r="AE107" s="151">
        <f>$P35</f>
        <v>4.0124400000000002E-6</v>
      </c>
      <c r="AF107" s="151">
        <f>$P35</f>
        <v>4.0124400000000002E-6</v>
      </c>
    </row>
    <row r="108" spans="3:34" ht="22" x14ac:dyDescent="0.3">
      <c r="C108" s="197">
        <f t="shared" si="17"/>
        <v>800</v>
      </c>
      <c r="D108" s="193">
        <f t="shared" si="11"/>
        <v>1.024459003243253</v>
      </c>
      <c r="E108" s="194">
        <f t="shared" si="11"/>
        <v>0.30497172693058067</v>
      </c>
      <c r="F108" s="194">
        <f t="shared" si="11"/>
        <v>0.30497121296402746</v>
      </c>
      <c r="G108" s="194">
        <f t="shared" si="11"/>
        <v>6.0234863020902543E-2</v>
      </c>
      <c r="H108" s="194">
        <f t="shared" si="11"/>
        <v>5.1117111432267527E-2</v>
      </c>
      <c r="I108" s="195">
        <f t="shared" si="11"/>
        <v>5.1117065226337979E-2</v>
      </c>
      <c r="J108" s="196">
        <f t="shared" si="10"/>
        <v>1.4996611913377841E-5</v>
      </c>
      <c r="U108" s="197">
        <f t="shared" si="18"/>
        <v>800</v>
      </c>
      <c r="V108" s="308">
        <f t="shared" si="12"/>
        <v>26979719.61403108</v>
      </c>
      <c r="W108" s="60">
        <f t="shared" si="13"/>
        <v>1.4996611913377841E-5</v>
      </c>
      <c r="X108" s="162">
        <f t="shared" si="14"/>
        <v>186.48750949406551</v>
      </c>
      <c r="Y108" s="309">
        <f t="shared" si="15"/>
        <v>2</v>
      </c>
      <c r="Z108" s="314">
        <f t="shared" si="16"/>
        <v>150907.32802266433</v>
      </c>
      <c r="AD108" s="168" t="s">
        <v>86</v>
      </c>
      <c r="AE108" s="169">
        <f>ABS(AE106-AE107)/AE106</f>
        <v>5.4809545425320858E-4</v>
      </c>
      <c r="AF108" s="169">
        <f>ABS(AF106-AF107)/AF106</f>
        <v>0.85166190218583215</v>
      </c>
    </row>
    <row r="109" spans="3:34" ht="19" x14ac:dyDescent="0.25">
      <c r="C109" s="197">
        <f t="shared" si="17"/>
        <v>900</v>
      </c>
      <c r="D109" s="193">
        <f t="shared" si="11"/>
        <v>1.1613591740004017</v>
      </c>
      <c r="E109" s="194">
        <f t="shared" si="11"/>
        <v>0.36126990112542018</v>
      </c>
      <c r="F109" s="194">
        <f t="shared" si="11"/>
        <v>0.36126933110685494</v>
      </c>
      <c r="G109" s="194">
        <f t="shared" si="11"/>
        <v>8.2596234236533256E-2</v>
      </c>
      <c r="H109" s="194">
        <f t="shared" si="11"/>
        <v>7.1325842390890737E-2</v>
      </c>
      <c r="I109" s="195">
        <f t="shared" si="11"/>
        <v>7.1325784801499995E-2</v>
      </c>
      <c r="J109" s="196">
        <f t="shared" si="10"/>
        <v>6.3691744736215036E-5</v>
      </c>
      <c r="U109" s="197">
        <f t="shared" si="18"/>
        <v>900</v>
      </c>
      <c r="V109" s="308">
        <f t="shared" si="12"/>
        <v>36217522.457368061</v>
      </c>
      <c r="W109" s="60">
        <f t="shared" si="13"/>
        <v>6.3691744736215036E-5</v>
      </c>
      <c r="X109" s="162">
        <f t="shared" si="14"/>
        <v>222.52485808661254</v>
      </c>
      <c r="Y109" s="309">
        <f t="shared" si="15"/>
        <v>2</v>
      </c>
      <c r="Z109" s="314">
        <f t="shared" si="16"/>
        <v>1026621.6350634171</v>
      </c>
    </row>
    <row r="110" spans="3:34" ht="19" x14ac:dyDescent="0.25">
      <c r="C110" s="197">
        <f t="shared" si="17"/>
        <v>1000</v>
      </c>
      <c r="D110" s="193">
        <f t="shared" si="11"/>
        <v>1.2974917521655294</v>
      </c>
      <c r="E110" s="194">
        <f t="shared" si="11"/>
        <v>0.41676828616063771</v>
      </c>
      <c r="F110" s="194">
        <f t="shared" si="11"/>
        <v>0.41676766165688989</v>
      </c>
      <c r="G110" s="194">
        <f t="shared" si="11"/>
        <v>0.10652986151596702</v>
      </c>
      <c r="H110" s="194">
        <f t="shared" si="11"/>
        <v>9.3256118941289601E-2</v>
      </c>
      <c r="I110" s="195">
        <f t="shared" si="11"/>
        <v>9.3256050696987003E-2</v>
      </c>
      <c r="J110" s="196">
        <f t="shared" si="10"/>
        <v>2.0879447506750608E-4</v>
      </c>
      <c r="U110" s="197">
        <f t="shared" si="18"/>
        <v>1000</v>
      </c>
      <c r="V110" s="308">
        <f t="shared" si="12"/>
        <v>47131630.524107978</v>
      </c>
      <c r="W110" s="60">
        <f t="shared" si="13"/>
        <v>2.0879447506750608E-4</v>
      </c>
      <c r="X110" s="162">
        <f t="shared" si="14"/>
        <v>260.62421761460507</v>
      </c>
      <c r="Y110" s="309">
        <f t="shared" si="15"/>
        <v>2</v>
      </c>
      <c r="Z110" s="314">
        <f t="shared" si="16"/>
        <v>5129514.1396994386</v>
      </c>
    </row>
    <row r="111" spans="3:34" ht="19" x14ac:dyDescent="0.25">
      <c r="C111" s="197">
        <f t="shared" si="17"/>
        <v>1100</v>
      </c>
      <c r="D111" s="193">
        <f t="shared" si="11"/>
        <v>1.4330520823883979</v>
      </c>
      <c r="E111" s="194">
        <f t="shared" si="11"/>
        <v>0.47152206828245485</v>
      </c>
      <c r="F111" s="194">
        <f t="shared" si="11"/>
        <v>0.47152139009958854</v>
      </c>
      <c r="G111" s="194">
        <f t="shared" si="11"/>
        <v>0.13146037660557011</v>
      </c>
      <c r="H111" s="194">
        <f t="shared" si="11"/>
        <v>0.11633632699292247</v>
      </c>
      <c r="I111" s="195">
        <f t="shared" si="11"/>
        <v>0.11633624887786936</v>
      </c>
      <c r="J111" s="196">
        <f t="shared" si="10"/>
        <v>5.6687939747857897E-4</v>
      </c>
      <c r="U111" s="197">
        <f t="shared" si="18"/>
        <v>1100</v>
      </c>
      <c r="V111" s="308">
        <f t="shared" si="12"/>
        <v>59812806.058068268</v>
      </c>
      <c r="W111" s="60">
        <f t="shared" si="13"/>
        <v>5.6687939747857897E-4</v>
      </c>
      <c r="X111" s="162">
        <f t="shared" si="14"/>
        <v>300.67948402978277</v>
      </c>
      <c r="Y111" s="309">
        <f t="shared" si="15"/>
        <v>2</v>
      </c>
      <c r="Z111" s="314">
        <f t="shared" si="16"/>
        <v>20390066.526725184</v>
      </c>
    </row>
    <row r="112" spans="3:34" ht="19" x14ac:dyDescent="0.25">
      <c r="C112" s="197">
        <f t="shared" si="17"/>
        <v>1200</v>
      </c>
      <c r="D112" s="193">
        <f t="shared" si="11"/>
        <v>1.5681753826799796</v>
      </c>
      <c r="E112" s="194">
        <f t="shared" si="11"/>
        <v>0.5256169267443187</v>
      </c>
      <c r="F112" s="194">
        <f t="shared" si="11"/>
        <v>0.5256161952566557</v>
      </c>
      <c r="G112" s="194">
        <f t="shared" si="11"/>
        <v>0.15698117596271571</v>
      </c>
      <c r="H112" s="194">
        <f t="shared" si="11"/>
        <v>0.14014565812187924</v>
      </c>
      <c r="I112" s="195">
        <f t="shared" si="11"/>
        <v>0.14014557086798007</v>
      </c>
      <c r="J112" s="196">
        <f t="shared" si="10"/>
        <v>1.3357934673447827E-3</v>
      </c>
      <c r="U112" s="197">
        <f t="shared" si="18"/>
        <v>1200</v>
      </c>
      <c r="V112" s="308">
        <f t="shared" si="12"/>
        <v>74347364.764951676</v>
      </c>
      <c r="W112" s="60">
        <f t="shared" si="13"/>
        <v>1.3357934673447827E-3</v>
      </c>
      <c r="X112" s="162">
        <f t="shared" si="14"/>
        <v>342.5994312471708</v>
      </c>
      <c r="Y112" s="309">
        <f t="shared" si="15"/>
        <v>2</v>
      </c>
      <c r="Z112" s="314">
        <f t="shared" si="16"/>
        <v>68048965.630663425</v>
      </c>
    </row>
    <row r="113" spans="2:26" ht="19" x14ac:dyDescent="0.25">
      <c r="C113" s="197">
        <f t="shared" si="17"/>
        <v>1300</v>
      </c>
      <c r="D113" s="193">
        <f t="shared" si="11"/>
        <v>1.7029578837432222</v>
      </c>
      <c r="E113" s="194">
        <f t="shared" si="11"/>
        <v>0.57914131852622019</v>
      </c>
      <c r="F113" s="194">
        <f t="shared" si="11"/>
        <v>0.57914053386428022</v>
      </c>
      <c r="G113" s="194">
        <f t="shared" si="11"/>
        <v>0.18281395990450972</v>
      </c>
      <c r="H113" s="194">
        <f t="shared" si="11"/>
        <v>0.16438518263675633</v>
      </c>
      <c r="I113" s="195">
        <f t="shared" si="11"/>
        <v>0.16438508687976994</v>
      </c>
      <c r="J113" s="196">
        <f t="shared" si="10"/>
        <v>2.8216741537356615E-3</v>
      </c>
      <c r="U113" s="197">
        <f t="shared" si="18"/>
        <v>1300</v>
      </c>
      <c r="V113" s="308">
        <f t="shared" si="12"/>
        <v>90817772.407663122</v>
      </c>
      <c r="W113" s="60">
        <f t="shared" si="13"/>
        <v>2.8216741537356615E-3</v>
      </c>
      <c r="X113" s="162">
        <f t="shared" si="14"/>
        <v>386.30452654282112</v>
      </c>
      <c r="Y113" s="309">
        <f t="shared" si="15"/>
        <v>2</v>
      </c>
      <c r="Z113" s="314">
        <f t="shared" si="16"/>
        <v>197987375.19490969</v>
      </c>
    </row>
    <row r="114" spans="2:26" ht="19" x14ac:dyDescent="0.25">
      <c r="C114" s="197">
        <f t="shared" si="17"/>
        <v>1400</v>
      </c>
      <c r="D114" s="193">
        <f t="shared" si="11"/>
        <v>1.8374697720129913</v>
      </c>
      <c r="E114" s="194">
        <f t="shared" si="11"/>
        <v>0.63217617072526455</v>
      </c>
      <c r="F114" s="194">
        <f t="shared" si="11"/>
        <v>0.63217533288350047</v>
      </c>
      <c r="G114" s="194">
        <f t="shared" si="11"/>
        <v>0.20877283688746318</v>
      </c>
      <c r="H114" s="194">
        <f t="shared" si="11"/>
        <v>0.18884780835075549</v>
      </c>
      <c r="I114" s="195">
        <f t="shared" si="11"/>
        <v>0.18884770462062334</v>
      </c>
      <c r="J114" s="196">
        <f t="shared" si="10"/>
        <v>5.4675595625860015E-3</v>
      </c>
      <c r="U114" s="197">
        <f t="shared" si="18"/>
        <v>1400</v>
      </c>
      <c r="V114" s="308">
        <f t="shared" si="12"/>
        <v>109303118.70337307</v>
      </c>
      <c r="W114" s="60">
        <f t="shared" si="13"/>
        <v>5.4675595625860015E-3</v>
      </c>
      <c r="X114" s="162">
        <f t="shared" si="14"/>
        <v>431.72462614845784</v>
      </c>
      <c r="Y114" s="309">
        <f t="shared" si="15"/>
        <v>2</v>
      </c>
      <c r="Z114" s="314">
        <f t="shared" si="16"/>
        <v>516015674.90561867</v>
      </c>
    </row>
    <row r="115" spans="2:26" ht="19" x14ac:dyDescent="0.25">
      <c r="C115" s="197">
        <f t="shared" si="17"/>
        <v>1500</v>
      </c>
      <c r="D115" s="193">
        <f t="shared" si="11"/>
        <v>1.9717633583061112</v>
      </c>
      <c r="E115" s="194">
        <f t="shared" si="11"/>
        <v>0.68479189080454006</v>
      </c>
      <c r="F115" s="194">
        <f t="shared" si="11"/>
        <v>0.68479099970350388</v>
      </c>
      <c r="G115" s="194">
        <f t="shared" si="11"/>
        <v>0.23473647448611565</v>
      </c>
      <c r="H115" s="194">
        <f t="shared" si="11"/>
        <v>0.21339301588229886</v>
      </c>
      <c r="I115" s="195">
        <f t="shared" si="11"/>
        <v>0.21339290460970498</v>
      </c>
      <c r="J115" s="196">
        <f t="shared" si="10"/>
        <v>9.8835325792586068E-3</v>
      </c>
      <c r="U115" s="197">
        <f t="shared" si="18"/>
        <v>1500</v>
      </c>
      <c r="V115" s="308">
        <f t="shared" si="12"/>
        <v>129879501.22062938</v>
      </c>
      <c r="W115" s="60">
        <f t="shared" si="13"/>
        <v>9.8835325792586068E-3</v>
      </c>
      <c r="X115" s="162">
        <f t="shared" si="14"/>
        <v>478.79726082589985</v>
      </c>
      <c r="Y115" s="309">
        <f t="shared" si="15"/>
        <v>2</v>
      </c>
      <c r="Z115" s="314">
        <f t="shared" si="16"/>
        <v>1229233714.166389</v>
      </c>
    </row>
    <row r="116" spans="2:26" ht="19" x14ac:dyDescent="0.25">
      <c r="C116" s="197">
        <f t="shared" si="17"/>
        <v>1600</v>
      </c>
      <c r="D116" s="193">
        <f t="shared" si="11"/>
        <v>2.1058783826322927</v>
      </c>
      <c r="E116" s="194">
        <f t="shared" si="11"/>
        <v>0.73704834352527437</v>
      </c>
      <c r="F116" s="194">
        <f t="shared" si="11"/>
        <v>0.73704739904768102</v>
      </c>
      <c r="G116" s="194">
        <f t="shared" si="11"/>
        <v>0.26062781685626307</v>
      </c>
      <c r="H116" s="194">
        <f t="shared" si="11"/>
        <v>0.23792744492798029</v>
      </c>
      <c r="I116" s="195">
        <f t="shared" si="11"/>
        <v>0.23792732645727036</v>
      </c>
      <c r="J116" s="196">
        <f t="shared" si="10"/>
        <v>1.6878517969501031E-2</v>
      </c>
      <c r="U116" s="197">
        <f t="shared" si="18"/>
        <v>1600</v>
      </c>
      <c r="V116" s="308">
        <f t="shared" si="12"/>
        <v>152620341.54874289</v>
      </c>
      <c r="W116" s="60">
        <f t="shared" si="13"/>
        <v>1.6878517969501031E-2</v>
      </c>
      <c r="X116" s="162">
        <f t="shared" si="14"/>
        <v>527.4663302793781</v>
      </c>
      <c r="Y116" s="309">
        <f t="shared" si="15"/>
        <v>2</v>
      </c>
      <c r="Z116" s="314">
        <f t="shared" si="16"/>
        <v>2717511995.3463597</v>
      </c>
    </row>
    <row r="117" spans="2:26" ht="19" x14ac:dyDescent="0.25">
      <c r="C117" s="197">
        <f t="shared" si="17"/>
        <v>1700</v>
      </c>
      <c r="D117" s="193">
        <f t="shared" si="11"/>
        <v>2.2398455505722339</v>
      </c>
      <c r="E117" s="194">
        <f t="shared" si="11"/>
        <v>0.78899591575760197</v>
      </c>
      <c r="F117" s="194">
        <f t="shared" si="11"/>
        <v>0.78899491776926622</v>
      </c>
      <c r="G117" s="194">
        <f t="shared" si="11"/>
        <v>0.28639979829422452</v>
      </c>
      <c r="H117" s="194">
        <f t="shared" si="11"/>
        <v>0.26239065405840589</v>
      </c>
      <c r="I117" s="195">
        <f t="shared" si="11"/>
        <v>0.26239052866187412</v>
      </c>
      <c r="J117" s="196">
        <f t="shared" si="10"/>
        <v>2.7493894235235981E-2</v>
      </c>
      <c r="U117" s="197">
        <f t="shared" si="18"/>
        <v>1700</v>
      </c>
      <c r="V117" s="308">
        <f t="shared" si="12"/>
        <v>177596649.38470513</v>
      </c>
      <c r="W117" s="60">
        <f t="shared" si="13"/>
        <v>2.7493894235235981E-2</v>
      </c>
      <c r="X117" s="162">
        <f t="shared" si="14"/>
        <v>577.68108895124567</v>
      </c>
      <c r="Y117" s="309">
        <f t="shared" si="15"/>
        <v>2</v>
      </c>
      <c r="Z117" s="314">
        <f t="shared" si="16"/>
        <v>5641429587.1678038</v>
      </c>
    </row>
    <row r="118" spans="2:26" ht="19" x14ac:dyDescent="0.25">
      <c r="C118" s="197">
        <f t="shared" si="17"/>
        <v>1800</v>
      </c>
      <c r="D118" s="193">
        <f t="shared" si="11"/>
        <v>2.3736889473862188</v>
      </c>
      <c r="E118" s="194">
        <f t="shared" si="11"/>
        <v>0.84067686955962262</v>
      </c>
      <c r="F118" s="194">
        <f t="shared" si="11"/>
        <v>0.84067581792154189</v>
      </c>
      <c r="G118" s="194">
        <f t="shared" si="11"/>
        <v>0.31202546480699073</v>
      </c>
      <c r="H118" s="194">
        <f t="shared" si="11"/>
        <v>0.28674494202079426</v>
      </c>
      <c r="I118" s="195">
        <f t="shared" si="11"/>
        <v>0.2867448099120567</v>
      </c>
      <c r="J118" s="196">
        <f t="shared" si="10"/>
        <v>4.3039065377585645E-2</v>
      </c>
      <c r="U118" s="197">
        <f t="shared" si="18"/>
        <v>1800</v>
      </c>
      <c r="V118" s="308">
        <f t="shared" si="12"/>
        <v>204877245.81904879</v>
      </c>
      <c r="W118" s="60">
        <f t="shared" si="13"/>
        <v>4.3039065377585645E-2</v>
      </c>
      <c r="X118" s="162">
        <f t="shared" si="14"/>
        <v>629.39534454247212</v>
      </c>
      <c r="Y118" s="309">
        <f t="shared" si="15"/>
        <v>2</v>
      </c>
      <c r="Z118" s="314">
        <f t="shared" si="16"/>
        <v>11099670351.951281</v>
      </c>
    </row>
    <row r="119" spans="2:26" ht="19" x14ac:dyDescent="0.25">
      <c r="C119" s="197">
        <f t="shared" si="17"/>
        <v>1900</v>
      </c>
      <c r="D119" s="193">
        <f t="shared" si="11"/>
        <v>2.5074277217432548</v>
      </c>
      <c r="E119" s="194">
        <f t="shared" si="11"/>
        <v>0.89212665886021902</v>
      </c>
      <c r="F119" s="194">
        <f t="shared" si="11"/>
        <v>0.892125553435416</v>
      </c>
      <c r="G119" s="194">
        <f t="shared" si="11"/>
        <v>0.33749121476663524</v>
      </c>
      <c r="H119" s="194">
        <f t="shared" si="11"/>
        <v>0.31096817956225592</v>
      </c>
      <c r="I119" s="195">
        <f t="shared" si="11"/>
        <v>0.31096804090784697</v>
      </c>
      <c r="J119" s="196">
        <f t="shared" si="10"/>
        <v>6.512910356533802E-2</v>
      </c>
      <c r="U119" s="197">
        <f t="shared" si="18"/>
        <v>1900</v>
      </c>
      <c r="V119" s="308">
        <f t="shared" si="12"/>
        <v>234528954.14044046</v>
      </c>
      <c r="W119" s="60">
        <f t="shared" si="13"/>
        <v>6.512910356533802E-2</v>
      </c>
      <c r="X119" s="162">
        <f t="shared" si="14"/>
        <v>682.56681509926716</v>
      </c>
      <c r="Y119" s="309">
        <f t="shared" si="15"/>
        <v>2</v>
      </c>
      <c r="Z119" s="314">
        <f t="shared" si="16"/>
        <v>20851952797.502457</v>
      </c>
    </row>
    <row r="120" spans="2:26" ht="20" thickBot="1" x14ac:dyDescent="0.3">
      <c r="C120" s="198">
        <f t="shared" si="17"/>
        <v>2000</v>
      </c>
      <c r="D120" s="193">
        <f t="shared" si="11"/>
        <v>2.6410772830387717</v>
      </c>
      <c r="E120" s="194">
        <f t="shared" si="11"/>
        <v>0.9433750935623133</v>
      </c>
      <c r="F120" s="194">
        <f t="shared" si="11"/>
        <v>0.94337393421956561</v>
      </c>
      <c r="G120" s="194">
        <f t="shared" si="11"/>
        <v>0.36279220198832307</v>
      </c>
      <c r="H120" s="194">
        <f t="shared" si="11"/>
        <v>0.33504880508539359</v>
      </c>
      <c r="I120" s="195">
        <f t="shared" si="11"/>
        <v>0.33504866001441269</v>
      </c>
      <c r="J120" s="199">
        <f t="shared" si="10"/>
        <v>9.5724540535711222E-2</v>
      </c>
      <c r="U120" s="198">
        <f t="shared" si="18"/>
        <v>2000</v>
      </c>
      <c r="V120" s="310">
        <f t="shared" si="12"/>
        <v>266616764.41580194</v>
      </c>
      <c r="W120" s="311">
        <f t="shared" si="13"/>
        <v>9.5724540535711222E-2</v>
      </c>
      <c r="X120" s="312">
        <f t="shared" si="14"/>
        <v>737.1566064669023</v>
      </c>
      <c r="Y120" s="313">
        <f t="shared" si="15"/>
        <v>2</v>
      </c>
      <c r="Z120" s="318">
        <f t="shared" si="16"/>
        <v>37627078707.740967</v>
      </c>
    </row>
    <row r="127" spans="2:26" ht="19" x14ac:dyDescent="0.25">
      <c r="B127" s="60"/>
      <c r="C127" s="60"/>
      <c r="D127" s="60"/>
      <c r="E127" s="60"/>
      <c r="F127" s="60" t="s">
        <v>77</v>
      </c>
      <c r="G127" s="60"/>
      <c r="H127" s="60"/>
      <c r="I127" s="60"/>
      <c r="J127" s="60"/>
      <c r="K127" s="60"/>
      <c r="L127" s="60"/>
      <c r="M127" s="60"/>
      <c r="N127" s="60"/>
      <c r="O127" s="60"/>
    </row>
    <row r="128" spans="2:26" ht="27" x14ac:dyDescent="0.35">
      <c r="B128" s="60"/>
      <c r="C128" s="153" t="s">
        <v>94</v>
      </c>
      <c r="D128" s="154"/>
      <c r="E128" s="60"/>
      <c r="F128" s="60"/>
      <c r="G128" s="60"/>
      <c r="H128" s="60"/>
      <c r="I128" s="60"/>
      <c r="J128" s="60"/>
      <c r="K128" s="60"/>
      <c r="L128" s="60"/>
      <c r="M128" s="60"/>
      <c r="N128" s="60"/>
      <c r="O128" s="60"/>
    </row>
    <row r="129" spans="2:15" ht="20" thickBot="1" x14ac:dyDescent="0.3">
      <c r="B129" s="60"/>
      <c r="C129" s="60"/>
      <c r="D129" s="60"/>
      <c r="E129" s="60"/>
      <c r="F129" s="60"/>
      <c r="G129" s="60"/>
      <c r="H129" s="60"/>
      <c r="I129" s="60"/>
      <c r="J129" s="60"/>
      <c r="K129" s="60"/>
      <c r="L129" s="60"/>
      <c r="M129" s="60"/>
      <c r="N129" s="60"/>
      <c r="O129" s="60"/>
    </row>
    <row r="130" spans="2:15" ht="20" thickBot="1" x14ac:dyDescent="0.3">
      <c r="B130" s="60"/>
      <c r="C130" s="61" t="s">
        <v>34</v>
      </c>
      <c r="D130" s="62"/>
      <c r="E130" s="62"/>
      <c r="F130" s="63"/>
      <c r="G130" s="60"/>
      <c r="H130" s="60"/>
      <c r="I130" s="60"/>
      <c r="J130" s="60"/>
      <c r="K130" s="60"/>
      <c r="L130" s="60"/>
      <c r="M130" s="60"/>
      <c r="N130" s="60"/>
      <c r="O130" s="60"/>
    </row>
    <row r="131" spans="2:15" ht="20" thickBot="1" x14ac:dyDescent="0.3">
      <c r="B131" s="60"/>
      <c r="C131" s="66"/>
      <c r="D131" s="67" t="s">
        <v>37</v>
      </c>
      <c r="E131" s="68" t="s">
        <v>38</v>
      </c>
      <c r="F131" s="69" t="s">
        <v>39</v>
      </c>
      <c r="G131" s="60"/>
      <c r="H131" s="60"/>
      <c r="I131" s="60"/>
      <c r="J131" s="60"/>
      <c r="K131" s="60"/>
      <c r="L131" s="60"/>
      <c r="M131" s="60"/>
      <c r="N131" s="60"/>
      <c r="O131" s="60"/>
    </row>
    <row r="132" spans="2:15" ht="22" thickBot="1" x14ac:dyDescent="0.3">
      <c r="B132" s="60"/>
      <c r="C132" s="200" t="s">
        <v>95</v>
      </c>
      <c r="D132" s="94">
        <f>D24*($Q$8)^2</f>
        <v>1.0497341999999999E-46</v>
      </c>
      <c r="E132" s="94">
        <f t="shared" ref="E132:F132" si="19">E24*($Q$8)^2</f>
        <v>1.0497341999999999E-46</v>
      </c>
      <c r="F132" s="94">
        <f t="shared" si="19"/>
        <v>2.0994683999999998E-46</v>
      </c>
      <c r="G132" s="60"/>
      <c r="H132" s="60"/>
      <c r="I132" s="60"/>
      <c r="J132" s="60"/>
      <c r="K132" s="60"/>
      <c r="L132" s="60"/>
      <c r="M132" s="60"/>
      <c r="N132" s="60"/>
      <c r="O132" s="60"/>
    </row>
    <row r="133" spans="2:15" ht="19" x14ac:dyDescent="0.25">
      <c r="B133" s="60"/>
      <c r="C133" s="60"/>
      <c r="D133" s="60"/>
      <c r="E133" s="60"/>
      <c r="F133" s="60"/>
      <c r="G133" s="60"/>
      <c r="H133" s="60"/>
      <c r="I133" s="60"/>
      <c r="J133" s="60"/>
      <c r="K133" s="60"/>
      <c r="L133" s="60"/>
      <c r="M133" s="60"/>
      <c r="N133" s="60"/>
      <c r="O133" s="60"/>
    </row>
    <row r="134" spans="2:15" ht="19" x14ac:dyDescent="0.25">
      <c r="B134" s="60"/>
      <c r="C134" s="60"/>
      <c r="D134" s="60"/>
      <c r="E134" s="60"/>
      <c r="F134" s="60"/>
      <c r="G134" s="60"/>
      <c r="H134" s="60"/>
      <c r="I134" s="60"/>
      <c r="J134" s="60"/>
      <c r="K134" s="60"/>
      <c r="L134" s="60"/>
      <c r="M134" s="60"/>
      <c r="N134" s="60"/>
      <c r="O134" s="60"/>
    </row>
    <row r="135" spans="2:15" ht="20" thickBot="1" x14ac:dyDescent="0.3">
      <c r="B135" s="60"/>
      <c r="C135" s="60"/>
      <c r="D135" s="60"/>
      <c r="E135" s="60"/>
      <c r="F135" s="60"/>
      <c r="G135" s="60"/>
      <c r="H135" s="60"/>
      <c r="I135" s="60"/>
      <c r="J135" s="60"/>
      <c r="K135" s="60"/>
      <c r="L135" s="60"/>
      <c r="M135" s="60"/>
      <c r="N135" s="60"/>
      <c r="O135" s="60"/>
    </row>
    <row r="136" spans="2:15" ht="23" thickBot="1" x14ac:dyDescent="0.35">
      <c r="B136" s="60"/>
      <c r="C136" s="201" t="s">
        <v>79</v>
      </c>
      <c r="D136" s="155" t="s">
        <v>135</v>
      </c>
      <c r="E136" s="155" t="s">
        <v>136</v>
      </c>
      <c r="F136" s="60"/>
      <c r="G136" s="60"/>
      <c r="H136" s="157" t="s">
        <v>82</v>
      </c>
      <c r="I136" s="158"/>
      <c r="J136" s="158"/>
      <c r="K136" s="158"/>
      <c r="L136" s="158"/>
      <c r="M136" s="158"/>
      <c r="N136" s="158"/>
      <c r="O136" s="60"/>
    </row>
    <row r="137" spans="2:15" ht="20" thickBot="1" x14ac:dyDescent="0.3">
      <c r="B137" s="60"/>
      <c r="C137" s="159">
        <v>298.14999999999998</v>
      </c>
      <c r="D137" s="161">
        <f t="shared" ref="D137:D155" si="20">(8*PI()^2*(2*PI()*$B$8*C137)^(3/2)*SQRT($D$132*$E$132*$F$132))/($H$139*$B$14^3)</f>
        <v>286.18854924042171</v>
      </c>
      <c r="E137" s="161">
        <f>(SQRT(PI())/$A$31)*((C137^1.5)/SQRT($C$29*$D$29*$E$29))</f>
        <v>42.429409643967936</v>
      </c>
      <c r="F137" s="162"/>
      <c r="G137" s="60"/>
      <c r="H137" s="60"/>
      <c r="I137" s="60"/>
      <c r="J137" s="60"/>
      <c r="K137" s="60"/>
      <c r="L137" s="60"/>
      <c r="M137" s="60"/>
      <c r="N137" s="60"/>
      <c r="O137" s="60"/>
    </row>
    <row r="138" spans="2:15" ht="20" thickBot="1" x14ac:dyDescent="0.3">
      <c r="B138" s="60"/>
      <c r="C138" s="159">
        <v>300</v>
      </c>
      <c r="D138" s="161">
        <f t="shared" si="20"/>
        <v>288.85634699480477</v>
      </c>
      <c r="E138" s="161">
        <f>(SQRT(PI())/$A$31)*((C138^1.5)/SQRT($C$29*$D$29*$E$29))</f>
        <v>42.824928905896343</v>
      </c>
      <c r="F138" s="60"/>
      <c r="G138" s="60"/>
      <c r="L138" s="155" t="s">
        <v>133</v>
      </c>
      <c r="M138" s="155" t="s">
        <v>134</v>
      </c>
      <c r="N138" s="60"/>
      <c r="O138" s="60"/>
    </row>
    <row r="139" spans="2:15" ht="20" thickBot="1" x14ac:dyDescent="0.3">
      <c r="B139" s="60"/>
      <c r="C139" s="163">
        <f>C138+100</f>
        <v>400</v>
      </c>
      <c r="D139" s="165">
        <f t="shared" si="20"/>
        <v>444.72343918555737</v>
      </c>
      <c r="E139" s="165">
        <f t="shared" ref="E139:E155" si="21">(SQRT(PI())/$A$31)*((C139^1.5)/SQRT($C$29*$D$29*$E$29))</f>
        <v>65.933291284922248</v>
      </c>
      <c r="F139" s="60"/>
      <c r="G139" s="101" t="s">
        <v>100</v>
      </c>
      <c r="H139" s="107">
        <v>6</v>
      </c>
      <c r="K139" s="166" t="s">
        <v>84</v>
      </c>
      <c r="L139" s="133">
        <f>$D$137</f>
        <v>286.18854924042171</v>
      </c>
      <c r="M139" s="270">
        <f>$E$137</f>
        <v>42.429409643967936</v>
      </c>
      <c r="N139" s="60"/>
      <c r="O139" s="60"/>
    </row>
    <row r="140" spans="2:15" ht="20" thickBot="1" x14ac:dyDescent="0.3">
      <c r="B140" s="60"/>
      <c r="C140" s="163">
        <f t="shared" ref="C140:C155" si="22">C139+100</f>
        <v>500</v>
      </c>
      <c r="D140" s="165">
        <f t="shared" si="20"/>
        <v>621.51990075399465</v>
      </c>
      <c r="E140" s="165">
        <f t="shared" si="21"/>
        <v>92.144575808362916</v>
      </c>
      <c r="F140" s="60"/>
      <c r="G140" s="60"/>
      <c r="K140" s="167" t="s">
        <v>85</v>
      </c>
      <c r="L140" s="151">
        <f>P34</f>
        <v>42.429400000000001</v>
      </c>
      <c r="M140" s="151">
        <f>L140</f>
        <v>42.429400000000001</v>
      </c>
      <c r="N140" s="60"/>
      <c r="O140" s="60"/>
    </row>
    <row r="141" spans="2:15" ht="22" x14ac:dyDescent="0.3">
      <c r="B141" s="60"/>
      <c r="C141" s="163">
        <f t="shared" si="22"/>
        <v>600</v>
      </c>
      <c r="D141" s="165">
        <f t="shared" si="20"/>
        <v>817.00912699520575</v>
      </c>
      <c r="E141" s="165">
        <f t="shared" si="21"/>
        <v>121.1271905327643</v>
      </c>
      <c r="F141" s="60"/>
      <c r="G141" s="60"/>
      <c r="H141" s="60"/>
      <c r="I141" s="60"/>
      <c r="K141" s="168" t="s">
        <v>86</v>
      </c>
      <c r="L141" s="169">
        <f>ABS(L139-L140)/L139</f>
        <v>0.85174319478325522</v>
      </c>
      <c r="M141" s="169">
        <f>ABS(M139-M140)/M139</f>
        <v>2.2729441715712543E-7</v>
      </c>
      <c r="N141" s="60"/>
      <c r="O141" s="60"/>
    </row>
    <row r="142" spans="2:15" ht="19" x14ac:dyDescent="0.25">
      <c r="B142" s="60"/>
      <c r="C142" s="163">
        <f t="shared" si="22"/>
        <v>700</v>
      </c>
      <c r="D142" s="165">
        <f t="shared" si="20"/>
        <v>1029.549169500543</v>
      </c>
      <c r="E142" s="165">
        <f t="shared" si="21"/>
        <v>152.63770537740064</v>
      </c>
      <c r="F142" s="60"/>
      <c r="G142" s="60"/>
    </row>
    <row r="143" spans="2:15" ht="19" x14ac:dyDescent="0.25">
      <c r="B143" s="60"/>
      <c r="C143" s="163">
        <f t="shared" si="22"/>
        <v>800</v>
      </c>
      <c r="D143" s="165">
        <f t="shared" si="20"/>
        <v>1257.867838402829</v>
      </c>
      <c r="E143" s="165">
        <f t="shared" si="21"/>
        <v>186.48750949406551</v>
      </c>
      <c r="F143" s="60"/>
      <c r="G143" s="60"/>
    </row>
    <row r="144" spans="2:15" ht="19" x14ac:dyDescent="0.25">
      <c r="B144" s="60"/>
      <c r="C144" s="163">
        <f t="shared" si="22"/>
        <v>900</v>
      </c>
      <c r="D144" s="165">
        <f t="shared" si="20"/>
        <v>1500.941607251237</v>
      </c>
      <c r="E144" s="165">
        <f t="shared" si="21"/>
        <v>222.52485808661254</v>
      </c>
      <c r="F144" s="60"/>
      <c r="G144" s="60"/>
    </row>
    <row r="145" spans="3:5" ht="19" x14ac:dyDescent="0.25">
      <c r="C145" s="163">
        <f t="shared" si="22"/>
        <v>1000</v>
      </c>
      <c r="D145" s="165">
        <f t="shared" si="20"/>
        <v>1757.9237458621387</v>
      </c>
      <c r="E145" s="165">
        <f t="shared" si="21"/>
        <v>260.62421761460507</v>
      </c>
    </row>
    <row r="146" spans="3:5" ht="19" x14ac:dyDescent="0.25">
      <c r="C146" s="163">
        <f t="shared" si="22"/>
        <v>1100</v>
      </c>
      <c r="D146" s="165">
        <f t="shared" si="20"/>
        <v>2028.0985769755036</v>
      </c>
      <c r="E146" s="165">
        <f t="shared" si="21"/>
        <v>300.67948402978277</v>
      </c>
    </row>
    <row r="147" spans="3:5" ht="19" x14ac:dyDescent="0.25">
      <c r="C147" s="163">
        <f t="shared" si="22"/>
        <v>1200</v>
      </c>
      <c r="D147" s="165">
        <f t="shared" si="20"/>
        <v>2310.8507759584513</v>
      </c>
      <c r="E147" s="165">
        <f t="shared" si="21"/>
        <v>342.5994312471708</v>
      </c>
    </row>
    <row r="148" spans="3:5" ht="19" x14ac:dyDescent="0.25">
      <c r="C148" s="163">
        <f t="shared" si="22"/>
        <v>1300</v>
      </c>
      <c r="D148" s="165">
        <f t="shared" si="20"/>
        <v>2605.6438904993106</v>
      </c>
      <c r="E148" s="165">
        <f t="shared" si="21"/>
        <v>386.30452654282112</v>
      </c>
    </row>
    <row r="149" spans="3:5" ht="19" x14ac:dyDescent="0.25">
      <c r="C149" s="163">
        <f t="shared" si="22"/>
        <v>1400</v>
      </c>
      <c r="D149" s="165">
        <f t="shared" si="20"/>
        <v>2912.0047972752568</v>
      </c>
      <c r="E149" s="165">
        <f t="shared" si="21"/>
        <v>431.72462614845784</v>
      </c>
    </row>
    <row r="150" spans="3:5" ht="19" x14ac:dyDescent="0.25">
      <c r="C150" s="163">
        <f t="shared" si="22"/>
        <v>1500</v>
      </c>
      <c r="D150" s="165">
        <f t="shared" si="20"/>
        <v>3229.5121380632436</v>
      </c>
      <c r="E150" s="165">
        <f t="shared" si="21"/>
        <v>478.79726082589985</v>
      </c>
    </row>
    <row r="151" spans="3:5" ht="19" x14ac:dyDescent="0.25">
      <c r="C151" s="163">
        <f t="shared" si="22"/>
        <v>1600</v>
      </c>
      <c r="D151" s="165">
        <f t="shared" si="20"/>
        <v>3557.7875134844289</v>
      </c>
      <c r="E151" s="165">
        <f t="shared" si="21"/>
        <v>527.4663302793781</v>
      </c>
    </row>
    <row r="152" spans="3:5" ht="19" x14ac:dyDescent="0.25">
      <c r="C152" s="163">
        <f t="shared" si="22"/>
        <v>1700</v>
      </c>
      <c r="D152" s="165">
        <f t="shared" si="20"/>
        <v>3896.4886421437554</v>
      </c>
      <c r="E152" s="165">
        <f t="shared" si="21"/>
        <v>577.68108895124567</v>
      </c>
    </row>
    <row r="153" spans="3:5" ht="19" x14ac:dyDescent="0.25">
      <c r="C153" s="163">
        <f t="shared" si="22"/>
        <v>1800</v>
      </c>
      <c r="D153" s="165">
        <f t="shared" si="20"/>
        <v>4245.3039546095542</v>
      </c>
      <c r="E153" s="165">
        <f t="shared" si="21"/>
        <v>629.39534454247212</v>
      </c>
    </row>
    <row r="154" spans="3:5" ht="19" x14ac:dyDescent="0.25">
      <c r="C154" s="163">
        <f t="shared" si="22"/>
        <v>1900</v>
      </c>
      <c r="D154" s="165">
        <f t="shared" si="20"/>
        <v>4603.9482569300089</v>
      </c>
      <c r="E154" s="165">
        <f t="shared" si="21"/>
        <v>682.56681509926716</v>
      </c>
    </row>
    <row r="155" spans="3:5" ht="20" thickBot="1" x14ac:dyDescent="0.3">
      <c r="C155" s="170">
        <f t="shared" si="22"/>
        <v>2000</v>
      </c>
      <c r="D155" s="172">
        <f t="shared" si="20"/>
        <v>4972.1592060319144</v>
      </c>
      <c r="E155" s="172">
        <f t="shared" si="21"/>
        <v>737.1566064669023</v>
      </c>
    </row>
    <row r="162" spans="2:16" ht="19" x14ac:dyDescent="0.25">
      <c r="B162" s="60"/>
      <c r="C162" s="60"/>
      <c r="D162" s="60"/>
      <c r="E162" s="60"/>
      <c r="F162" s="60"/>
      <c r="G162" s="60"/>
      <c r="H162" s="60"/>
      <c r="I162" s="60"/>
      <c r="J162" s="60"/>
      <c r="K162" s="60"/>
      <c r="L162" s="60"/>
      <c r="M162" s="60"/>
      <c r="N162" s="60"/>
      <c r="O162" s="60"/>
      <c r="P162" s="60"/>
    </row>
    <row r="163" spans="2:16" ht="19" x14ac:dyDescent="0.25">
      <c r="B163" s="60"/>
      <c r="C163" s="60"/>
      <c r="D163" s="60"/>
      <c r="E163" s="60"/>
      <c r="F163" s="60" t="s">
        <v>77</v>
      </c>
      <c r="G163" s="60"/>
      <c r="H163" s="60"/>
      <c r="I163" s="60"/>
      <c r="J163" s="60"/>
      <c r="K163" s="60"/>
      <c r="L163" s="60"/>
      <c r="M163" s="60"/>
      <c r="N163" s="60"/>
      <c r="O163" s="60"/>
    </row>
    <row r="164" spans="2:16" ht="27" x14ac:dyDescent="0.35">
      <c r="B164" s="60"/>
      <c r="C164" s="153" t="s">
        <v>101</v>
      </c>
      <c r="D164" s="154"/>
      <c r="E164" s="60"/>
      <c r="F164" s="60"/>
      <c r="G164" s="60"/>
      <c r="H164" s="60"/>
      <c r="I164" s="60"/>
      <c r="J164" s="60"/>
      <c r="K164" s="60"/>
      <c r="L164" s="60"/>
      <c r="M164" s="60"/>
      <c r="N164" s="60"/>
      <c r="O164" s="60"/>
    </row>
    <row r="165" spans="2:16" ht="19" x14ac:dyDescent="0.25">
      <c r="B165" s="60"/>
      <c r="C165" s="60"/>
      <c r="D165" s="60"/>
      <c r="E165" s="60"/>
      <c r="F165" s="60"/>
      <c r="G165" s="60"/>
      <c r="H165" s="60"/>
      <c r="I165" s="60"/>
      <c r="J165" s="60"/>
      <c r="K165" s="60"/>
      <c r="L165" s="60"/>
      <c r="M165" s="60"/>
      <c r="N165" s="60"/>
      <c r="O165" s="60"/>
    </row>
    <row r="166" spans="2:16" ht="20" thickBot="1" x14ac:dyDescent="0.3">
      <c r="B166" s="60"/>
      <c r="C166" s="141" t="s">
        <v>102</v>
      </c>
      <c r="F166" s="60"/>
      <c r="G166" s="60"/>
      <c r="H166" s="60"/>
      <c r="I166" s="60"/>
      <c r="J166" s="60"/>
      <c r="K166" s="60"/>
      <c r="L166" s="60"/>
      <c r="M166" s="60"/>
      <c r="N166" s="60"/>
      <c r="O166" s="60"/>
    </row>
    <row r="167" spans="2:16" ht="20" thickBot="1" x14ac:dyDescent="0.3">
      <c r="B167" s="60"/>
      <c r="C167" s="186"/>
      <c r="D167" s="142">
        <v>1</v>
      </c>
      <c r="E167" s="143">
        <f>D167+1</f>
        <v>2</v>
      </c>
      <c r="F167" s="144" t="s">
        <v>103</v>
      </c>
      <c r="G167" s="60"/>
      <c r="H167" s="60"/>
      <c r="I167" s="60"/>
      <c r="J167" s="60"/>
      <c r="K167" s="60"/>
      <c r="L167" s="60"/>
      <c r="M167" s="60"/>
      <c r="N167" s="60"/>
      <c r="O167" s="60"/>
    </row>
    <row r="168" spans="2:16" ht="20" thickBot="1" x14ac:dyDescent="0.3">
      <c r="B168" s="60"/>
      <c r="C168" s="203" t="s">
        <v>104</v>
      </c>
      <c r="D168" s="204">
        <f>J$46</f>
        <v>-39.847228332</v>
      </c>
      <c r="E168" s="204">
        <f t="shared" ref="E168:F168" si="23">K$46</f>
        <v>-39.847334412499997</v>
      </c>
      <c r="F168" s="204">
        <f t="shared" si="23"/>
        <v>-39.847334412499997</v>
      </c>
      <c r="G168" s="60"/>
      <c r="H168" s="60"/>
      <c r="I168" s="60"/>
      <c r="J168" s="60"/>
      <c r="K168" s="60"/>
      <c r="L168" s="60"/>
      <c r="M168" s="60"/>
      <c r="N168" s="60"/>
      <c r="O168" s="60"/>
    </row>
    <row r="169" spans="2:16" ht="20" thickBot="1" x14ac:dyDescent="0.3">
      <c r="B169" s="60"/>
      <c r="C169" s="205" t="s">
        <v>105</v>
      </c>
      <c r="D169" s="206">
        <f>D168*$K$7</f>
        <v>-1.7373391552751999E-16</v>
      </c>
      <c r="E169" s="206">
        <f t="shared" ref="E169:F169" si="24">E168*$K$7</f>
        <v>-1.7373437803849999E-16</v>
      </c>
      <c r="F169" s="206">
        <f t="shared" si="24"/>
        <v>-1.7373437803849999E-16</v>
      </c>
      <c r="G169" s="60"/>
      <c r="H169" s="60"/>
      <c r="I169" s="60"/>
      <c r="J169" s="60"/>
      <c r="K169" s="60"/>
      <c r="L169" s="60"/>
      <c r="M169" s="60"/>
      <c r="N169" s="60"/>
      <c r="O169" s="60"/>
    </row>
    <row r="170" spans="2:16" ht="20" thickBot="1" x14ac:dyDescent="0.3">
      <c r="B170" s="60"/>
      <c r="D170" s="60"/>
      <c r="E170" s="60"/>
      <c r="F170" s="60"/>
      <c r="G170" s="60"/>
      <c r="H170" s="60"/>
      <c r="I170" s="60"/>
      <c r="J170" s="60"/>
      <c r="K170" s="60"/>
      <c r="L170" s="60"/>
      <c r="M170" s="60"/>
      <c r="N170" s="60"/>
      <c r="O170" s="60"/>
    </row>
    <row r="171" spans="2:16" ht="22" thickBot="1" x14ac:dyDescent="0.35">
      <c r="B171" s="60"/>
      <c r="C171" s="207" t="s">
        <v>106</v>
      </c>
      <c r="D171" s="60"/>
      <c r="E171" s="60"/>
      <c r="F171" s="60"/>
      <c r="G171" s="60"/>
      <c r="H171" s="60"/>
      <c r="I171" s="60"/>
      <c r="J171" s="60"/>
      <c r="K171" s="60"/>
      <c r="L171" s="60"/>
      <c r="M171" s="60"/>
      <c r="N171" s="60"/>
      <c r="O171" s="60"/>
    </row>
    <row r="172" spans="2:16" ht="23" thickBot="1" x14ac:dyDescent="0.35">
      <c r="B172" s="60"/>
      <c r="C172" s="208">
        <f>F169+L23</f>
        <v>-1.7360430615849999E-16</v>
      </c>
      <c r="F172" s="60"/>
      <c r="G172" s="60"/>
      <c r="H172" s="157" t="s">
        <v>82</v>
      </c>
      <c r="I172" s="158"/>
      <c r="J172" s="158"/>
      <c r="K172" s="158"/>
      <c r="L172" s="158"/>
      <c r="M172" s="158"/>
      <c r="N172" s="60"/>
      <c r="O172" s="60"/>
    </row>
    <row r="173" spans="2:16" ht="20" thickBot="1" x14ac:dyDescent="0.3">
      <c r="B173" s="60"/>
      <c r="F173" s="162"/>
      <c r="G173" s="60"/>
      <c r="H173" s="60"/>
      <c r="I173" s="60"/>
      <c r="J173" s="60"/>
      <c r="K173" s="60"/>
      <c r="L173" s="60"/>
      <c r="M173" s="60"/>
      <c r="N173" s="60"/>
      <c r="O173" s="60"/>
    </row>
    <row r="174" spans="2:16" ht="22" thickBot="1" x14ac:dyDescent="0.3">
      <c r="B174" s="60"/>
      <c r="C174" s="201" t="s">
        <v>79</v>
      </c>
      <c r="D174" s="209" t="s">
        <v>107</v>
      </c>
      <c r="F174" s="60"/>
      <c r="G174" s="60"/>
      <c r="L174" s="155" t="s">
        <v>83</v>
      </c>
      <c r="M174" s="60"/>
      <c r="N174" s="60"/>
      <c r="O174" s="60"/>
    </row>
    <row r="175" spans="2:16" ht="20" thickBot="1" x14ac:dyDescent="0.3">
      <c r="B175" s="60"/>
      <c r="C175" s="159">
        <v>298.14999999999998</v>
      </c>
      <c r="D175" s="161">
        <f>2</f>
        <v>2</v>
      </c>
      <c r="F175" s="60"/>
      <c r="G175" s="60"/>
      <c r="K175" s="166" t="s">
        <v>84</v>
      </c>
      <c r="L175" s="133">
        <f>2</f>
        <v>2</v>
      </c>
      <c r="M175" s="60"/>
      <c r="N175" s="60"/>
      <c r="O175" s="60"/>
    </row>
    <row r="176" spans="2:16" ht="20" thickBot="1" x14ac:dyDescent="0.3">
      <c r="B176" s="60"/>
      <c r="C176" s="159">
        <v>300</v>
      </c>
      <c r="D176" s="161">
        <f>2</f>
        <v>2</v>
      </c>
      <c r="F176" s="60"/>
      <c r="G176" s="60"/>
      <c r="K176" s="167" t="s">
        <v>85</v>
      </c>
      <c r="L176" s="151">
        <f>P32</f>
        <v>2</v>
      </c>
      <c r="M176" s="60"/>
      <c r="N176" s="60"/>
      <c r="O176" s="60"/>
    </row>
    <row r="177" spans="2:15" ht="22" x14ac:dyDescent="0.3">
      <c r="B177" s="60"/>
      <c r="C177" s="163">
        <f>C176+100</f>
        <v>400</v>
      </c>
      <c r="D177" s="165">
        <f>2</f>
        <v>2</v>
      </c>
      <c r="F177" s="60"/>
      <c r="G177" s="60"/>
      <c r="H177" s="60"/>
      <c r="I177" s="60"/>
      <c r="K177" s="168" t="s">
        <v>86</v>
      </c>
      <c r="L177" s="169">
        <f>ABS(L175-L176)/L175</f>
        <v>0</v>
      </c>
      <c r="M177" s="60"/>
      <c r="N177" s="60"/>
      <c r="O177" s="60"/>
    </row>
    <row r="178" spans="2:15" ht="19" x14ac:dyDescent="0.25">
      <c r="B178" s="60"/>
      <c r="C178" s="163">
        <f t="shared" ref="C178:C193" si="25">C177+100</f>
        <v>500</v>
      </c>
      <c r="D178" s="165">
        <f>2</f>
        <v>2</v>
      </c>
      <c r="F178" s="60"/>
      <c r="G178" s="60"/>
    </row>
    <row r="179" spans="2:15" ht="19" x14ac:dyDescent="0.25">
      <c r="B179" s="60"/>
      <c r="C179" s="163">
        <f t="shared" si="25"/>
        <v>600</v>
      </c>
      <c r="D179" s="165">
        <f>2</f>
        <v>2</v>
      </c>
      <c r="F179" s="60"/>
      <c r="G179" s="60"/>
    </row>
    <row r="180" spans="2:15" ht="19" x14ac:dyDescent="0.25">
      <c r="B180" s="60"/>
      <c r="C180" s="163">
        <f t="shared" si="25"/>
        <v>700</v>
      </c>
      <c r="D180" s="165">
        <f>2</f>
        <v>2</v>
      </c>
      <c r="F180" s="60"/>
      <c r="G180" s="60"/>
    </row>
    <row r="181" spans="2:15" ht="19" x14ac:dyDescent="0.25">
      <c r="C181" s="163">
        <f t="shared" si="25"/>
        <v>800</v>
      </c>
      <c r="D181" s="165">
        <f>2</f>
        <v>2</v>
      </c>
    </row>
    <row r="182" spans="2:15" ht="19" x14ac:dyDescent="0.25">
      <c r="C182" s="163">
        <f t="shared" si="25"/>
        <v>900</v>
      </c>
      <c r="D182" s="165">
        <f>2</f>
        <v>2</v>
      </c>
    </row>
    <row r="183" spans="2:15" ht="19" x14ac:dyDescent="0.25">
      <c r="C183" s="163">
        <f t="shared" si="25"/>
        <v>1000</v>
      </c>
      <c r="D183" s="165">
        <f>2</f>
        <v>2</v>
      </c>
    </row>
    <row r="184" spans="2:15" ht="19" x14ac:dyDescent="0.25">
      <c r="C184" s="163">
        <f t="shared" si="25"/>
        <v>1100</v>
      </c>
      <c r="D184" s="165">
        <f>2</f>
        <v>2</v>
      </c>
    </row>
    <row r="185" spans="2:15" ht="19" x14ac:dyDescent="0.25">
      <c r="C185" s="163">
        <f t="shared" si="25"/>
        <v>1200</v>
      </c>
      <c r="D185" s="165">
        <f>2</f>
        <v>2</v>
      </c>
    </row>
    <row r="186" spans="2:15" ht="19" x14ac:dyDescent="0.25">
      <c r="C186" s="163">
        <f t="shared" si="25"/>
        <v>1300</v>
      </c>
      <c r="D186" s="165">
        <f>2</f>
        <v>2</v>
      </c>
    </row>
    <row r="187" spans="2:15" ht="19" x14ac:dyDescent="0.25">
      <c r="C187" s="163">
        <f t="shared" si="25"/>
        <v>1400</v>
      </c>
      <c r="D187" s="165">
        <f>2</f>
        <v>2</v>
      </c>
    </row>
    <row r="188" spans="2:15" ht="19" x14ac:dyDescent="0.25">
      <c r="C188" s="163">
        <f t="shared" si="25"/>
        <v>1500</v>
      </c>
      <c r="D188" s="165">
        <f>2</f>
        <v>2</v>
      </c>
    </row>
    <row r="189" spans="2:15" ht="19" x14ac:dyDescent="0.25">
      <c r="C189" s="163">
        <f t="shared" si="25"/>
        <v>1600</v>
      </c>
      <c r="D189" s="165">
        <f>2</f>
        <v>2</v>
      </c>
    </row>
    <row r="190" spans="2:15" ht="19" x14ac:dyDescent="0.25">
      <c r="C190" s="163">
        <f t="shared" si="25"/>
        <v>1700</v>
      </c>
      <c r="D190" s="165">
        <f>2</f>
        <v>2</v>
      </c>
    </row>
    <row r="191" spans="2:15" ht="19" x14ac:dyDescent="0.25">
      <c r="C191" s="163">
        <f t="shared" si="25"/>
        <v>1800</v>
      </c>
      <c r="D191" s="165">
        <f>2</f>
        <v>2</v>
      </c>
    </row>
    <row r="192" spans="2:15" ht="19" x14ac:dyDescent="0.25">
      <c r="C192" s="163">
        <f t="shared" si="25"/>
        <v>1900</v>
      </c>
      <c r="D192" s="165">
        <f>2</f>
        <v>2</v>
      </c>
    </row>
    <row r="193" spans="3:11" ht="20" thickBot="1" x14ac:dyDescent="0.3">
      <c r="C193" s="170">
        <f t="shared" si="25"/>
        <v>2000</v>
      </c>
      <c r="D193" s="172">
        <f>2</f>
        <v>2</v>
      </c>
    </row>
    <row r="197" spans="3:11" ht="17" thickBot="1" x14ac:dyDescent="0.25"/>
    <row r="198" spans="3:11" ht="20" thickBot="1" x14ac:dyDescent="0.3">
      <c r="E198" s="60"/>
      <c r="F198" s="60" t="s">
        <v>77</v>
      </c>
      <c r="G198" s="60"/>
      <c r="H198" s="350" t="s">
        <v>108</v>
      </c>
      <c r="I198" s="351"/>
      <c r="J198" s="351"/>
      <c r="K198" s="352"/>
    </row>
    <row r="199" spans="3:11" ht="28" thickBot="1" x14ac:dyDescent="0.4">
      <c r="C199" s="153" t="s">
        <v>109</v>
      </c>
      <c r="D199" s="154"/>
      <c r="E199" s="60"/>
      <c r="F199" s="60"/>
      <c r="G199" s="60"/>
      <c r="H199" s="210" t="s">
        <v>110</v>
      </c>
      <c r="I199" s="210" t="s">
        <v>111</v>
      </c>
      <c r="J199" s="210" t="s">
        <v>112</v>
      </c>
      <c r="K199" s="210" t="s">
        <v>113</v>
      </c>
    </row>
    <row r="202" spans="3:11" ht="17" thickBot="1" x14ac:dyDescent="0.25"/>
    <row r="203" spans="3:11" ht="20" thickBot="1" x14ac:dyDescent="0.25">
      <c r="D203" s="354" t="s">
        <v>114</v>
      </c>
      <c r="E203" s="355"/>
    </row>
    <row r="204" spans="3:11" ht="20" thickBot="1" x14ac:dyDescent="0.3">
      <c r="D204" s="177" t="s">
        <v>115</v>
      </c>
      <c r="E204" s="211" t="s">
        <v>116</v>
      </c>
    </row>
    <row r="205" spans="3:11" ht="19" x14ac:dyDescent="0.25">
      <c r="C205" s="86" t="s">
        <v>45</v>
      </c>
      <c r="D205" s="212">
        <f>$Q23</f>
        <v>7.3639999999999999</v>
      </c>
      <c r="E205" s="133">
        <f>D205*4.184</f>
        <v>30.810976</v>
      </c>
    </row>
    <row r="206" spans="3:11" ht="19" x14ac:dyDescent="0.25">
      <c r="C206" s="92" t="s">
        <v>48</v>
      </c>
      <c r="D206" s="212">
        <f t="shared" ref="D206:D209" si="26">$Q24</f>
        <v>0</v>
      </c>
      <c r="E206" s="139">
        <f t="shared" ref="E206:E209" si="27">D206*4.184</f>
        <v>0</v>
      </c>
    </row>
    <row r="207" spans="3:11" ht="19" x14ac:dyDescent="0.25">
      <c r="C207" s="92" t="s">
        <v>50</v>
      </c>
      <c r="D207" s="212">
        <f t="shared" si="26"/>
        <v>2.9809999999999999</v>
      </c>
      <c r="E207" s="139">
        <f t="shared" si="27"/>
        <v>12.472504000000001</v>
      </c>
    </row>
    <row r="208" spans="3:11" ht="19" x14ac:dyDescent="0.25">
      <c r="C208" s="92" t="s">
        <v>52</v>
      </c>
      <c r="D208" s="212">
        <f t="shared" si="26"/>
        <v>2.9809999999999999</v>
      </c>
      <c r="E208" s="139">
        <f t="shared" si="27"/>
        <v>12.472504000000001</v>
      </c>
    </row>
    <row r="209" spans="3:16" ht="20" thickBot="1" x14ac:dyDescent="0.3">
      <c r="C209" s="97" t="s">
        <v>55</v>
      </c>
      <c r="D209" s="212">
        <f t="shared" si="26"/>
        <v>1.4019999999999999</v>
      </c>
      <c r="E209" s="139">
        <f t="shared" si="27"/>
        <v>5.8659679999999996</v>
      </c>
      <c r="K209">
        <f>COLUMN(E205)</f>
        <v>5</v>
      </c>
    </row>
    <row r="210" spans="3:16" ht="24" customHeight="1" x14ac:dyDescent="0.2"/>
    <row r="211" spans="3:16" ht="17" thickBot="1" x14ac:dyDescent="0.25"/>
    <row r="212" spans="3:16" ht="23" thickBot="1" x14ac:dyDescent="0.35">
      <c r="D212" s="358" t="s">
        <v>116</v>
      </c>
      <c r="E212" s="359"/>
      <c r="F212" s="359"/>
      <c r="G212" s="359"/>
      <c r="H212" s="360"/>
      <c r="J212" s="157" t="s">
        <v>82</v>
      </c>
      <c r="K212" s="158"/>
      <c r="L212" s="158"/>
      <c r="M212" s="158"/>
      <c r="N212" s="158"/>
      <c r="O212" s="158"/>
      <c r="P212" s="60"/>
    </row>
    <row r="213" spans="3:16" ht="20" thickBot="1" x14ac:dyDescent="0.3">
      <c r="C213" s="201" t="s">
        <v>79</v>
      </c>
      <c r="D213" s="213" t="s">
        <v>117</v>
      </c>
      <c r="E213" s="214" t="s">
        <v>118</v>
      </c>
      <c r="F213" s="214" t="s">
        <v>119</v>
      </c>
      <c r="G213" s="215" t="s">
        <v>120</v>
      </c>
      <c r="H213" s="207" t="s">
        <v>121</v>
      </c>
      <c r="J213" s="60"/>
      <c r="K213" s="60"/>
      <c r="L213" s="60"/>
      <c r="M213" s="60"/>
      <c r="N213" s="60"/>
      <c r="O213" s="60"/>
      <c r="P213" s="60"/>
    </row>
    <row r="214" spans="3:16" ht="20" thickBot="1" x14ac:dyDescent="0.3">
      <c r="C214" s="187">
        <v>298.14999999999998</v>
      </c>
      <c r="D214" s="216">
        <f>3*$B$7/2</f>
        <v>12.471599999999999</v>
      </c>
      <c r="E214" s="217" cm="1">
        <f t="array" ref="E214">$B$7*SUM(($D$42:$D$47*$D$42:$D$47)*EXP($D$42:$D$47/$C214)/($C214^2*(EXP($D$42:$D$47/$C214)-1)^2))</f>
        <v>5.8656635366491301</v>
      </c>
      <c r="F214" s="218">
        <f>3*$B$7/2</f>
        <v>12.471599999999999</v>
      </c>
      <c r="G214" s="218">
        <v>0</v>
      </c>
      <c r="H214" s="219">
        <f t="shared" ref="H214:H232" si="28">SUM(D214:G214)</f>
        <v>30.808863536649127</v>
      </c>
      <c r="K214" s="213" t="s">
        <v>117</v>
      </c>
      <c r="L214" s="214" t="s">
        <v>118</v>
      </c>
      <c r="M214" s="214" t="s">
        <v>119</v>
      </c>
      <c r="N214" s="215" t="s">
        <v>120</v>
      </c>
      <c r="O214" s="207" t="s">
        <v>121</v>
      </c>
      <c r="P214" s="60"/>
    </row>
    <row r="215" spans="3:16" ht="20" thickBot="1" x14ac:dyDescent="0.3">
      <c r="C215" s="159">
        <v>300</v>
      </c>
      <c r="D215" s="216">
        <f>3*$B$7/2</f>
        <v>12.471599999999999</v>
      </c>
      <c r="E215" s="217" cm="1">
        <f t="array" ref="E215">$B$7*SUM(($D$42:$D$47*$D$42:$D$47)*EXP($D$42:$D$47/$C215)/($C215^2*(EXP($D$42:$D$47/$C215)-1)^2))</f>
        <v>5.9212461694840375</v>
      </c>
      <c r="F215" s="218">
        <f>3*$B$7/2</f>
        <v>12.471599999999999</v>
      </c>
      <c r="G215" s="220">
        <v>0</v>
      </c>
      <c r="H215" s="219">
        <f t="shared" si="28"/>
        <v>30.864446169484037</v>
      </c>
      <c r="J215" s="166" t="s">
        <v>84</v>
      </c>
      <c r="K215" s="133">
        <f>D$214</f>
        <v>12.471599999999999</v>
      </c>
      <c r="L215" s="133">
        <f t="shared" ref="L215:O215" si="29">E$214</f>
        <v>5.8656635366491301</v>
      </c>
      <c r="M215" s="133">
        <f t="shared" si="29"/>
        <v>12.471599999999999</v>
      </c>
      <c r="N215" s="133">
        <f t="shared" si="29"/>
        <v>0</v>
      </c>
      <c r="O215" s="133">
        <f t="shared" si="29"/>
        <v>30.808863536649127</v>
      </c>
      <c r="P215" s="60"/>
    </row>
    <row r="216" spans="3:16" ht="20" thickBot="1" x14ac:dyDescent="0.3">
      <c r="C216" s="163">
        <f>C215+100</f>
        <v>400</v>
      </c>
      <c r="D216" s="221">
        <f t="shared" ref="D216:D232" si="30">3*$B$7/2</f>
        <v>12.471599999999999</v>
      </c>
      <c r="E216" s="222" cm="1">
        <f t="array" ref="E216">$B$7*SUM(($D$42:$D$47*$D$42:$D$47)*EXP($D$42:$D$47/$C216)/($C216^2*(EXP($D$42:$D$47/$C216)-1)^2))</f>
        <v>8.9746299143213086</v>
      </c>
      <c r="F216" s="223">
        <f t="shared" ref="F216:F232" si="31">3*$B$7/2</f>
        <v>12.471599999999999</v>
      </c>
      <c r="G216" s="224">
        <v>0</v>
      </c>
      <c r="H216" s="219">
        <f t="shared" si="28"/>
        <v>33.917829914321302</v>
      </c>
      <c r="J216" s="167" t="s">
        <v>85</v>
      </c>
      <c r="K216" s="151">
        <f>E207</f>
        <v>12.472504000000001</v>
      </c>
      <c r="L216" s="151">
        <f>E209</f>
        <v>5.8659679999999996</v>
      </c>
      <c r="M216" s="151">
        <f>E208</f>
        <v>12.472504000000001</v>
      </c>
      <c r="N216" s="151">
        <f>E206</f>
        <v>0</v>
      </c>
      <c r="O216" s="151">
        <f>E205</f>
        <v>30.810976</v>
      </c>
      <c r="P216" s="60"/>
    </row>
    <row r="217" spans="3:16" ht="23" thickBot="1" x14ac:dyDescent="0.35">
      <c r="C217" s="163">
        <f t="shared" ref="C217:C232" si="32">C216+100</f>
        <v>500</v>
      </c>
      <c r="D217" s="221">
        <f t="shared" si="30"/>
        <v>12.471599999999999</v>
      </c>
      <c r="E217" s="222" cm="1">
        <f t="array" ref="E217">$B$7*SUM(($D$42:$D$47*$D$42:$D$47)*EXP($D$42:$D$47/$C217)/($C217^2*(EXP($D$42:$D$47/$C217)-1)^2))</f>
        <v>11.987284931018129</v>
      </c>
      <c r="F217" s="223">
        <f t="shared" si="31"/>
        <v>12.471599999999999</v>
      </c>
      <c r="G217" s="224">
        <v>0</v>
      </c>
      <c r="H217" s="219">
        <f t="shared" si="28"/>
        <v>36.930484931018128</v>
      </c>
      <c r="J217" s="168" t="s">
        <v>86</v>
      </c>
      <c r="K217" s="169">
        <f>IFERROR(ABS(K215-K216)/K215,0)</f>
        <v>7.2484685204946797E-5</v>
      </c>
      <c r="L217" s="169">
        <f t="shared" ref="L217:O217" si="33">IFERROR(ABS(L215-L216)/L215,0)</f>
        <v>5.1906037393249983E-5</v>
      </c>
      <c r="M217" s="169">
        <f t="shared" si="33"/>
        <v>7.2484685204946797E-5</v>
      </c>
      <c r="N217" s="169">
        <f t="shared" si="33"/>
        <v>0</v>
      </c>
      <c r="O217" s="169">
        <f t="shared" si="33"/>
        <v>6.8566740488812961E-5</v>
      </c>
      <c r="P217" s="60"/>
    </row>
    <row r="218" spans="3:16" ht="20" thickBot="1" x14ac:dyDescent="0.3">
      <c r="C218" s="163">
        <f t="shared" si="32"/>
        <v>600</v>
      </c>
      <c r="D218" s="221">
        <f t="shared" si="30"/>
        <v>12.471599999999999</v>
      </c>
      <c r="E218" s="222" cm="1">
        <f t="array" ref="E218">$B$7*SUM(($D$42:$D$47*$D$42:$D$47)*EXP($D$42:$D$47/$C218)/($C218^2*(EXP($D$42:$D$47/$C218)-1)^2))</f>
        <v>14.850135700001974</v>
      </c>
      <c r="F218" s="223">
        <f t="shared" si="31"/>
        <v>12.471599999999999</v>
      </c>
      <c r="G218" s="224">
        <v>0</v>
      </c>
      <c r="H218" s="219">
        <f t="shared" si="28"/>
        <v>39.793335700001975</v>
      </c>
    </row>
    <row r="219" spans="3:16" ht="20" thickBot="1" x14ac:dyDescent="0.3">
      <c r="C219" s="163">
        <f t="shared" si="32"/>
        <v>700</v>
      </c>
      <c r="D219" s="221">
        <f t="shared" si="30"/>
        <v>12.471599999999999</v>
      </c>
      <c r="E219" s="222" cm="1">
        <f t="array" ref="E219">$B$7*SUM(($D$42:$D$47*$D$42:$D$47)*EXP($D$42:$D$47/$C219)/($C219^2*(EXP($D$42:$D$47/$C219)-1)^2))</f>
        <v>17.578888936840876</v>
      </c>
      <c r="F219" s="223">
        <f t="shared" si="31"/>
        <v>12.471599999999999</v>
      </c>
      <c r="G219" s="224">
        <v>0</v>
      </c>
      <c r="H219" s="219">
        <f t="shared" si="28"/>
        <v>42.522088936840873</v>
      </c>
    </row>
    <row r="220" spans="3:16" ht="20" thickBot="1" x14ac:dyDescent="0.3">
      <c r="C220" s="163">
        <f t="shared" si="32"/>
        <v>800</v>
      </c>
      <c r="D220" s="221">
        <f t="shared" si="30"/>
        <v>12.471599999999999</v>
      </c>
      <c r="E220" s="222" cm="1">
        <f t="array" ref="E220">$B$7*SUM(($D$42:$D$47*$D$42:$D$47)*EXP($D$42:$D$47/$C220)/($C220^2*(EXP($D$42:$D$47/$C220)-1)^2))</f>
        <v>20.195458449762743</v>
      </c>
      <c r="F220" s="223">
        <f t="shared" si="31"/>
        <v>12.471599999999999</v>
      </c>
      <c r="G220" s="224">
        <v>0</v>
      </c>
      <c r="H220" s="219">
        <f t="shared" si="28"/>
        <v>45.138658449762744</v>
      </c>
    </row>
    <row r="221" spans="3:16" ht="20" thickBot="1" x14ac:dyDescent="0.3">
      <c r="C221" s="163">
        <f t="shared" si="32"/>
        <v>900</v>
      </c>
      <c r="D221" s="221">
        <f t="shared" si="30"/>
        <v>12.471599999999999</v>
      </c>
      <c r="E221" s="222" cm="1">
        <f t="array" ref="E221">$B$7*SUM(($D$42:$D$47*$D$42:$D$47)*EXP($D$42:$D$47/$C221)/($C221^2*(EXP($D$42:$D$47/$C221)-1)^2))</f>
        <v>22.691870935757127</v>
      </c>
      <c r="F221" s="223">
        <f t="shared" si="31"/>
        <v>12.471599999999999</v>
      </c>
      <c r="G221" s="224">
        <v>0</v>
      </c>
      <c r="H221" s="219">
        <f t="shared" si="28"/>
        <v>47.635070935757128</v>
      </c>
    </row>
    <row r="222" spans="3:16" ht="20" thickBot="1" x14ac:dyDescent="0.3">
      <c r="C222" s="163">
        <f t="shared" si="32"/>
        <v>1000</v>
      </c>
      <c r="D222" s="221">
        <f t="shared" si="30"/>
        <v>12.471599999999999</v>
      </c>
      <c r="E222" s="222" cm="1">
        <f t="array" ref="E222">$B$7*SUM(($D$42:$D$47*$D$42:$D$47)*EXP($D$42:$D$47/$C222)/($C222^2*(EXP($D$42:$D$47/$C222)-1)^2))</f>
        <v>25.044643355397845</v>
      </c>
      <c r="F222" s="223">
        <f t="shared" si="31"/>
        <v>12.471599999999999</v>
      </c>
      <c r="G222" s="224">
        <v>0</v>
      </c>
      <c r="H222" s="219">
        <f t="shared" si="28"/>
        <v>49.987843355397843</v>
      </c>
    </row>
    <row r="223" spans="3:16" ht="20" thickBot="1" x14ac:dyDescent="0.3">
      <c r="C223" s="163">
        <f t="shared" si="32"/>
        <v>1100</v>
      </c>
      <c r="D223" s="221">
        <f t="shared" si="30"/>
        <v>12.471599999999999</v>
      </c>
      <c r="E223" s="222" cm="1">
        <f t="array" ref="E223">$B$7*SUM(($D$42:$D$47*$D$42:$D$47)*EXP($D$42:$D$47/$C223)/($C223^2*(EXP($D$42:$D$47/$C223)-1)^2))</f>
        <v>27.231727633145869</v>
      </c>
      <c r="F223" s="223">
        <f t="shared" si="31"/>
        <v>12.471599999999999</v>
      </c>
      <c r="G223" s="224">
        <v>0</v>
      </c>
      <c r="H223" s="219">
        <f t="shared" si="28"/>
        <v>52.17492763314587</v>
      </c>
    </row>
    <row r="224" spans="3:16" ht="20" thickBot="1" x14ac:dyDescent="0.3">
      <c r="C224" s="163">
        <f t="shared" si="32"/>
        <v>1200</v>
      </c>
      <c r="D224" s="221">
        <f t="shared" si="30"/>
        <v>12.471599999999999</v>
      </c>
      <c r="E224" s="222" cm="1">
        <f t="array" ref="E224">$B$7*SUM(($D$42:$D$47*$D$42:$D$47)*EXP($D$42:$D$47/$C224)/($C224^2*(EXP($D$42:$D$47/$C224)-1)^2))</f>
        <v>29.24023979291675</v>
      </c>
      <c r="F224" s="223">
        <f t="shared" si="31"/>
        <v>12.471599999999999</v>
      </c>
      <c r="G224" s="224">
        <v>0</v>
      </c>
      <c r="H224" s="219">
        <f t="shared" si="28"/>
        <v>54.183439792916744</v>
      </c>
    </row>
    <row r="225" spans="3:11" ht="20" thickBot="1" x14ac:dyDescent="0.3">
      <c r="C225" s="163">
        <f t="shared" si="32"/>
        <v>1300</v>
      </c>
      <c r="D225" s="221">
        <f t="shared" si="30"/>
        <v>12.471599999999999</v>
      </c>
      <c r="E225" s="222" cm="1">
        <f t="array" ref="E225">$B$7*SUM(($D$42:$D$47*$D$42:$D$47)*EXP($D$42:$D$47/$C225)/($C225^2*(EXP($D$42:$D$47/$C225)-1)^2))</f>
        <v>31.067332350943559</v>
      </c>
      <c r="F225" s="223">
        <f t="shared" si="31"/>
        <v>12.471599999999999</v>
      </c>
      <c r="G225" s="224">
        <v>0</v>
      </c>
      <c r="H225" s="219">
        <f t="shared" si="28"/>
        <v>56.010532350943549</v>
      </c>
    </row>
    <row r="226" spans="3:11" ht="20" thickBot="1" x14ac:dyDescent="0.3">
      <c r="C226" s="163">
        <f t="shared" si="32"/>
        <v>1400</v>
      </c>
      <c r="D226" s="221">
        <f t="shared" si="30"/>
        <v>12.471599999999999</v>
      </c>
      <c r="E226" s="222" cm="1">
        <f t="array" ref="E226">$B$7*SUM(($D$42:$D$47*$D$42:$D$47)*EXP($D$42:$D$47/$C226)/($C226^2*(EXP($D$42:$D$47/$C226)-1)^2))</f>
        <v>32.718082452799749</v>
      </c>
      <c r="F226" s="223">
        <f t="shared" si="31"/>
        <v>12.471599999999999</v>
      </c>
      <c r="G226" s="224">
        <v>0</v>
      </c>
      <c r="H226" s="219">
        <f t="shared" si="28"/>
        <v>57.661282452799739</v>
      </c>
    </row>
    <row r="227" spans="3:11" ht="20" thickBot="1" x14ac:dyDescent="0.3">
      <c r="C227" s="163">
        <f t="shared" si="32"/>
        <v>1500</v>
      </c>
      <c r="D227" s="221">
        <f t="shared" si="30"/>
        <v>12.471599999999999</v>
      </c>
      <c r="E227" s="222" cm="1">
        <f t="array" ref="E227">$B$7*SUM(($D$42:$D$47*$D$42:$D$47)*EXP($D$42:$D$47/$C227)/($C227^2*(EXP($D$42:$D$47/$C227)-1)^2))</f>
        <v>34.202756194056462</v>
      </c>
      <c r="F227" s="223">
        <f t="shared" si="31"/>
        <v>12.471599999999999</v>
      </c>
      <c r="G227" s="224">
        <v>0</v>
      </c>
      <c r="H227" s="219">
        <f t="shared" si="28"/>
        <v>59.145956194056453</v>
      </c>
    </row>
    <row r="228" spans="3:11" ht="20" thickBot="1" x14ac:dyDescent="0.3">
      <c r="C228" s="163">
        <f t="shared" si="32"/>
        <v>1600</v>
      </c>
      <c r="D228" s="221">
        <f t="shared" si="30"/>
        <v>12.471599999999999</v>
      </c>
      <c r="E228" s="222" cm="1">
        <f t="array" ref="E228">$B$7*SUM(($D$42:$D$47*$D$42:$D$47)*EXP($D$42:$D$47/$C228)/($C228^2*(EXP($D$42:$D$47/$C228)-1)^2))</f>
        <v>35.534451128864596</v>
      </c>
      <c r="F228" s="223">
        <f t="shared" si="31"/>
        <v>12.471599999999999</v>
      </c>
      <c r="G228" s="224">
        <v>0</v>
      </c>
      <c r="H228" s="219">
        <f t="shared" si="28"/>
        <v>60.477651128864593</v>
      </c>
    </row>
    <row r="229" spans="3:11" ht="20" thickBot="1" x14ac:dyDescent="0.3">
      <c r="C229" s="163">
        <f t="shared" si="32"/>
        <v>1700</v>
      </c>
      <c r="D229" s="221">
        <f t="shared" si="30"/>
        <v>12.471599999999999</v>
      </c>
      <c r="E229" s="222" cm="1">
        <f t="array" ref="E229">$B$7*SUM(($D$42:$D$47*$D$42:$D$47)*EXP($D$42:$D$47/$C229)/($C229^2*(EXP($D$42:$D$47/$C229)-1)^2))</f>
        <v>36.727379065008137</v>
      </c>
      <c r="F229" s="223">
        <f t="shared" si="31"/>
        <v>12.471599999999999</v>
      </c>
      <c r="G229" s="224">
        <v>0</v>
      </c>
      <c r="H229" s="219">
        <f t="shared" si="28"/>
        <v>61.670579065008127</v>
      </c>
    </row>
    <row r="230" spans="3:11" ht="20" thickBot="1" x14ac:dyDescent="0.3">
      <c r="C230" s="163">
        <f t="shared" si="32"/>
        <v>1800</v>
      </c>
      <c r="D230" s="221">
        <f t="shared" si="30"/>
        <v>12.471599999999999</v>
      </c>
      <c r="E230" s="222" cm="1">
        <f t="array" ref="E230">$B$7*SUM(($D$42:$D$47*$D$42:$D$47)*EXP($D$42:$D$47/$C230)/($C230^2*(EXP($D$42:$D$47/$C230)-1)^2))</f>
        <v>37.79574184718124</v>
      </c>
      <c r="F230" s="223">
        <f t="shared" si="31"/>
        <v>12.471599999999999</v>
      </c>
      <c r="G230" s="224">
        <v>0</v>
      </c>
      <c r="H230" s="219">
        <f t="shared" si="28"/>
        <v>62.738941847181238</v>
      </c>
    </row>
    <row r="231" spans="3:11" ht="20" thickBot="1" x14ac:dyDescent="0.3">
      <c r="C231" s="163">
        <f t="shared" si="32"/>
        <v>1900</v>
      </c>
      <c r="D231" s="221">
        <f t="shared" si="30"/>
        <v>12.471599999999999</v>
      </c>
      <c r="E231" s="222" cm="1">
        <f t="array" ref="E231">$B$7*SUM(($D$42:$D$47*$D$42:$D$47)*EXP($D$42:$D$47/$C231)/($C231^2*(EXP($D$42:$D$47/$C231)-1)^2))</f>
        <v>38.753061839720687</v>
      </c>
      <c r="F231" s="223">
        <f t="shared" si="31"/>
        <v>12.471599999999999</v>
      </c>
      <c r="G231" s="224">
        <v>0</v>
      </c>
      <c r="H231" s="219">
        <f t="shared" si="28"/>
        <v>63.696261839720677</v>
      </c>
    </row>
    <row r="232" spans="3:11" ht="20" thickBot="1" x14ac:dyDescent="0.3">
      <c r="C232" s="170">
        <f t="shared" si="32"/>
        <v>2000</v>
      </c>
      <c r="D232" s="225">
        <f t="shared" si="30"/>
        <v>12.471599999999999</v>
      </c>
      <c r="E232" s="226" cm="1">
        <f t="array" ref="E232">$B$7*SUM(($D$42:$D$47*$D$42:$D$47)*EXP($D$42:$D$47/$C232)/($C232^2*(EXP($D$42:$D$47/$C232)-1)^2))</f>
        <v>39.611828312260798</v>
      </c>
      <c r="F232" s="227">
        <f t="shared" si="31"/>
        <v>12.471599999999999</v>
      </c>
      <c r="G232" s="228">
        <v>0</v>
      </c>
      <c r="H232" s="229">
        <f t="shared" si="28"/>
        <v>64.555028312260788</v>
      </c>
    </row>
    <row r="238" spans="3:11" ht="17" thickBot="1" x14ac:dyDescent="0.25"/>
    <row r="239" spans="3:11" ht="20" thickBot="1" x14ac:dyDescent="0.3">
      <c r="E239" s="60"/>
      <c r="F239" s="60" t="s">
        <v>77</v>
      </c>
      <c r="G239" s="60"/>
      <c r="H239" s="350" t="s">
        <v>108</v>
      </c>
      <c r="I239" s="351"/>
      <c r="J239" s="351"/>
      <c r="K239" s="352"/>
    </row>
    <row r="240" spans="3:11" ht="28" thickBot="1" x14ac:dyDescent="0.4">
      <c r="C240" s="153" t="s">
        <v>122</v>
      </c>
      <c r="D240" s="154"/>
      <c r="E240" s="60"/>
      <c r="F240" s="60"/>
      <c r="G240" s="60"/>
      <c r="H240" s="210" t="s">
        <v>110</v>
      </c>
      <c r="I240" s="210" t="s">
        <v>111</v>
      </c>
      <c r="J240" s="210" t="s">
        <v>112</v>
      </c>
      <c r="K240" s="210" t="s">
        <v>113</v>
      </c>
    </row>
    <row r="244" spans="3:10" ht="20" thickBot="1" x14ac:dyDescent="0.25">
      <c r="D244" s="353"/>
      <c r="E244" s="353"/>
    </row>
    <row r="245" spans="3:10" ht="20" thickBot="1" x14ac:dyDescent="0.25">
      <c r="D245" s="354" t="s">
        <v>123</v>
      </c>
      <c r="E245" s="355"/>
    </row>
    <row r="246" spans="3:10" ht="20" thickBot="1" x14ac:dyDescent="0.3">
      <c r="D246" s="177" t="s">
        <v>115</v>
      </c>
      <c r="E246" s="211" t="s">
        <v>116</v>
      </c>
    </row>
    <row r="247" spans="3:10" ht="19" x14ac:dyDescent="0.25">
      <c r="C247" s="86" t="s">
        <v>45</v>
      </c>
      <c r="D247" s="230">
        <f>$R23</f>
        <v>46.51</v>
      </c>
      <c r="E247" s="133">
        <f>D247*4.184</f>
        <v>194.59783999999999</v>
      </c>
    </row>
    <row r="248" spans="3:10" ht="19" x14ac:dyDescent="0.25">
      <c r="C248" s="92" t="s">
        <v>48</v>
      </c>
      <c r="D248" s="230">
        <f t="shared" ref="D248:D251" si="34">$R24</f>
        <v>1.377</v>
      </c>
      <c r="E248" s="139">
        <f t="shared" ref="E248:E251" si="35">D248*4.184</f>
        <v>5.761368</v>
      </c>
    </row>
    <row r="249" spans="3:10" ht="19" x14ac:dyDescent="0.25">
      <c r="C249" s="92" t="s">
        <v>50</v>
      </c>
      <c r="D249" s="230">
        <f t="shared" si="34"/>
        <v>34.067999999999998</v>
      </c>
      <c r="E249" s="139">
        <f t="shared" si="35"/>
        <v>142.54051200000001</v>
      </c>
    </row>
    <row r="250" spans="3:10" ht="19" x14ac:dyDescent="0.25">
      <c r="C250" s="92" t="s">
        <v>52</v>
      </c>
      <c r="D250" s="230">
        <f t="shared" si="34"/>
        <v>10.429</v>
      </c>
      <c r="E250" s="139">
        <f t="shared" si="35"/>
        <v>43.634936000000003</v>
      </c>
    </row>
    <row r="251" spans="3:10" ht="20" thickBot="1" x14ac:dyDescent="0.3">
      <c r="C251" s="97" t="s">
        <v>55</v>
      </c>
      <c r="D251" s="230">
        <f t="shared" si="34"/>
        <v>0.63700000000000001</v>
      </c>
      <c r="E251" s="139">
        <f t="shared" si="35"/>
        <v>2.6652080000000002</v>
      </c>
    </row>
    <row r="253" spans="3:10" ht="17" thickBot="1" x14ac:dyDescent="0.25"/>
    <row r="254" spans="3:10" ht="20" thickBot="1" x14ac:dyDescent="0.3">
      <c r="C254" s="61" t="s">
        <v>34</v>
      </c>
      <c r="D254" s="231"/>
      <c r="E254" s="231"/>
      <c r="F254" s="231"/>
      <c r="G254" s="232"/>
      <c r="I254" s="70" t="s">
        <v>124</v>
      </c>
      <c r="J254" s="233">
        <f>($B$14^2)/(8*PI()*PI()*$G$258*$B$8)</f>
        <v>1.5663307557257184</v>
      </c>
    </row>
    <row r="255" spans="3:10" ht="20" thickBot="1" x14ac:dyDescent="0.3">
      <c r="C255" s="234"/>
      <c r="D255" s="67" t="s">
        <v>37</v>
      </c>
      <c r="E255" s="68" t="s">
        <v>38</v>
      </c>
      <c r="F255" s="69" t="s">
        <v>39</v>
      </c>
      <c r="G255" s="207" t="s">
        <v>121</v>
      </c>
      <c r="I255" s="115"/>
      <c r="J255" s="115"/>
    </row>
    <row r="256" spans="3:10" ht="22" thickBot="1" x14ac:dyDescent="0.3">
      <c r="C256" s="78" t="s">
        <v>44</v>
      </c>
      <c r="D256" s="79">
        <f>D$23</f>
        <v>6.3236999999999997</v>
      </c>
      <c r="E256" s="79">
        <f t="shared" ref="E256:F256" si="36">E$23</f>
        <v>6.3236999999999997</v>
      </c>
      <c r="F256" s="79">
        <f t="shared" si="36"/>
        <v>12.647399999999999</v>
      </c>
      <c r="G256" s="235">
        <f>SQRT(F256^2 + E256^2 + D256^2)</f>
        <v>15.489838286437983</v>
      </c>
      <c r="J256" s="115"/>
    </row>
    <row r="257" spans="1:18" ht="22" thickBot="1" x14ac:dyDescent="0.3">
      <c r="C257" s="90" t="s">
        <v>47</v>
      </c>
      <c r="D257" s="91">
        <f>D256*$U$9</f>
        <v>1.0497341999999999E-26</v>
      </c>
      <c r="E257" s="91">
        <f t="shared" ref="E257:F257" si="37">E256*$U$9</f>
        <v>1.0497341999999999E-26</v>
      </c>
      <c r="F257" s="236">
        <f t="shared" si="37"/>
        <v>2.0994683999999998E-26</v>
      </c>
      <c r="G257" s="235">
        <f t="shared" ref="G257:G258" si="38">SQRT(F257^2 + E257^2 + D257^2)</f>
        <v>2.571313155548705E-26</v>
      </c>
    </row>
    <row r="258" spans="1:18" ht="22" thickBot="1" x14ac:dyDescent="0.3">
      <c r="C258" s="93" t="s">
        <v>49</v>
      </c>
      <c r="D258" s="94">
        <f>D257*($Q$8)^2</f>
        <v>1.0497341999999999E-46</v>
      </c>
      <c r="E258" s="95">
        <f>E257*($Q$8)^2</f>
        <v>1.0497341999999999E-46</v>
      </c>
      <c r="F258" s="237">
        <f t="shared" ref="F258" si="39">F257*($Q$8)^2</f>
        <v>2.0994683999999998E-46</v>
      </c>
      <c r="G258" s="235">
        <f t="shared" si="38"/>
        <v>2.5713131555487049E-46</v>
      </c>
    </row>
    <row r="259" spans="1:18" ht="17" thickBot="1" x14ac:dyDescent="0.25"/>
    <row r="260" spans="1:18" ht="20" thickBot="1" x14ac:dyDescent="0.3">
      <c r="F260" s="238" t="s">
        <v>116</v>
      </c>
      <c r="G260" s="239"/>
      <c r="H260" s="239"/>
      <c r="I260" s="239"/>
      <c r="J260" s="240"/>
    </row>
    <row r="261" spans="1:18" ht="23" thickBot="1" x14ac:dyDescent="0.35">
      <c r="C261" s="201" t="s">
        <v>79</v>
      </c>
      <c r="D261" s="241" t="s">
        <v>125</v>
      </c>
      <c r="E261" s="187" t="s">
        <v>126</v>
      </c>
      <c r="F261" s="242" t="s">
        <v>117</v>
      </c>
      <c r="G261" s="243" t="s">
        <v>118</v>
      </c>
      <c r="H261" s="243" t="s">
        <v>119</v>
      </c>
      <c r="I261" s="244" t="s">
        <v>120</v>
      </c>
      <c r="J261" s="207" t="s">
        <v>121</v>
      </c>
      <c r="L261" s="157" t="s">
        <v>82</v>
      </c>
      <c r="M261" s="158"/>
      <c r="N261" s="158"/>
      <c r="O261" s="158"/>
      <c r="P261" s="158"/>
      <c r="Q261" s="158"/>
    </row>
    <row r="262" spans="1:18" ht="20" thickBot="1" x14ac:dyDescent="0.3">
      <c r="C262" s="187">
        <v>298.14999999999998</v>
      </c>
      <c r="D262" s="245">
        <f>$B$7*C262/$B$16</f>
        <v>2.4465219442388352E-2</v>
      </c>
      <c r="E262" s="246">
        <f>((2*PI()*$A$28*$U$9*$B$8*$C262)/($B$14*$B$14))^(3/2)</f>
        <v>5.631157833581193E+31</v>
      </c>
      <c r="F262" s="247">
        <f t="shared" ref="F262:F280" si="40">$B$7*LN(($D262/$B$6)*EXP(5/2)*E262)</f>
        <v>142.53417788593234</v>
      </c>
      <c r="G262" s="248" cm="1">
        <f t="array" ref="G262">$B$7*SUM((($D$42:$D$47)/$C262)/(EXP($D$42:$D$47/$C262)-1)-LN(1-EXP(-$D$42:$D$47/$C262)))</f>
        <v>2.6638553808240539</v>
      </c>
      <c r="H262" s="249">
        <f>$B$7*(LN((SQRT(PI())/$A$31)*($C262^(3/2)/SQRT(C$29*D$29*E$29)))+3/2)</f>
        <v>43.632655408541389</v>
      </c>
      <c r="I262" s="250">
        <f>$B$7*LN(2)</f>
        <v>5.7631029180476085</v>
      </c>
      <c r="J262" s="251">
        <f t="shared" ref="J262:J280" si="41">SUM(F262:I262)</f>
        <v>194.5937915933454</v>
      </c>
      <c r="L262" s="60"/>
      <c r="M262" s="60"/>
      <c r="N262" s="60"/>
      <c r="O262" s="60"/>
      <c r="P262" s="60"/>
      <c r="Q262" s="60"/>
    </row>
    <row r="263" spans="1:18" ht="20" thickBot="1" x14ac:dyDescent="0.3">
      <c r="C263" s="159">
        <v>300</v>
      </c>
      <c r="D263" s="245">
        <f>$B$7*C263/$B$16</f>
        <v>2.4617024426350848E-2</v>
      </c>
      <c r="E263" s="246">
        <f>((2*PI()*$A$28*$U$9*$B$8*$C263)/($B$14*$B$14))^(3/2)</f>
        <v>5.6836504656689436E+31</v>
      </c>
      <c r="F263" s="252">
        <f t="shared" si="40"/>
        <v>142.66275507431655</v>
      </c>
      <c r="G263" s="217" cm="1">
        <f t="array" ref="G263">$B$7*SUM((($D$42:$D$47)/$C263)/(EXP($D$42:$D$47/$C263)-1)-LN(1-EXP(-$D$42:$D$47/$C263)))</f>
        <v>2.7003106722638721</v>
      </c>
      <c r="H263" s="253">
        <f t="shared" ref="H263:H280" si="42">$B$7*(LN((SQRT(PI())/$A$31)*($C263^(3/2)/SQRT(C$29*D$29*E$29)))+3/2)</f>
        <v>43.709801721571893</v>
      </c>
      <c r="I263" s="220">
        <f t="shared" ref="I263:I280" si="43">$B$7*LN(2)</f>
        <v>5.7631029180476085</v>
      </c>
      <c r="J263" s="251">
        <f t="shared" si="41"/>
        <v>194.83597038619993</v>
      </c>
      <c r="N263" s="213" t="s">
        <v>117</v>
      </c>
      <c r="O263" s="214" t="s">
        <v>118</v>
      </c>
      <c r="P263" s="214" t="s">
        <v>119</v>
      </c>
      <c r="Q263" s="215" t="s">
        <v>120</v>
      </c>
      <c r="R263" s="207" t="s">
        <v>121</v>
      </c>
    </row>
    <row r="264" spans="1:18" ht="20" thickBot="1" x14ac:dyDescent="0.3">
      <c r="C264" s="163">
        <f>C263+100</f>
        <v>400</v>
      </c>
      <c r="D264" s="254">
        <f t="shared" ref="D264:D280" si="44">$B$7*C264/$B$16</f>
        <v>3.2822699235134464E-2</v>
      </c>
      <c r="E264" s="255">
        <f t="shared" ref="E264:E280" si="45">(2*PI()*$A$28*$U$9*$B$8*$C264/($B$14)^2)^(3/2)</f>
        <v>8.7505523368898382E+31</v>
      </c>
      <c r="F264" s="256">
        <f t="shared" si="40"/>
        <v>148.64251463229922</v>
      </c>
      <c r="G264" s="222" cm="1">
        <f t="array" ref="G264">$B$7*SUM((($D$42:$D$47)/$C264)/(EXP($D$42:$D$47/$C264)-1)-LN(1-EXP(-$D$42:$D$47/$C264)))</f>
        <v>4.8203408962710537</v>
      </c>
      <c r="H264" s="257">
        <f t="shared" si="42"/>
        <v>47.297657456361527</v>
      </c>
      <c r="I264" s="224">
        <f t="shared" si="43"/>
        <v>5.7631029180476085</v>
      </c>
      <c r="J264" s="251">
        <f t="shared" si="41"/>
        <v>206.52361590297943</v>
      </c>
      <c r="M264" s="166" t="s">
        <v>84</v>
      </c>
      <c r="N264" s="258">
        <f>F$262</f>
        <v>142.53417788593234</v>
      </c>
      <c r="O264" s="258">
        <f>G$262</f>
        <v>2.6638553808240539</v>
      </c>
      <c r="P264" s="258">
        <f>H$262</f>
        <v>43.632655408541389</v>
      </c>
      <c r="Q264" s="258">
        <f>I$262</f>
        <v>5.7631029180476085</v>
      </c>
      <c r="R264" s="258">
        <f>J$262</f>
        <v>194.5937915933454</v>
      </c>
    </row>
    <row r="265" spans="1:18" ht="20" thickBot="1" x14ac:dyDescent="0.3">
      <c r="C265" s="163">
        <f t="shared" ref="C265:C280" si="46">C264+100</f>
        <v>500</v>
      </c>
      <c r="D265" s="254">
        <f t="shared" si="44"/>
        <v>4.1028374043918084E-2</v>
      </c>
      <c r="E265" s="255">
        <f t="shared" si="45"/>
        <v>1.2229268666222145E+32</v>
      </c>
      <c r="F265" s="256">
        <f t="shared" si="40"/>
        <v>153.28077648991643</v>
      </c>
      <c r="G265" s="222" cm="1">
        <f t="array" ref="G265">$B$7*SUM((($D$42:$D$47)/$C265)/(EXP($D$42:$D$47/$C265)-1)-LN(1-EXP(-$D$42:$D$47/$C265)))</f>
        <v>7.1490046928890649</v>
      </c>
      <c r="H265" s="257">
        <f t="shared" si="42"/>
        <v>50.080614570931829</v>
      </c>
      <c r="I265" s="224">
        <f t="shared" si="43"/>
        <v>5.7631029180476085</v>
      </c>
      <c r="J265" s="251">
        <f t="shared" si="41"/>
        <v>216.27349867178495</v>
      </c>
      <c r="M265" s="167" t="s">
        <v>85</v>
      </c>
      <c r="N265" s="258">
        <f>E249</f>
        <v>142.54051200000001</v>
      </c>
      <c r="O265" s="258">
        <f>E251</f>
        <v>2.6652080000000002</v>
      </c>
      <c r="P265" s="258">
        <f>E250</f>
        <v>43.634936000000003</v>
      </c>
      <c r="Q265" s="258">
        <f>E248</f>
        <v>5.761368</v>
      </c>
      <c r="R265" s="258">
        <f>E247</f>
        <v>194.59783999999999</v>
      </c>
    </row>
    <row r="266" spans="1:18" ht="23" thickBot="1" x14ac:dyDescent="0.35">
      <c r="C266" s="163">
        <f t="shared" si="46"/>
        <v>600</v>
      </c>
      <c r="D266" s="254">
        <f t="shared" si="44"/>
        <v>4.9234048852701696E-2</v>
      </c>
      <c r="E266" s="255">
        <f t="shared" si="45"/>
        <v>1.6075791144674171E+32</v>
      </c>
      <c r="F266" s="256">
        <f t="shared" si="40"/>
        <v>157.07051236943548</v>
      </c>
      <c r="G266" s="222" cm="1">
        <f t="array" ref="G266">$B$7*SUM((($D$42:$D$47)/$C266)/(EXP($D$42:$D$47/$C266)-1)-LN(1-EXP(-$D$42:$D$47/$C266)))</f>
        <v>9.5899034654986384</v>
      </c>
      <c r="H266" s="257">
        <f t="shared" si="42"/>
        <v>52.354456098643297</v>
      </c>
      <c r="I266" s="224">
        <f t="shared" si="43"/>
        <v>5.7631029180476085</v>
      </c>
      <c r="J266" s="251">
        <f t="shared" si="41"/>
        <v>224.77797485162503</v>
      </c>
      <c r="L266" s="60"/>
      <c r="M266" s="168" t="s">
        <v>86</v>
      </c>
      <c r="N266" s="169">
        <f>IFERROR(ABS(N264-N265)/N264,0)</f>
        <v>4.4439264754723596E-5</v>
      </c>
      <c r="O266" s="169">
        <f t="shared" ref="O266:R266" si="47">IFERROR(ABS(O264-O265)/O264,0)</f>
        <v>5.0776749581949322E-4</v>
      </c>
      <c r="P266" s="169">
        <f t="shared" si="47"/>
        <v>5.226799600576054E-5</v>
      </c>
      <c r="Q266" s="169">
        <f t="shared" si="47"/>
        <v>3.0103887997132075E-4</v>
      </c>
      <c r="R266" s="169">
        <f t="shared" si="47"/>
        <v>2.0804397825035741E-5</v>
      </c>
    </row>
    <row r="267" spans="1:18" ht="20" thickBot="1" x14ac:dyDescent="0.3">
      <c r="A267" s="259"/>
      <c r="C267" s="163">
        <f t="shared" si="46"/>
        <v>700</v>
      </c>
      <c r="D267" s="254">
        <f t="shared" si="44"/>
        <v>5.7439723661485309E-2</v>
      </c>
      <c r="E267" s="255">
        <f t="shared" si="45"/>
        <v>2.0257812153132569E+32</v>
      </c>
      <c r="F267" s="256">
        <f t="shared" si="40"/>
        <v>160.274688400325</v>
      </c>
      <c r="G267" s="222" cm="1">
        <f t="array" ref="G267">$B$7*SUM((($D$42:$D$47)/$C267)/(EXP($D$42:$D$47/$C267)-1)-LN(1-EXP(-$D$42:$D$47/$C267)))</f>
        <v>12.085491266600583</v>
      </c>
      <c r="H267" s="257">
        <f t="shared" si="42"/>
        <v>54.276961717176945</v>
      </c>
      <c r="I267" s="224">
        <f t="shared" si="43"/>
        <v>5.7631029180476085</v>
      </c>
      <c r="J267" s="251">
        <f t="shared" si="41"/>
        <v>232.40024430215013</v>
      </c>
    </row>
    <row r="268" spans="1:18" ht="20" thickBot="1" x14ac:dyDescent="0.3">
      <c r="A268" s="259"/>
      <c r="C268" s="163">
        <f t="shared" si="46"/>
        <v>800</v>
      </c>
      <c r="D268" s="254">
        <f t="shared" si="44"/>
        <v>6.5645398470268929E-2</v>
      </c>
      <c r="E268" s="255">
        <f t="shared" si="45"/>
        <v>2.4750299586170452E+32</v>
      </c>
      <c r="F268" s="256">
        <f t="shared" si="40"/>
        <v>163.05027192741829</v>
      </c>
      <c r="G268" s="222" cm="1">
        <f t="array" ref="G268">$B$7*SUM((($D$42:$D$47)/$C268)/(EXP($D$42:$D$47/$C268)-1)-LN(1-EXP(-$D$42:$D$47/$C268)))</f>
        <v>14.604873605051068</v>
      </c>
      <c r="H268" s="257">
        <f t="shared" si="42"/>
        <v>55.942311833432932</v>
      </c>
      <c r="I268" s="224">
        <f t="shared" si="43"/>
        <v>5.7631029180476085</v>
      </c>
      <c r="J268" s="251">
        <f t="shared" si="41"/>
        <v>239.36056028394992</v>
      </c>
    </row>
    <row r="269" spans="1:18" ht="20" thickBot="1" x14ac:dyDescent="0.3">
      <c r="C269" s="163">
        <f t="shared" si="46"/>
        <v>900</v>
      </c>
      <c r="D269" s="254">
        <f t="shared" si="44"/>
        <v>7.3851073279052548E-2</v>
      </c>
      <c r="E269" s="255">
        <f t="shared" si="45"/>
        <v>2.9533114137003252E+32</v>
      </c>
      <c r="F269" s="256">
        <f t="shared" si="40"/>
        <v>165.49851010657184</v>
      </c>
      <c r="G269" s="222" cm="1">
        <f t="array" ref="G269">$B$7*SUM((($D$42:$D$47)/$C269)/(EXP($D$42:$D$47/$C269)-1)-LN(1-EXP(-$D$42:$D$47/$C269)))</f>
        <v>17.128972261018362</v>
      </c>
      <c r="H269" s="257">
        <f t="shared" si="42"/>
        <v>57.411254740925088</v>
      </c>
      <c r="I269" s="224">
        <f t="shared" si="43"/>
        <v>5.7631029180476085</v>
      </c>
      <c r="J269" s="251">
        <f t="shared" si="41"/>
        <v>245.80184002656293</v>
      </c>
    </row>
    <row r="270" spans="1:18" ht="20" thickBot="1" x14ac:dyDescent="0.3">
      <c r="C270" s="163">
        <f t="shared" si="46"/>
        <v>1000</v>
      </c>
      <c r="D270" s="254">
        <f t="shared" si="44"/>
        <v>8.2056748087836168E-2</v>
      </c>
      <c r="E270" s="255">
        <f t="shared" si="45"/>
        <v>3.4589595211351474E+32</v>
      </c>
      <c r="F270" s="256">
        <f t="shared" si="40"/>
        <v>167.6885337850355</v>
      </c>
      <c r="G270" s="222" cm="1">
        <f t="array" ref="G270">$B$7*SUM((($D$42:$D$47)/$C270)/(EXP($D$42:$D$47/$C270)-1)-LN(1-EXP(-$D$42:$D$47/$C270)))</f>
        <v>19.642936710729902</v>
      </c>
      <c r="H270" s="257">
        <f t="shared" si="42"/>
        <v>58.725268948003233</v>
      </c>
      <c r="I270" s="224">
        <f t="shared" si="43"/>
        <v>5.7631029180476085</v>
      </c>
      <c r="J270" s="251">
        <f t="shared" si="41"/>
        <v>251.81984236181628</v>
      </c>
    </row>
    <row r="271" spans="1:18" ht="20" thickBot="1" x14ac:dyDescent="0.3">
      <c r="C271" s="163">
        <f t="shared" si="46"/>
        <v>1100</v>
      </c>
      <c r="D271" s="254">
        <f t="shared" si="44"/>
        <v>9.0262422896619773E-2</v>
      </c>
      <c r="E271" s="255">
        <f t="shared" si="45"/>
        <v>3.9905660863517955E+32</v>
      </c>
      <c r="F271" s="256">
        <f t="shared" si="40"/>
        <v>169.66965118244812</v>
      </c>
      <c r="G271" s="222" cm="1">
        <f t="array" ref="G271">$B$7*SUM((($D$42:$D$47)/$C271)/(EXP($D$42:$D$47/$C271)-1)-LN(1-EXP(-$D$42:$D$47/$C271)))</f>
        <v>22.133898437120791</v>
      </c>
      <c r="H271" s="257">
        <f t="shared" si="42"/>
        <v>59.913939386450849</v>
      </c>
      <c r="I271" s="224">
        <f t="shared" si="43"/>
        <v>5.7631029180476085</v>
      </c>
      <c r="J271" s="251">
        <f t="shared" si="41"/>
        <v>257.48059192406737</v>
      </c>
    </row>
    <row r="272" spans="1:18" ht="20" thickBot="1" x14ac:dyDescent="0.3">
      <c r="C272" s="163">
        <f t="shared" si="46"/>
        <v>1200</v>
      </c>
      <c r="D272" s="254">
        <f t="shared" si="44"/>
        <v>9.8468097705403393E-2</v>
      </c>
      <c r="E272" s="255">
        <f t="shared" si="45"/>
        <v>4.5469203725351152E+32</v>
      </c>
      <c r="F272" s="256">
        <f t="shared" si="40"/>
        <v>171.47826966455455</v>
      </c>
      <c r="G272" s="222" cm="1">
        <f t="array" ref="G272">$B$7*SUM((($D$42:$D$47)/$C272)/(EXP($D$42:$D$47/$C272)-1)-LN(1-EXP(-$D$42:$D$47/$C272)))</f>
        <v>24.590800334154974</v>
      </c>
      <c r="H272" s="257">
        <f t="shared" si="42"/>
        <v>60.999110475714723</v>
      </c>
      <c r="I272" s="224">
        <f t="shared" si="43"/>
        <v>5.7631029180476085</v>
      </c>
      <c r="J272" s="251">
        <f t="shared" si="41"/>
        <v>262.83128339247185</v>
      </c>
    </row>
    <row r="273" spans="3:10" ht="20" thickBot="1" x14ac:dyDescent="0.3">
      <c r="C273" s="163">
        <f t="shared" si="46"/>
        <v>1300</v>
      </c>
      <c r="D273" s="254">
        <f t="shared" si="44"/>
        <v>0.10667377251418701</v>
      </c>
      <c r="E273" s="255">
        <f t="shared" si="45"/>
        <v>5.1269668351342135E+32</v>
      </c>
      <c r="F273" s="256">
        <f t="shared" si="40"/>
        <v>173.14203738625665</v>
      </c>
      <c r="G273" s="222" cm="1">
        <f t="array" ref="G273">$B$7*SUM((($D$42:$D$47)/$C273)/(EXP($D$42:$D$47/$C273)-1)-LN(1-EXP(-$D$42:$D$47/$C273)))</f>
        <v>27.004616592929217</v>
      </c>
      <c r="H273" s="257">
        <f t="shared" si="42"/>
        <v>61.99737110873599</v>
      </c>
      <c r="I273" s="224">
        <f t="shared" si="43"/>
        <v>5.7631029180476085</v>
      </c>
      <c r="J273" s="251">
        <f t="shared" si="41"/>
        <v>267.90712800596941</v>
      </c>
    </row>
    <row r="274" spans="3:10" ht="20" thickBot="1" x14ac:dyDescent="0.3">
      <c r="C274" s="163">
        <f t="shared" si="46"/>
        <v>1400</v>
      </c>
      <c r="D274" s="254">
        <f t="shared" si="44"/>
        <v>0.11487944732297062</v>
      </c>
      <c r="E274" s="255">
        <f t="shared" si="45"/>
        <v>5.729774538193334E+32</v>
      </c>
      <c r="F274" s="256">
        <f t="shared" si="40"/>
        <v>174.68244569544404</v>
      </c>
      <c r="G274" s="222" cm="1">
        <f t="array" ref="G274">$B$7*SUM((($D$42:$D$47)/$C274)/(EXP($D$42:$D$47/$C274)-1)-LN(1-EXP(-$D$42:$D$47/$C274)))</f>
        <v>29.368426657020219</v>
      </c>
      <c r="H274" s="257">
        <f t="shared" si="42"/>
        <v>62.921616094248364</v>
      </c>
      <c r="I274" s="224">
        <f t="shared" si="43"/>
        <v>5.7631029180476085</v>
      </c>
      <c r="J274" s="251">
        <f t="shared" si="41"/>
        <v>272.73559136476024</v>
      </c>
    </row>
    <row r="275" spans="3:10" ht="20" thickBot="1" x14ac:dyDescent="0.3">
      <c r="C275" s="163">
        <f t="shared" si="46"/>
        <v>1500</v>
      </c>
      <c r="D275" s="254">
        <f t="shared" si="44"/>
        <v>0.12308512213175424</v>
      </c>
      <c r="E275" s="255">
        <f t="shared" si="45"/>
        <v>6.3545144007920277E+32</v>
      </c>
      <c r="F275" s="256">
        <f t="shared" si="40"/>
        <v>176.11653152217173</v>
      </c>
      <c r="G275" s="222" cm="1">
        <f t="array" ref="G275">$B$7*SUM((($D$42:$D$47)/$C275)/(EXP($D$42:$D$47/$C275)-1)-LN(1-EXP(-$D$42:$D$47/$C275)))</f>
        <v>31.67728725966159</v>
      </c>
      <c r="H275" s="257">
        <f t="shared" si="42"/>
        <v>63.782067590285024</v>
      </c>
      <c r="I275" s="224">
        <f t="shared" si="43"/>
        <v>5.7631029180476085</v>
      </c>
      <c r="J275" s="251">
        <f t="shared" si="41"/>
        <v>277.33898929016596</v>
      </c>
    </row>
    <row r="276" spans="3:10" ht="20" thickBot="1" x14ac:dyDescent="0.3">
      <c r="C276" s="163">
        <f t="shared" si="46"/>
        <v>1600</v>
      </c>
      <c r="D276" s="254">
        <f t="shared" si="44"/>
        <v>0.13129079694053786</v>
      </c>
      <c r="E276" s="255">
        <f t="shared" si="45"/>
        <v>7.0004418695118115E+32</v>
      </c>
      <c r="F276" s="256">
        <f t="shared" si="40"/>
        <v>177.45802922253719</v>
      </c>
      <c r="G276" s="222" cm="1">
        <f t="array" ref="G276">$B$7*SUM((($D$42:$D$47)/$C276)/(EXP($D$42:$D$47/$C276)-1)-LN(1-EXP(-$D$42:$D$47/$C276)))</f>
        <v>33.927978118089733</v>
      </c>
      <c r="H276" s="257">
        <f t="shared" si="42"/>
        <v>64.586966210504357</v>
      </c>
      <c r="I276" s="224">
        <f t="shared" si="43"/>
        <v>5.7631029180476085</v>
      </c>
      <c r="J276" s="251">
        <f t="shared" si="41"/>
        <v>281.7360764691789</v>
      </c>
    </row>
    <row r="277" spans="3:10" ht="20" thickBot="1" x14ac:dyDescent="0.3">
      <c r="C277" s="163">
        <f t="shared" si="46"/>
        <v>1700</v>
      </c>
      <c r="D277" s="254">
        <f t="shared" si="44"/>
        <v>0.13949647174932148</v>
      </c>
      <c r="E277" s="255">
        <f t="shared" si="45"/>
        <v>7.6668834580920938E+32</v>
      </c>
      <c r="F277" s="256">
        <f t="shared" si="40"/>
        <v>178.71817261161365</v>
      </c>
      <c r="G277" s="222" cm="1">
        <f t="array" ref="G277">$B$7*SUM((($D$42:$D$47)/$C277)/(EXP($D$42:$D$47/$C277)-1)-LN(1-EXP(-$D$42:$D$47/$C277)))</f>
        <v>36.118700618768031</v>
      </c>
      <c r="H277" s="257">
        <f t="shared" si="42"/>
        <v>65.343052243950211</v>
      </c>
      <c r="I277" s="224">
        <f t="shared" si="43"/>
        <v>5.7631029180476085</v>
      </c>
      <c r="J277" s="251">
        <f t="shared" si="41"/>
        <v>285.94302839237946</v>
      </c>
    </row>
    <row r="278" spans="3:10" ht="20" thickBot="1" x14ac:dyDescent="0.3">
      <c r="C278" s="163">
        <f t="shared" si="46"/>
        <v>1800</v>
      </c>
      <c r="D278" s="254">
        <f t="shared" si="44"/>
        <v>0.1477021465581051</v>
      </c>
      <c r="E278" s="255">
        <f t="shared" si="45"/>
        <v>8.3532261103325399E+32</v>
      </c>
      <c r="F278" s="256">
        <f t="shared" si="40"/>
        <v>179.90626740169091</v>
      </c>
      <c r="G278" s="222" cm="1">
        <f t="array" ref="G278">$B$7*SUM((($D$42:$D$47)/$C278)/(EXP($D$42:$D$47/$C278)-1)-LN(1-EXP(-$D$42:$D$47/$C278)))</f>
        <v>38.248781789221056</v>
      </c>
      <c r="H278" s="257">
        <f t="shared" si="42"/>
        <v>66.055909117996507</v>
      </c>
      <c r="I278" s="224">
        <f t="shared" si="43"/>
        <v>5.7631029180476085</v>
      </c>
      <c r="J278" s="251">
        <f t="shared" si="41"/>
        <v>289.97406122695605</v>
      </c>
    </row>
    <row r="279" spans="3:10" ht="20" thickBot="1" x14ac:dyDescent="0.3">
      <c r="C279" s="163">
        <f t="shared" si="46"/>
        <v>1900</v>
      </c>
      <c r="D279" s="254">
        <f t="shared" si="44"/>
        <v>0.15590782136688872</v>
      </c>
      <c r="E279" s="255">
        <f t="shared" si="45"/>
        <v>9.0589086674583589E+32</v>
      </c>
      <c r="F279" s="256">
        <f t="shared" si="40"/>
        <v>181.03010866301489</v>
      </c>
      <c r="G279" s="222" cm="1">
        <f t="array" ref="G279">$B$7*SUM((($D$42:$D$47)/$C279)/(EXP($D$42:$D$47/$C279)-1)-LN(1-EXP(-$D$42:$D$47/$C279)))</f>
        <v>40.318410387530278</v>
      </c>
      <c r="H279" s="257">
        <f t="shared" si="42"/>
        <v>66.730213874790891</v>
      </c>
      <c r="I279" s="224">
        <f t="shared" si="43"/>
        <v>5.7631029180476085</v>
      </c>
      <c r="J279" s="251">
        <f t="shared" si="41"/>
        <v>293.84183584338365</v>
      </c>
    </row>
    <row r="280" spans="3:10" ht="20" thickBot="1" x14ac:dyDescent="0.3">
      <c r="C280" s="170">
        <f t="shared" si="46"/>
        <v>2000</v>
      </c>
      <c r="D280" s="260">
        <f t="shared" si="44"/>
        <v>0.16411349617567234</v>
      </c>
      <c r="E280" s="261">
        <f t="shared" si="45"/>
        <v>9.7834149329776311E+32</v>
      </c>
      <c r="F280" s="262">
        <f t="shared" si="40"/>
        <v>182.0962910801544</v>
      </c>
      <c r="G280" s="226" cm="1">
        <f t="array" ref="G280">$B$7*SUM((($D$42:$D$47)/$C280)/(EXP($D$42:$D$47/$C280)-1)-LN(1-EXP(-$D$42:$D$47/$C280)))</f>
        <v>42.328414951813151</v>
      </c>
      <c r="H280" s="263">
        <f t="shared" si="42"/>
        <v>67.369923325074637</v>
      </c>
      <c r="I280" s="228">
        <f t="shared" si="43"/>
        <v>5.7631029180476085</v>
      </c>
      <c r="J280" s="264">
        <f t="shared" si="41"/>
        <v>297.55773227508979</v>
      </c>
    </row>
  </sheetData>
  <mergeCells count="11">
    <mergeCell ref="AB101:AH101"/>
    <mergeCell ref="A18:V18"/>
    <mergeCell ref="A53:V53"/>
    <mergeCell ref="H198:K198"/>
    <mergeCell ref="D203:E203"/>
    <mergeCell ref="H239:K239"/>
    <mergeCell ref="D244:E244"/>
    <mergeCell ref="D245:E245"/>
    <mergeCell ref="C100:I100"/>
    <mergeCell ref="U93:W93"/>
    <mergeCell ref="D212:H212"/>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23936-2370-B74E-B012-21E7380C1BF7}">
  <dimension ref="B3:I31"/>
  <sheetViews>
    <sheetView zoomScale="75" workbookViewId="0">
      <selection activeCell="T17" sqref="T17"/>
    </sheetView>
  </sheetViews>
  <sheetFormatPr baseColWidth="10" defaultRowHeight="16" x14ac:dyDescent="0.2"/>
  <cols>
    <col min="3" max="3" width="19.33203125" customWidth="1"/>
    <col min="4" max="4" width="16.6640625" customWidth="1"/>
    <col min="5" max="5" width="14" customWidth="1"/>
    <col min="6" max="6" width="13.1640625" bestFit="1" customWidth="1"/>
    <col min="7" max="7" width="13.5" customWidth="1"/>
    <col min="8" max="8" width="13.1640625" bestFit="1" customWidth="1"/>
  </cols>
  <sheetData>
    <row r="3" spans="2:9" ht="27" x14ac:dyDescent="0.35">
      <c r="B3" s="370" t="s">
        <v>144</v>
      </c>
      <c r="C3" s="370"/>
      <c r="D3" s="370"/>
    </row>
    <row r="4" spans="2:9" ht="17" thickBot="1" x14ac:dyDescent="0.25"/>
    <row r="5" spans="2:9" ht="24" x14ac:dyDescent="0.35">
      <c r="C5" s="320" t="s">
        <v>149</v>
      </c>
      <c r="D5" s="321" t="s">
        <v>150</v>
      </c>
      <c r="E5" s="322" t="s">
        <v>151</v>
      </c>
    </row>
    <row r="6" spans="2:9" ht="17" thickBot="1" x14ac:dyDescent="0.25">
      <c r="C6" s="323">
        <f>-1</f>
        <v>-1</v>
      </c>
      <c r="D6" s="324">
        <f>1</f>
        <v>1</v>
      </c>
      <c r="E6" s="325">
        <f>1</f>
        <v>1</v>
      </c>
    </row>
    <row r="8" spans="2:9" ht="17" thickBot="1" x14ac:dyDescent="0.25"/>
    <row r="9" spans="2:9" ht="20" thickBot="1" x14ac:dyDescent="0.3">
      <c r="C9" s="213" t="s">
        <v>145</v>
      </c>
      <c r="D9" s="319">
        <v>100000</v>
      </c>
    </row>
    <row r="11" spans="2:9" ht="20" thickBot="1" x14ac:dyDescent="0.3">
      <c r="D11" s="60"/>
    </row>
    <row r="12" spans="2:9" ht="22" thickBot="1" x14ac:dyDescent="0.35">
      <c r="C12" s="297" t="s">
        <v>79</v>
      </c>
      <c r="D12" s="326" t="s">
        <v>146</v>
      </c>
      <c r="E12" s="327" t="s">
        <v>147</v>
      </c>
      <c r="F12" s="344" t="s">
        <v>152</v>
      </c>
      <c r="G12" s="345" t="s">
        <v>148</v>
      </c>
      <c r="H12" s="346" t="s">
        <v>153</v>
      </c>
      <c r="I12" s="347" t="s">
        <v>154</v>
      </c>
    </row>
    <row r="13" spans="2:9" ht="20" thickBot="1" x14ac:dyDescent="0.3">
      <c r="C13" s="101">
        <v>298.14999999999998</v>
      </c>
      <c r="D13" s="328">
        <f>C13*'CH3'!$B$8/'CH3'!$B$16</f>
        <v>4.0625788058228471E-26</v>
      </c>
      <c r="E13" s="329">
        <f>$D$9*'CH3'!$B$6*$D13/($C13*'CH3'!$B$7)</f>
        <v>0.98693128980012246</v>
      </c>
      <c r="F13" s="300">
        <f>'CH4'!$AE102</f>
        <v>9.3610529568735256E-13</v>
      </c>
      <c r="G13" s="301">
        <f>H!$Z102</f>
        <v>79497.707020761445</v>
      </c>
      <c r="H13" s="302">
        <f>'CH3'!$Z102</f>
        <v>4.0102420045868308E-6</v>
      </c>
      <c r="I13" s="329">
        <f>($F13/$E13)^($C$6)*($G13/$E13)^($D$6)*($H13*$E13)^($E$6)</f>
        <v>336114617322.14008</v>
      </c>
    </row>
    <row r="14" spans="2:9" ht="19" x14ac:dyDescent="0.25">
      <c r="C14" s="159">
        <v>300</v>
      </c>
      <c r="D14" s="330">
        <f>C14*'CH3'!$B$8/'CH3'!$B$16</f>
        <v>4.0877868245743891E-26</v>
      </c>
      <c r="E14" s="331">
        <f>$D$9*'CH3'!$B$6*$D14/($C14*'CH3'!$B$7)</f>
        <v>0.98693128980012235</v>
      </c>
      <c r="F14" s="338">
        <f>'CH4'!$AE103</f>
        <v>1.28586543537721E-12</v>
      </c>
      <c r="G14" s="339">
        <f>H!$Z103</f>
        <v>80736.646213308893</v>
      </c>
      <c r="H14" s="340">
        <f>'CH3'!$Z103</f>
        <v>5.0023103638718323E-6</v>
      </c>
      <c r="I14" s="251">
        <f t="shared" ref="I14:I31" si="0">($F14/$E14)^($C$6)*($G14/$E14)^($D$6)*($H14*$E14)^($E$6)</f>
        <v>309979329291.80957</v>
      </c>
    </row>
    <row r="15" spans="2:9" ht="19" x14ac:dyDescent="0.25">
      <c r="C15" s="163">
        <f>C14+100</f>
        <v>400</v>
      </c>
      <c r="D15" s="332">
        <f>C15*'CH3'!$B$8/'CH3'!$B$16</f>
        <v>5.4503824327658529E-26</v>
      </c>
      <c r="E15" s="333">
        <f>$D$9*'CH3'!$B$6*$D15/($C15*'CH3'!$B$7)</f>
        <v>0.98693128980012246</v>
      </c>
      <c r="F15" s="338">
        <f>'CH4'!$AE104</f>
        <v>5.4663491136121635E-7</v>
      </c>
      <c r="G15" s="339">
        <f>H!$Z104</f>
        <v>165736.26462123345</v>
      </c>
      <c r="H15" s="340">
        <f>'CH3'!$Z104</f>
        <v>4.4427768877759413E-2</v>
      </c>
      <c r="I15" s="336">
        <f t="shared" si="0"/>
        <v>13294181496.553387</v>
      </c>
    </row>
    <row r="16" spans="2:9" ht="19" x14ac:dyDescent="0.25">
      <c r="C16" s="163">
        <f t="shared" ref="C16:C31" si="1">C15+100</f>
        <v>500</v>
      </c>
      <c r="D16" s="332">
        <f>C16*'CH3'!$B$8/'CH3'!$B$16</f>
        <v>6.812978040957315E-26</v>
      </c>
      <c r="E16" s="333">
        <f>$D$9*'CH3'!$B$6*$D16/($C16*'CH3'!$B$7)</f>
        <v>0.98693128980012235</v>
      </c>
      <c r="F16" s="338">
        <f>'CH4'!$AE105</f>
        <v>1.6587562992291475E-3</v>
      </c>
      <c r="G16" s="339">
        <f>H!$Z105</f>
        <v>289529.33908591262</v>
      </c>
      <c r="H16" s="340">
        <f>'CH3'!$Z105</f>
        <v>13.423631185476241</v>
      </c>
      <c r="I16" s="336">
        <f t="shared" si="0"/>
        <v>2312421099.2277279</v>
      </c>
    </row>
    <row r="17" spans="3:9" ht="19" x14ac:dyDescent="0.25">
      <c r="C17" s="163">
        <f t="shared" si="1"/>
        <v>600</v>
      </c>
      <c r="D17" s="332">
        <f>C17*'CH3'!$B$8/'CH3'!$B$16</f>
        <v>8.1755736491487783E-26</v>
      </c>
      <c r="E17" s="333">
        <f>$D$9*'CH3'!$B$6*$D17/($C17*'CH3'!$B$7)</f>
        <v>0.98693128980012235</v>
      </c>
      <c r="F17" s="338">
        <f>'CH4'!$AE106</f>
        <v>0.41747816714417929</v>
      </c>
      <c r="G17" s="339">
        <f>H!$Z106</f>
        <v>456715.44022152055</v>
      </c>
      <c r="H17" s="340">
        <f>'CH3'!$Z106</f>
        <v>725.20635571074808</v>
      </c>
      <c r="I17" s="336">
        <f t="shared" si="0"/>
        <v>782997626.69907236</v>
      </c>
    </row>
    <row r="18" spans="3:9" ht="19" x14ac:dyDescent="0.25">
      <c r="C18" s="163">
        <f t="shared" si="1"/>
        <v>700</v>
      </c>
      <c r="D18" s="332">
        <f>C18*'CH3'!$B$8/'CH3'!$B$16</f>
        <v>9.5381692573402415E-26</v>
      </c>
      <c r="E18" s="333">
        <f>$D$9*'CH3'!$B$6*$D18/($C18*'CH3'!$B$7)</f>
        <v>0.98693128980012246</v>
      </c>
      <c r="F18" s="338">
        <f>'CH4'!$AE107</f>
        <v>25.079068810222818</v>
      </c>
      <c r="G18" s="339">
        <f>H!$Z107</f>
        <v>671448.43847550312</v>
      </c>
      <c r="H18" s="340">
        <f>'CH3'!$Z107</f>
        <v>14388.831842912245</v>
      </c>
      <c r="I18" s="336">
        <f t="shared" si="0"/>
        <v>380201404.12456197</v>
      </c>
    </row>
    <row r="19" spans="3:9" ht="19" x14ac:dyDescent="0.25">
      <c r="C19" s="163">
        <f t="shared" si="1"/>
        <v>800</v>
      </c>
      <c r="D19" s="332">
        <f>C19*'CH3'!$B$8/'CH3'!$B$16</f>
        <v>1.0900764865531706E-25</v>
      </c>
      <c r="E19" s="333">
        <f>$D$9*'CH3'!$B$6*$D19/($C19*'CH3'!$B$7)</f>
        <v>0.98693128980012246</v>
      </c>
      <c r="F19" s="338">
        <f>'CH4'!$AE108</f>
        <v>611.21859734475925</v>
      </c>
      <c r="G19" s="339">
        <f>H!$Z108</f>
        <v>937545.89281762054</v>
      </c>
      <c r="H19" s="340">
        <f>'CH3'!$Z108</f>
        <v>150907.32802266433</v>
      </c>
      <c r="I19" s="336">
        <f t="shared" si="0"/>
        <v>228451084.11908314</v>
      </c>
    </row>
    <row r="20" spans="3:9" ht="19" x14ac:dyDescent="0.25">
      <c r="C20" s="163">
        <f t="shared" si="1"/>
        <v>900</v>
      </c>
      <c r="D20" s="332">
        <f>C20*'CH3'!$B$8/'CH3'!$B$16</f>
        <v>1.2263360473723168E-25</v>
      </c>
      <c r="E20" s="333">
        <f>$D$9*'CH3'!$B$6*$D20/($C20*'CH3'!$B$7)</f>
        <v>0.98693128980012246</v>
      </c>
      <c r="F20" s="338">
        <f>'CH4'!$AE109</f>
        <v>8121.7941215363771</v>
      </c>
      <c r="G20" s="339">
        <f>H!$Z109</f>
        <v>1258559.7594674756</v>
      </c>
      <c r="H20" s="340">
        <f>'CH3'!$Z109</f>
        <v>1026621.6350634171</v>
      </c>
      <c r="I20" s="336">
        <f t="shared" si="0"/>
        <v>157007065.20874587</v>
      </c>
    </row>
    <row r="21" spans="3:9" ht="19" x14ac:dyDescent="0.25">
      <c r="C21" s="163">
        <f t="shared" si="1"/>
        <v>1000</v>
      </c>
      <c r="D21" s="332">
        <f>C21*'CH3'!$B$8/'CH3'!$B$16</f>
        <v>1.362595608191463E-25</v>
      </c>
      <c r="E21" s="333">
        <f>$D$9*'CH3'!$B$6*$D21/($C21*'CH3'!$B$7)</f>
        <v>0.98693128980012235</v>
      </c>
      <c r="F21" s="338">
        <f>'CH4'!$AE110</f>
        <v>70290.335680070973</v>
      </c>
      <c r="G21" s="339">
        <f>H!$Z110</f>
        <v>1637825.2721608698</v>
      </c>
      <c r="H21" s="340">
        <f>'CH3'!$Z110</f>
        <v>5129514.1396994386</v>
      </c>
      <c r="I21" s="336">
        <f t="shared" si="0"/>
        <v>117960091.35065827</v>
      </c>
    </row>
    <row r="22" spans="3:9" ht="19" x14ac:dyDescent="0.25">
      <c r="C22" s="163">
        <f t="shared" si="1"/>
        <v>1100</v>
      </c>
      <c r="D22" s="332">
        <f>C22*'CH3'!$B$8/'CH3'!$B$16</f>
        <v>1.4988551690106094E-25</v>
      </c>
      <c r="E22" s="333">
        <f>$D$9*'CH3'!$B$6*$D22/($C22*'CH3'!$B$7)</f>
        <v>0.98693128980012246</v>
      </c>
      <c r="F22" s="338">
        <f>'CH4'!$AE111</f>
        <v>443801.8708413578</v>
      </c>
      <c r="G22" s="339">
        <f>H!$Z111</f>
        <v>2078496.4210107825</v>
      </c>
      <c r="H22" s="340">
        <f>'CH3'!$Z111</f>
        <v>20390066.526725184</v>
      </c>
      <c r="I22" s="336">
        <f t="shared" si="0"/>
        <v>94246604.665638223</v>
      </c>
    </row>
    <row r="23" spans="3:9" ht="19" x14ac:dyDescent="0.25">
      <c r="C23" s="163">
        <f t="shared" si="1"/>
        <v>1200</v>
      </c>
      <c r="D23" s="332">
        <f>C23*'CH3'!$B$8/'CH3'!$B$16</f>
        <v>1.6351147298297557E-25</v>
      </c>
      <c r="E23" s="333">
        <f>$D$9*'CH3'!$B$6*$D23/($C23*'CH3'!$B$7)</f>
        <v>0.98693128980012235</v>
      </c>
      <c r="F23" s="338">
        <f>'CH4'!$AE112</f>
        <v>2205255.0314881899</v>
      </c>
      <c r="G23" s="339">
        <f>H!$Z112</f>
        <v>2583572.678825899</v>
      </c>
      <c r="H23" s="340">
        <f>'CH3'!$Z112</f>
        <v>68048965.630663425</v>
      </c>
      <c r="I23" s="336">
        <f t="shared" si="0"/>
        <v>78681079.156987965</v>
      </c>
    </row>
    <row r="24" spans="3:9" ht="19" x14ac:dyDescent="0.25">
      <c r="C24" s="163">
        <f t="shared" si="1"/>
        <v>1300</v>
      </c>
      <c r="D24" s="332">
        <f>C24*'CH3'!$B$8/'CH3'!$B$16</f>
        <v>1.7713742906489019E-25</v>
      </c>
      <c r="E24" s="333">
        <f>$D$9*'CH3'!$B$6*$D24/($C24*'CH3'!$B$7)</f>
        <v>0.98693128980012235</v>
      </c>
      <c r="F24" s="338">
        <f>'CH4'!$AE113</f>
        <v>9090044.8433380537</v>
      </c>
      <c r="G24" s="339">
        <f>H!$Z113</f>
        <v>3155919.7328117909</v>
      </c>
      <c r="H24" s="340">
        <f>'CH3'!$Z113</f>
        <v>197987375.19490969</v>
      </c>
      <c r="I24" s="336">
        <f t="shared" si="0"/>
        <v>67839765.707259312</v>
      </c>
    </row>
    <row r="25" spans="3:9" ht="19" x14ac:dyDescent="0.25">
      <c r="C25" s="163">
        <f t="shared" si="1"/>
        <v>1400</v>
      </c>
      <c r="D25" s="332">
        <f>C25*'CH3'!$B$8/'CH3'!$B$16</f>
        <v>1.9076338514680483E-25</v>
      </c>
      <c r="E25" s="333">
        <f>$D$9*'CH3'!$B$6*$D25/($C25*'CH3'!$B$7)</f>
        <v>0.98693128980012246</v>
      </c>
      <c r="F25" s="338">
        <f>'CH4'!$AE114</f>
        <v>32277231.219844803</v>
      </c>
      <c r="G25" s="339">
        <f>H!$Z114</f>
        <v>3798285.9525051839</v>
      </c>
      <c r="H25" s="340">
        <f>'CH3'!$Z114</f>
        <v>516015674.90561867</v>
      </c>
      <c r="I25" s="336">
        <f t="shared" si="0"/>
        <v>59929574.803076647</v>
      </c>
    </row>
    <row r="26" spans="3:9" ht="19" x14ac:dyDescent="0.25">
      <c r="C26" s="163">
        <f t="shared" si="1"/>
        <v>1500</v>
      </c>
      <c r="D26" s="332">
        <f>C26*'CH3'!$B$8/'CH3'!$B$16</f>
        <v>2.043893412287195E-25</v>
      </c>
      <c r="E26" s="333">
        <f>$D$9*'CH3'!$B$6*$D26/($C26*'CH3'!$B$7)</f>
        <v>0.98693128980012257</v>
      </c>
      <c r="F26" s="338">
        <f>'CH4'!$AE115</f>
        <v>101511541.22603276</v>
      </c>
      <c r="G26" s="339">
        <f>H!$Z115</f>
        <v>4513315.7302077301</v>
      </c>
      <c r="H26" s="340">
        <f>'CH3'!$Z115</f>
        <v>1229233714.166389</v>
      </c>
      <c r="I26" s="336">
        <f t="shared" si="0"/>
        <v>53938849.073498838</v>
      </c>
    </row>
    <row r="27" spans="3:9" ht="19" x14ac:dyDescent="0.25">
      <c r="C27" s="163">
        <f t="shared" si="1"/>
        <v>1600</v>
      </c>
      <c r="D27" s="332">
        <f>C27*'CH3'!$B$8/'CH3'!$B$16</f>
        <v>2.1801529731063412E-25</v>
      </c>
      <c r="E27" s="333">
        <f>$D$9*'CH3'!$B$6*$D27/($C27*'CH3'!$B$7)</f>
        <v>0.98693128980012246</v>
      </c>
      <c r="F27" s="338">
        <f>'CH4'!$AE116</f>
        <v>288747419.93544406</v>
      </c>
      <c r="G27" s="339">
        <f>H!$Z116</f>
        <v>5303560.4678794239</v>
      </c>
      <c r="H27" s="340">
        <f>'CH3'!$Z116</f>
        <v>2717511995.3463597</v>
      </c>
      <c r="I27" s="336">
        <f t="shared" si="0"/>
        <v>49261519.109714203</v>
      </c>
    </row>
    <row r="28" spans="3:9" ht="19" x14ac:dyDescent="0.25">
      <c r="C28" s="163">
        <f t="shared" si="1"/>
        <v>1700</v>
      </c>
      <c r="D28" s="332">
        <f>C28*'CH3'!$B$8/'CH3'!$B$16</f>
        <v>2.3164125339254876E-25</v>
      </c>
      <c r="E28" s="333">
        <f>$D$9*'CH3'!$B$6*$D28/($C28*'CH3'!$B$7)</f>
        <v>0.98693128980012257</v>
      </c>
      <c r="F28" s="338">
        <f>'CH4'!$AE117</f>
        <v>754919126.62167192</v>
      </c>
      <c r="G28" s="339">
        <f>H!$Z117</f>
        <v>6171487.7541651204</v>
      </c>
      <c r="H28" s="340">
        <f>'CH3'!$Z117</f>
        <v>5641429587.1678038</v>
      </c>
      <c r="I28" s="336">
        <f t="shared" si="0"/>
        <v>45516151.345553532</v>
      </c>
    </row>
    <row r="29" spans="3:9" ht="19" x14ac:dyDescent="0.25">
      <c r="C29" s="163">
        <f t="shared" si="1"/>
        <v>1800</v>
      </c>
      <c r="D29" s="332">
        <f>C29*'CH3'!$B$8/'CH3'!$B$16</f>
        <v>2.4526720947446336E-25</v>
      </c>
      <c r="E29" s="333">
        <f>$D$9*'CH3'!$B$6*$D29/($C29*'CH3'!$B$7)</f>
        <v>0.98693128980012246</v>
      </c>
      <c r="F29" s="338">
        <f>'CH4'!$AE118</f>
        <v>1837136883.8411551</v>
      </c>
      <c r="G29" s="339">
        <f>H!$Z118</f>
        <v>7119489.1235837163</v>
      </c>
      <c r="H29" s="340">
        <f>'CH3'!$Z118</f>
        <v>11099670351.951281</v>
      </c>
      <c r="I29" s="336">
        <f t="shared" si="0"/>
        <v>42452601.93072471</v>
      </c>
    </row>
    <row r="30" spans="3:9" ht="19" x14ac:dyDescent="0.25">
      <c r="C30" s="163">
        <f t="shared" si="1"/>
        <v>1900</v>
      </c>
      <c r="D30" s="332">
        <f>C30*'CH3'!$B$8/'CH3'!$B$16</f>
        <v>2.58893165556378E-25</v>
      </c>
      <c r="E30" s="333">
        <f>$D$9*'CH3'!$B$6*$D30/($C30*'CH3'!$B$7)</f>
        <v>0.98693128980012246</v>
      </c>
      <c r="F30" s="338">
        <f>'CH4'!$AE119</f>
        <v>4203405920.9322276</v>
      </c>
      <c r="G30" s="339">
        <f>H!$Z119</f>
        <v>8149886.6869923742</v>
      </c>
      <c r="H30" s="340">
        <f>'CH3'!$Z119</f>
        <v>20851952797.502457</v>
      </c>
      <c r="I30" s="336">
        <f t="shared" si="0"/>
        <v>39901010.107239164</v>
      </c>
    </row>
    <row r="31" spans="3:9" ht="20" thickBot="1" x14ac:dyDescent="0.3">
      <c r="C31" s="170">
        <f t="shared" si="1"/>
        <v>2000</v>
      </c>
      <c r="D31" s="334">
        <f>C31*'CH3'!$B$8/'CH3'!$B$16</f>
        <v>2.725191216382926E-25</v>
      </c>
      <c r="E31" s="335">
        <f>$D$9*'CH3'!$B$6*$D31/($C31*'CH3'!$B$7)</f>
        <v>0.98693128980012235</v>
      </c>
      <c r="F31" s="341">
        <f>'CH4'!$AE120</f>
        <v>9115886253.5973072</v>
      </c>
      <c r="G31" s="342">
        <f>H!$Z120</f>
        <v>9264938.8507492561</v>
      </c>
      <c r="H31" s="343">
        <f>'CH3'!$Z120</f>
        <v>37627078707.740967</v>
      </c>
      <c r="I31" s="337">
        <f t="shared" si="0"/>
        <v>37742536.157668851</v>
      </c>
    </row>
  </sheetData>
  <mergeCells count="1">
    <mergeCell ref="B3:D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CH4</vt:lpstr>
      <vt:lpstr>H</vt:lpstr>
      <vt:lpstr>CH3</vt:lpstr>
      <vt:lpstr>Keq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Edoardo Cabiati</dc:creator>
  <cp:lastModifiedBy>Edoardo Cabiati</cp:lastModifiedBy>
  <dcterms:created xsi:type="dcterms:W3CDTF">2024-08-16T11:43:33Z</dcterms:created>
  <dcterms:modified xsi:type="dcterms:W3CDTF">2024-09-15T00:40:32Z</dcterms:modified>
</cp:coreProperties>
</file>